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110" windowHeight="5550" activeTab="8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grafico" sheetId="8" r:id="rId8"/>
    <sheet name="PTOXACTIV" sheetId="9" r:id="rId9"/>
  </sheets>
  <definedNames>
    <definedName name="_xlnm.Print_Area" localSheetId="0">'POA-01'!$A$1:$J$25</definedName>
    <definedName name="_xlnm.Print_Area" localSheetId="4">'POA-05'!$A$1:$I$27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8">'PTOXACTIV'!$1:$12</definedName>
  </definedNames>
  <calcPr fullCalcOnLoad="1"/>
</workbook>
</file>

<file path=xl/sharedStrings.xml><?xml version="1.0" encoding="utf-8"?>
<sst xmlns="http://schemas.openxmlformats.org/spreadsheetml/2006/main" count="531" uniqueCount="262">
  <si>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</si>
  <si>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</si>
  <si>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</si>
  <si>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</si>
  <si>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</si>
  <si>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</si>
  <si>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</si>
  <si>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</si>
  <si>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</si>
  <si>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</si>
  <si>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</si>
  <si>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</si>
  <si>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</si>
  <si>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</si>
  <si>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</si>
  <si>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</si>
  <si>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</si>
  <si>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VALOR PARCIAL</t>
  </si>
  <si>
    <t xml:space="preserve">TOTAL </t>
  </si>
  <si>
    <t>PROGRAMACION DE RECURSO HUMANO</t>
  </si>
  <si>
    <t>POA-02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</si>
  <si>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</si>
  <si>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</si>
  <si>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</si>
  <si>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</si>
  <si>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</si>
  <si>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</si>
  <si>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</si>
  <si>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</si>
  <si>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</si>
  <si>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</si>
  <si>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</si>
  <si>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</si>
  <si>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</si>
  <si>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</si>
  <si>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</si>
  <si>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</si>
  <si>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</si>
  <si>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</si>
  <si>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</si>
  <si>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</si>
  <si>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</si>
  <si>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</si>
  <si>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</si>
  <si>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</si>
  <si>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</si>
  <si>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</si>
  <si>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</si>
  <si>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</si>
  <si>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</si>
  <si>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</si>
  <si>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</si>
  <si>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</si>
  <si>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</si>
  <si>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</si>
  <si>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</si>
  <si>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</si>
  <si>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</si>
  <si>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</si>
  <si>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</si>
  <si>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</si>
  <si>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</si>
  <si>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</si>
  <si>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</si>
  <si>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</si>
  <si>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</si>
  <si>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</si>
  <si>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</si>
  <si>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</si>
  <si>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</si>
  <si>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</si>
  <si>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</si>
  <si>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</si>
  <si>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</si>
  <si>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</si>
  <si>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</si>
  <si>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</si>
  <si>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</si>
  <si>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</si>
  <si>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</si>
  <si>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</si>
  <si>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</si>
  <si>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</si>
  <si>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</si>
  <si>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</si>
  <si>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</si>
  <si>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</si>
  <si>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</si>
  <si>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</si>
  <si>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</si>
  <si>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</si>
  <si>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</si>
  <si>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</si>
  <si>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</si>
  <si>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</si>
  <si>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</si>
  <si>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</si>
  <si>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</si>
  <si>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</si>
  <si>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</si>
  <si>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</si>
  <si>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</si>
  <si>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</si>
  <si>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</si>
  <si>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</si>
  <si>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</si>
  <si>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</si>
  <si>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</si>
  <si>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</si>
  <si>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</si>
  <si>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</si>
  <si>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</si>
  <si>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</si>
  <si>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</si>
  <si>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</si>
  <si>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</si>
  <si>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</si>
  <si>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</si>
  <si>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</si>
  <si>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</si>
  <si>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</si>
  <si>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</si>
  <si>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</si>
  <si>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</si>
  <si>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</si>
  <si>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</si>
  <si>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</si>
  <si>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</si>
  <si>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</si>
  <si>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</si>
  <si>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</si>
  <si>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</si>
  <si>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</si>
  <si>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</si>
  <si>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</si>
  <si>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</si>
  <si>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</si>
  <si>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</si>
  <si>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</si>
  <si>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</si>
  <si>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</si>
  <si>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</si>
  <si>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</si>
  <si>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</si>
  <si>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</si>
  <si>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</si>
  <si>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</si>
  <si>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</si>
  <si>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</si>
  <si>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</si>
  <si>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</si>
  <si>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</si>
  <si>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</si>
  <si>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</si>
  <si>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</si>
  <si>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</si>
  <si>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</si>
  <si>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</si>
  <si>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</si>
  <si>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</si>
  <si>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</si>
  <si>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</si>
  <si>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</si>
  <si>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</si>
  <si>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</si>
  <si>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</si>
  <si>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</si>
  <si>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</si>
  <si>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</si>
  <si>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</si>
  <si>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</si>
  <si>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</si>
  <si>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</si>
  <si>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 xml:space="preserve">                              </t>
  </si>
  <si>
    <t>SECCION: I</t>
  </si>
  <si>
    <t>SUBTOTAL</t>
  </si>
  <si>
    <t>Mayo</t>
  </si>
  <si>
    <t>MESES</t>
  </si>
  <si>
    <t xml:space="preserve">Abril </t>
  </si>
  <si>
    <t>Diciembre</t>
  </si>
  <si>
    <t>Aportes recursos económicos  ,apoyo tecnico y seguimiento</t>
  </si>
  <si>
    <t xml:space="preserve">Desarrollar la acciones  de educaciòn ambiental no formal   en las comunidades  en diferentes Municipios </t>
  </si>
  <si>
    <t>Equipo de Educación ambiental</t>
  </si>
  <si>
    <t>Aportes recursos económicos, apoyo tecnico y seguimiento</t>
  </si>
  <si>
    <t>Aportes recursos económicos  y apoyo tecnico</t>
  </si>
  <si>
    <t>Soporte de acciones de participación comunitaria</t>
  </si>
  <si>
    <t>Maquinaria y Equipos</t>
  </si>
  <si>
    <t>Materiales y Suministro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</si>
  <si>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</si>
  <si>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</si>
  <si>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</si>
  <si>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</si>
  <si>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</si>
  <si>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</si>
  <si>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</si>
  <si>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</si>
  <si>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</si>
  <si>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</si>
  <si>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</si>
  <si>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</si>
  <si>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</si>
  <si>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Servicios de vigilancia</t>
  </si>
  <si>
    <t>PERSONAL PLANTA</t>
  </si>
  <si>
    <t>PERSONAL CONTRATOS</t>
  </si>
  <si>
    <t>PARTICIPACIÓN COMUNITARIA</t>
  </si>
  <si>
    <t>ACTIV 7</t>
  </si>
  <si>
    <t>ACTIV 8</t>
  </si>
  <si>
    <t>Convenios</t>
  </si>
  <si>
    <t>CULTURA AMBIENTAL</t>
  </si>
  <si>
    <t>A.- CONTRATOS</t>
  </si>
  <si>
    <t>B.- CONVENIOS</t>
  </si>
  <si>
    <t>Profesional con perfil en disciplinas sociales y experiencia en gestión ambiental interinstitucional</t>
  </si>
  <si>
    <t>Realizar acciones de articulación de trabajo conjunto en educación amb con instituciones manejo de RSD</t>
  </si>
  <si>
    <t>Profesional con perfil en disciplinas sociales y experiencia en manejo comunitario</t>
  </si>
  <si>
    <t>Desarrollo de acciones pedagógicas para el posicionamiento de la cultura amb en comunidades cultura del agua</t>
  </si>
  <si>
    <t>GESTIÓN AMBIENTAL URBANA</t>
  </si>
  <si>
    <t>Apoyar jornadas de arborización urbana.</t>
  </si>
  <si>
    <t>Determinar la tasa de arborización en la zona urbana de las ciudades de Riohacha y Maicao.</t>
  </si>
  <si>
    <t>Proyectos de recuperación participativa de zonas verdes.</t>
  </si>
  <si>
    <t>Proyectos de recuperación participativa para la gestión ambiental urbana.</t>
  </si>
  <si>
    <t>Promover la recuperación de humedales urbanos y/o espacios verdes de la ciudad (Laguna salá, humedal 15 de mayo y la esperanza en Riohacha; laguna Washington en Maicao; sequía de penso en Fonseca: Parque ecológico en San Juan; Laguna de el Molino).</t>
  </si>
  <si>
    <t>Asesoría y asistencia técnica para el funcionamiento adecuado de los rellenos sanitarios del norte, sur del departamento  y Riohacha.</t>
  </si>
  <si>
    <t>Asesoría y asistencia técnica para el manejo integral de los residuos sólidos y líquidos del Sur de La Guajira.</t>
  </si>
  <si>
    <t>Promover  alternativas tecnológicas para la disposición final de los residuos sólidos.</t>
  </si>
  <si>
    <t>Implementación de convenios donde se promueva el reciclaje y aprovechamiento de residuos orgánicos e inorgánicos.</t>
  </si>
  <si>
    <t>Asesoría y asistencia técnica en la construcción de escombreras.</t>
  </si>
  <si>
    <t>Número de alternativas propuestas</t>
  </si>
  <si>
    <t># de Proyectos de viviendas de interés social y prioritarias arborizados</t>
  </si>
  <si>
    <t># de Estudios para determinar la tasa de arborización por número de habitantes en la zona urbana de las ciudades de Riohacha y Maicao.</t>
  </si>
  <si>
    <t># de Proyectos de recuperación participativa de zonas verdes.</t>
  </si>
  <si>
    <t># de Proyectos de mejoramiento  integral de barrios apoyados por la corporación.</t>
  </si>
  <si>
    <t xml:space="preserve"># de humedales urbanos Recuperados </t>
  </si>
  <si>
    <t xml:space="preserve"># de Asesorías y asistencias técnicas municipales para el funcionamiento adecuado de los rellenos sanitarios. </t>
  </si>
  <si>
    <t># de Convenios suscritos e implementados</t>
  </si>
  <si>
    <t># de Municipios asesorados por la CAR para la construcción de escombreras.</t>
  </si>
  <si>
    <t>Riohacha, Maicao</t>
  </si>
  <si>
    <t>HENRY ALEJANDRO MEDINA DELUQUE</t>
  </si>
  <si>
    <t>CARLOS MANUEL RIVERA DURÁN</t>
  </si>
  <si>
    <t>Riohacha, Maicao, Fonseca y San Juan del Cesar</t>
  </si>
  <si>
    <t>Selección Abreviada para desarrollar proyectos de Gestión Ambiental Urbana enfocados a la recuperación participativa de humedales urbanos en Riohacha, Maicao, Fonseca y San Juan del Cesar</t>
  </si>
  <si>
    <t xml:space="preserve">Convenio de asociación y cooperación para la asistencia técnica a 2 municipios para la construcción de escombreras </t>
  </si>
  <si>
    <t>ACTIV 9</t>
  </si>
  <si>
    <t>ACTIV 10</t>
  </si>
  <si>
    <t>ZORA MENDOZA</t>
  </si>
  <si>
    <t>Selección Abreviada para contratar la asesoría y asistencia técnica a 2 municipios que incluyan la determinación de tasa de arborización por número de habitantes, Arborizaciones en proyectos de viviendas de interés social y recuperación participativa de zonas verdes</t>
  </si>
  <si>
    <t>DAIRIS TORRES</t>
  </si>
  <si>
    <t>% de Municipios con asesoría y asistencia técnica para el acceso a sitios de disposición final de residuos sólidos técnicamente adecuados y autorizados por la Corporación (Rellenos sanitarios, celdas transitorias) con referencia al total de municipios de la jurisdicción.</t>
  </si>
  <si>
    <t>JORGE PACHECO</t>
  </si>
  <si>
    <t>CARLOS PIÑA               ELIUMAT MAZA</t>
  </si>
  <si>
    <t>ADELQUIS MENDOZA</t>
  </si>
  <si>
    <t xml:space="preserve">CARLOS PIÑA               </t>
  </si>
  <si>
    <t xml:space="preserve"> </t>
  </si>
  <si>
    <t>Riohacha, Maicao, Albania, Hatonuevo</t>
  </si>
  <si>
    <t>Barrancas, Fonseca, San Juan del Cesar, El Molino</t>
  </si>
  <si>
    <t>Riohacha, Maicao, Villanueva</t>
  </si>
  <si>
    <t xml:space="preserve">Riohacha, Maicao, Fonseca </t>
  </si>
  <si>
    <t>Riohacha, Maicao,  Albania Hatonuevo,  Fonseca, San Juan Distracción Urumita El Molino Manaure, Villanueva, Uribia,  Barrancas</t>
  </si>
  <si>
    <t>Barrancas, Maicao</t>
  </si>
  <si>
    <t>Riohacha, Maicao San Juan del Cesar, Fonseca , Villanueva</t>
  </si>
  <si>
    <t>Riohacha, Fonseca, Dibulla, La Jagua del Pilar</t>
  </si>
  <si>
    <t>Selección Abreviada para la asesoría y asistencia técnica a 13 municipios para el funcionamiento adecuado de los rellenos sanitarios y la disposición técnica final de residuos sólidos y líquidos</t>
  </si>
  <si>
    <t>Convenio de asociación y cooperación para Promover  alternativas tecnológicas para la disposición final de los residuos sólidos.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</si>
</sst>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&quot;$&quot;\ \-#,##0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&quot;$&quot;\ #,##0"/>
    <numFmt numFmtId="176" formatCode="#,##0.000000_);\(#,##0.000000\)"/>
    <numFmt numFmtId="177" formatCode="#,##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3"/>
      <name val="Tahoma"/>
      <family val="2"/>
    </font>
    <font>
      <sz val="9"/>
      <color indexed="8"/>
      <name val="Arial Narrow"/>
      <family val="2"/>
    </font>
    <font>
      <sz val="9.2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FF00"/>
      <name val="Tahoma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5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8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 quotePrefix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3" fontId="14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  <protection/>
    </xf>
    <xf numFmtId="37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6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37" fontId="15" fillId="0" borderId="0" xfId="0" applyNumberFormat="1" applyFont="1" applyAlignment="1">
      <alignment/>
    </xf>
    <xf numFmtId="3" fontId="21" fillId="0" borderId="10" xfId="0" applyNumberFormat="1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/>
    </xf>
    <xf numFmtId="3" fontId="5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2" fontId="24" fillId="0" borderId="0" xfId="0" applyNumberFormat="1" applyFont="1" applyAlignment="1">
      <alignment vertical="justify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7" fillId="0" borderId="0" xfId="0" applyFont="1" applyAlignment="1">
      <alignment horizontal="center" vertical="justify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72" fontId="27" fillId="0" borderId="0" xfId="0" applyNumberFormat="1" applyFont="1" applyAlignment="1">
      <alignment vertical="justify"/>
    </xf>
    <xf numFmtId="0" fontId="27" fillId="0" borderId="0" xfId="0" applyFont="1" applyAlignment="1">
      <alignment horizontal="left" vertical="justify"/>
    </xf>
    <xf numFmtId="173" fontId="27" fillId="0" borderId="0" xfId="48" applyFont="1" applyAlignment="1">
      <alignment horizontal="right" vertical="justify"/>
    </xf>
    <xf numFmtId="174" fontId="27" fillId="0" borderId="0" xfId="46" applyFont="1" applyAlignment="1">
      <alignment vertical="justify"/>
    </xf>
    <xf numFmtId="173" fontId="27" fillId="0" borderId="0" xfId="48" applyFont="1" applyAlignment="1">
      <alignment vertical="justify"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vertical="justify"/>
    </xf>
    <xf numFmtId="0" fontId="2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left" vertical="justify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74" fontId="2" fillId="0" borderId="10" xfId="46" applyFont="1" applyBorder="1" applyAlignment="1">
      <alignment horizontal="right" vertical="top" wrapText="1"/>
    </xf>
    <xf numFmtId="174" fontId="2" fillId="0" borderId="10" xfId="46" applyFont="1" applyBorder="1" applyAlignment="1">
      <alignment vertical="top" wrapText="1"/>
    </xf>
    <xf numFmtId="174" fontId="17" fillId="0" borderId="10" xfId="46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1" fillId="34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3" fontId="25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right" vertical="top" wrapText="1"/>
    </xf>
    <xf numFmtId="174" fontId="25" fillId="0" borderId="10" xfId="46" applyFont="1" applyBorder="1" applyAlignment="1">
      <alignment horizontal="right" vertical="top" wrapText="1"/>
    </xf>
    <xf numFmtId="174" fontId="31" fillId="0" borderId="10" xfId="46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3" fontId="31" fillId="34" borderId="14" xfId="0" applyNumberFormat="1" applyFont="1" applyFill="1" applyBorder="1" applyAlignment="1">
      <alignment horizontal="center" vertical="center" wrapText="1"/>
    </xf>
    <xf numFmtId="3" fontId="31" fillId="34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/>
    </xf>
    <xf numFmtId="177" fontId="23" fillId="0" borderId="10" xfId="46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3" fontId="31" fillId="0" borderId="0" xfId="0" applyNumberFormat="1" applyFont="1" applyAlignment="1">
      <alignment horizontal="right" vertical="top" wrapText="1"/>
    </xf>
    <xf numFmtId="0" fontId="32" fillId="3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174" fontId="31" fillId="0" borderId="10" xfId="46" applyFont="1" applyBorder="1" applyAlignment="1">
      <alignment vertical="top" wrapText="1"/>
    </xf>
    <xf numFmtId="0" fontId="31" fillId="34" borderId="13" xfId="0" applyFont="1" applyFill="1" applyBorder="1" applyAlignment="1">
      <alignment horizontal="left" vertical="center" wrapText="1"/>
    </xf>
    <xf numFmtId="0" fontId="31" fillId="34" borderId="15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right" vertical="top" wrapText="1"/>
    </xf>
    <xf numFmtId="0" fontId="34" fillId="0" borderId="0" xfId="0" applyFont="1" applyAlignment="1">
      <alignment horizontal="left" vertical="justify"/>
    </xf>
    <xf numFmtId="3" fontId="29" fillId="0" borderId="0" xfId="0" applyNumberFormat="1" applyFont="1" applyAlignment="1" quotePrefix="1">
      <alignment horizontal="left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3" fillId="34" borderId="13" xfId="0" applyNumberFormat="1" applyFont="1" applyFill="1" applyBorder="1" applyAlignment="1">
      <alignment horizontal="center"/>
    </xf>
    <xf numFmtId="3" fontId="33" fillId="34" borderId="14" xfId="0" applyNumberFormat="1" applyFont="1" applyFill="1" applyBorder="1" applyAlignment="1">
      <alignment horizontal="center"/>
    </xf>
    <xf numFmtId="3" fontId="33" fillId="34" borderId="15" xfId="0" applyNumberFormat="1" applyFont="1" applyFill="1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33" borderId="10" xfId="0" applyNumberFormat="1" applyFont="1" applyFill="1" applyBorder="1" applyAlignment="1">
      <alignment/>
    </xf>
    <xf numFmtId="174" fontId="15" fillId="0" borderId="0" xfId="0" applyNumberFormat="1" applyFont="1" applyAlignment="1">
      <alignment/>
    </xf>
    <xf numFmtId="0" fontId="27" fillId="0" borderId="0" xfId="0" applyFont="1" applyAlignment="1">
      <alignment horizontal="left" vertical="top"/>
    </xf>
    <xf numFmtId="3" fontId="29" fillId="0" borderId="11" xfId="0" applyNumberFormat="1" applyFont="1" applyBorder="1" applyAlignment="1">
      <alignment horizontal="justify" vertical="top"/>
    </xf>
    <xf numFmtId="3" fontId="29" fillId="0" borderId="10" xfId="0" applyNumberFormat="1" applyFont="1" applyBorder="1" applyAlignment="1">
      <alignment horizontal="justify" vertical="top"/>
    </xf>
    <xf numFmtId="3" fontId="35" fillId="0" borderId="10" xfId="0" applyNumberFormat="1" applyFont="1" applyBorder="1" applyAlignment="1">
      <alignment horizontal="justify" vertical="top" wrapText="1"/>
    </xf>
    <xf numFmtId="3" fontId="29" fillId="0" borderId="10" xfId="0" applyNumberFormat="1" applyFont="1" applyBorder="1" applyAlignment="1">
      <alignment horizontal="justify" vertical="top" wrapText="1"/>
    </xf>
    <xf numFmtId="0" fontId="25" fillId="0" borderId="11" xfId="0" applyFont="1" applyBorder="1" applyAlignment="1">
      <alignment horizontal="justify"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175" fontId="31" fillId="0" borderId="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horizontal="center" vertical="top" wrapText="1"/>
    </xf>
    <xf numFmtId="17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46" applyFont="1" applyAlignment="1">
      <alignment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31" fillId="0" borderId="17" xfId="0" applyFont="1" applyBorder="1" applyAlignment="1">
      <alignment horizontal="left"/>
    </xf>
    <xf numFmtId="0" fontId="31" fillId="0" borderId="17" xfId="0" applyFont="1" applyBorder="1" applyAlignment="1">
      <alignment/>
    </xf>
    <xf numFmtId="0" fontId="13" fillId="34" borderId="1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wrapText="1"/>
    </xf>
    <xf numFmtId="0" fontId="27" fillId="0" borderId="17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2" fillId="0" borderId="18" xfId="0" applyFont="1" applyBorder="1" applyAlignment="1">
      <alignment/>
    </xf>
    <xf numFmtId="173" fontId="31" fillId="0" borderId="0" xfId="48" applyFont="1" applyBorder="1" applyAlignment="1">
      <alignment horizontal="right" vertical="justify"/>
    </xf>
    <xf numFmtId="175" fontId="31" fillId="0" borderId="19" xfId="0" applyNumberFormat="1" applyFont="1" applyBorder="1" applyAlignment="1">
      <alignment vertical="justify"/>
    </xf>
    <xf numFmtId="173" fontId="31" fillId="0" borderId="0" xfId="48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0" fontId="31" fillId="0" borderId="19" xfId="0" applyFont="1" applyBorder="1" applyAlignment="1">
      <alignment vertical="justify"/>
    </xf>
    <xf numFmtId="173" fontId="31" fillId="0" borderId="0" xfId="0" applyNumberFormat="1" applyFont="1" applyBorder="1" applyAlignment="1">
      <alignment vertical="justify"/>
    </xf>
    <xf numFmtId="0" fontId="31" fillId="0" borderId="2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31" fillId="0" borderId="21" xfId="0" applyFont="1" applyBorder="1" applyAlignment="1">
      <alignment horizontal="right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3" fontId="14" fillId="34" borderId="22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vertical="top" wrapText="1"/>
    </xf>
    <xf numFmtId="175" fontId="31" fillId="0" borderId="10" xfId="0" applyNumberFormat="1" applyFont="1" applyBorder="1" applyAlignment="1">
      <alignment horizontal="center" vertical="center" wrapText="1"/>
    </xf>
    <xf numFmtId="175" fontId="25" fillId="0" borderId="10" xfId="0" applyNumberFormat="1" applyFont="1" applyBorder="1" applyAlignment="1">
      <alignment horizontal="center" vertical="center" wrapText="1"/>
    </xf>
    <xf numFmtId="175" fontId="24" fillId="0" borderId="10" xfId="0" applyNumberFormat="1" applyFont="1" applyBorder="1" applyAlignment="1">
      <alignment horizontal="center" vertical="center" wrapText="1"/>
    </xf>
    <xf numFmtId="175" fontId="25" fillId="0" borderId="10" xfId="46" applyNumberFormat="1" applyFont="1" applyBorder="1" applyAlignment="1">
      <alignment horizontal="center" vertical="top" wrapText="1"/>
    </xf>
    <xf numFmtId="175" fontId="25" fillId="0" borderId="10" xfId="46" applyNumberFormat="1" applyFont="1" applyBorder="1" applyAlignment="1">
      <alignment horizontal="center" vertical="center" wrapText="1"/>
    </xf>
    <xf numFmtId="175" fontId="23" fillId="0" borderId="10" xfId="46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12" fillId="0" borderId="10" xfId="46" applyFont="1" applyBorder="1" applyAlignment="1">
      <alignment horizontal="center" vertical="center" wrapText="1"/>
    </xf>
    <xf numFmtId="174" fontId="12" fillId="0" borderId="16" xfId="4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justify" vertical="top" wrapText="1"/>
    </xf>
    <xf numFmtId="3" fontId="38" fillId="0" borderId="11" xfId="0" applyNumberFormat="1" applyFont="1" applyBorder="1" applyAlignment="1">
      <alignment horizontal="center" vertical="center" wrapText="1"/>
    </xf>
    <xf numFmtId="175" fontId="2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175" fontId="23" fillId="0" borderId="10" xfId="0" applyNumberFormat="1" applyFont="1" applyBorder="1" applyAlignment="1">
      <alignment horizontal="right" vertical="center" wrapText="1"/>
    </xf>
    <xf numFmtId="175" fontId="23" fillId="0" borderId="10" xfId="0" applyNumberFormat="1" applyFont="1" applyFill="1" applyBorder="1" applyAlignment="1">
      <alignment horizontal="right" vertical="center"/>
    </xf>
    <xf numFmtId="175" fontId="31" fillId="0" borderId="10" xfId="0" applyNumberFormat="1" applyFont="1" applyBorder="1" applyAlignment="1">
      <alignment/>
    </xf>
    <xf numFmtId="175" fontId="31" fillId="0" borderId="0" xfId="46" applyNumberFormat="1" applyFont="1" applyBorder="1" applyAlignment="1">
      <alignment horizontal="right" vertical="center"/>
    </xf>
    <xf numFmtId="175" fontId="24" fillId="0" borderId="0" xfId="46" applyNumberFormat="1" applyFont="1" applyAlignment="1">
      <alignment horizontal="right" vertical="justify"/>
    </xf>
    <xf numFmtId="175" fontId="24" fillId="0" borderId="0" xfId="0" applyNumberFormat="1" applyFont="1" applyAlignment="1">
      <alignment vertical="justify"/>
    </xf>
    <xf numFmtId="175" fontId="24" fillId="0" borderId="0" xfId="46" applyNumberFormat="1" applyFont="1" applyAlignment="1">
      <alignment vertical="justify"/>
    </xf>
    <xf numFmtId="175" fontId="27" fillId="0" borderId="0" xfId="48" applyNumberFormat="1" applyFont="1" applyAlignment="1">
      <alignment horizontal="right" vertical="justify"/>
    </xf>
    <xf numFmtId="175" fontId="27" fillId="0" borderId="0" xfId="46" applyNumberFormat="1" applyFont="1" applyAlignment="1">
      <alignment vertical="justify"/>
    </xf>
    <xf numFmtId="175" fontId="27" fillId="0" borderId="0" xfId="48" applyNumberFormat="1" applyFont="1" applyAlignment="1">
      <alignment vertical="justify"/>
    </xf>
    <xf numFmtId="175" fontId="27" fillId="0" borderId="0" xfId="0" applyNumberFormat="1" applyFont="1" applyAlignment="1">
      <alignment vertical="justify"/>
    </xf>
    <xf numFmtId="175" fontId="24" fillId="0" borderId="0" xfId="0" applyNumberFormat="1" applyFont="1" applyAlignment="1">
      <alignment horizontal="right" vertical="justify"/>
    </xf>
    <xf numFmtId="175" fontId="25" fillId="0" borderId="11" xfId="46" applyNumberFormat="1" applyFont="1" applyBorder="1" applyAlignment="1">
      <alignment horizontal="center" vertical="center" wrapText="1"/>
    </xf>
    <xf numFmtId="175" fontId="25" fillId="0" borderId="11" xfId="46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3" fontId="33" fillId="33" borderId="11" xfId="46" applyNumberFormat="1" applyFont="1" applyFill="1" applyBorder="1" applyAlignment="1">
      <alignment horizontal="right"/>
    </xf>
    <xf numFmtId="3" fontId="29" fillId="33" borderId="10" xfId="46" applyNumberFormat="1" applyFont="1" applyFill="1" applyBorder="1" applyAlignment="1">
      <alignment horizontal="right"/>
    </xf>
    <xf numFmtId="3" fontId="29" fillId="0" borderId="10" xfId="46" applyNumberFormat="1" applyFont="1" applyBorder="1" applyAlignment="1">
      <alignment horizontal="right"/>
    </xf>
    <xf numFmtId="3" fontId="33" fillId="0" borderId="10" xfId="46" applyNumberFormat="1" applyFont="1" applyBorder="1" applyAlignment="1">
      <alignment horizontal="right"/>
    </xf>
    <xf numFmtId="3" fontId="33" fillId="33" borderId="10" xfId="46" applyNumberFormat="1" applyFont="1" applyFill="1" applyBorder="1" applyAlignment="1">
      <alignment horizontal="right"/>
    </xf>
    <xf numFmtId="3" fontId="29" fillId="0" borderId="10" xfId="46" applyNumberFormat="1" applyFont="1" applyFill="1" applyBorder="1" applyAlignment="1">
      <alignment horizontal="right"/>
    </xf>
    <xf numFmtId="3" fontId="29" fillId="0" borderId="11" xfId="46" applyNumberFormat="1" applyFont="1" applyBorder="1" applyAlignment="1">
      <alignment horizontal="right"/>
    </xf>
    <xf numFmtId="3" fontId="29" fillId="0" borderId="10" xfId="46" applyNumberFormat="1" applyFont="1" applyBorder="1" applyAlignment="1" quotePrefix="1">
      <alignment horizontal="right"/>
    </xf>
    <xf numFmtId="3" fontId="29" fillId="0" borderId="10" xfId="46" applyNumberFormat="1" applyFont="1" applyBorder="1" applyAlignment="1">
      <alignment/>
    </xf>
    <xf numFmtId="3" fontId="14" fillId="34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5" fillId="32" borderId="10" xfId="0" applyNumberFormat="1" applyFont="1" applyFill="1" applyBorder="1" applyAlignment="1">
      <alignment horizontal="right"/>
    </xf>
    <xf numFmtId="3" fontId="15" fillId="14" borderId="10" xfId="0" applyNumberFormat="1" applyFont="1" applyFill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76" fillId="35" borderId="10" xfId="0" applyNumberFormat="1" applyFont="1" applyFill="1" applyBorder="1" applyAlignment="1">
      <alignment horizontal="right"/>
    </xf>
    <xf numFmtId="15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23" fillId="0" borderId="10" xfId="46" applyNumberFormat="1" applyFont="1" applyBorder="1" applyAlignment="1">
      <alignment horizontal="right" vertical="center" wrapText="1"/>
    </xf>
    <xf numFmtId="0" fontId="16" fillId="0" borderId="0" xfId="0" applyFont="1" applyFill="1" applyAlignment="1" applyProtection="1">
      <alignment horizontal="center"/>
      <protection/>
    </xf>
    <xf numFmtId="4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0" fontId="77" fillId="0" borderId="10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175" fontId="25" fillId="0" borderId="25" xfId="46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24" xfId="0" applyFont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5" fillId="0" borderId="24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3" fontId="14" fillId="34" borderId="26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0" fontId="31" fillId="0" borderId="28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7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11" fillId="3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7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7" fillId="0" borderId="17" xfId="0" applyFont="1" applyBorder="1" applyAlignment="1">
      <alignment horizontal="left" vertical="top"/>
    </xf>
    <xf numFmtId="173" fontId="11" fillId="34" borderId="35" xfId="48" applyFont="1" applyFill="1" applyBorder="1" applyAlignment="1">
      <alignment horizontal="center" vertical="center" wrapText="1"/>
    </xf>
    <xf numFmtId="173" fontId="11" fillId="34" borderId="16" xfId="48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35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175" fontId="27" fillId="34" borderId="35" xfId="0" applyNumberFormat="1" applyFont="1" applyFill="1" applyBorder="1" applyAlignment="1">
      <alignment horizontal="center" vertical="justify"/>
    </xf>
    <xf numFmtId="0" fontId="27" fillId="0" borderId="17" xfId="0" applyFont="1" applyBorder="1" applyAlignment="1">
      <alignment horizontal="left" vertical="justify"/>
    </xf>
    <xf numFmtId="0" fontId="27" fillId="0" borderId="17" xfId="0" applyFont="1" applyBorder="1" applyAlignment="1">
      <alignment horizontal="left" vertical="justify" wrapText="1"/>
    </xf>
    <xf numFmtId="0" fontId="17" fillId="0" borderId="17" xfId="0" applyFont="1" applyBorder="1" applyAlignment="1">
      <alignment horizontal="left" vertical="justify" wrapText="1"/>
    </xf>
    <xf numFmtId="0" fontId="36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34" fillId="0" borderId="17" xfId="0" applyFont="1" applyBorder="1" applyAlignment="1">
      <alignment horizontal="left" vertical="justify"/>
    </xf>
    <xf numFmtId="0" fontId="31" fillId="34" borderId="46" xfId="0" applyFont="1" applyFill="1" applyBorder="1" applyAlignment="1">
      <alignment horizontal="center" vertical="top" wrapText="1"/>
    </xf>
    <xf numFmtId="0" fontId="31" fillId="34" borderId="47" xfId="0" applyFont="1" applyFill="1" applyBorder="1" applyAlignment="1">
      <alignment horizontal="center" vertical="top" wrapText="1"/>
    </xf>
    <xf numFmtId="0" fontId="31" fillId="0" borderId="29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top"/>
    </xf>
    <xf numFmtId="3" fontId="33" fillId="34" borderId="48" xfId="0" applyNumberFormat="1" applyFont="1" applyFill="1" applyBorder="1" applyAlignment="1">
      <alignment horizontal="center"/>
    </xf>
    <xf numFmtId="3" fontId="33" fillId="34" borderId="49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3" fontId="29" fillId="34" borderId="50" xfId="0" applyNumberFormat="1" applyFont="1" applyFill="1" applyBorder="1" applyAlignment="1">
      <alignment horizontal="center"/>
    </xf>
    <xf numFmtId="3" fontId="29" fillId="34" borderId="23" xfId="0" applyNumberFormat="1" applyFont="1" applyFill="1" applyBorder="1" applyAlignment="1">
      <alignment horizontal="center"/>
    </xf>
    <xf numFmtId="3" fontId="33" fillId="34" borderId="41" xfId="0" applyNumberFormat="1" applyFont="1" applyFill="1" applyBorder="1" applyAlignment="1">
      <alignment horizontal="center"/>
    </xf>
    <xf numFmtId="3" fontId="33" fillId="34" borderId="22" xfId="0" applyNumberFormat="1" applyFont="1" applyFill="1" applyBorder="1" applyAlignment="1">
      <alignment horizontal="center"/>
    </xf>
    <xf numFmtId="3" fontId="33" fillId="34" borderId="51" xfId="0" applyNumberFormat="1" applyFont="1" applyFill="1" applyBorder="1" applyAlignment="1">
      <alignment horizontal="center" wrapText="1"/>
    </xf>
    <xf numFmtId="3" fontId="33" fillId="34" borderId="52" xfId="0" applyNumberFormat="1" applyFont="1" applyFill="1" applyBorder="1" applyAlignment="1">
      <alignment horizontal="center" wrapText="1"/>
    </xf>
    <xf numFmtId="3" fontId="33" fillId="34" borderId="13" xfId="0" applyNumberFormat="1" applyFont="1" applyFill="1" applyBorder="1" applyAlignment="1">
      <alignment horizontal="center"/>
    </xf>
    <xf numFmtId="3" fontId="33" fillId="34" borderId="14" xfId="0" applyNumberFormat="1" applyFont="1" applyFill="1" applyBorder="1" applyAlignment="1">
      <alignment horizontal="center"/>
    </xf>
    <xf numFmtId="3" fontId="33" fillId="34" borderId="15" xfId="0" applyNumberFormat="1" applyFont="1" applyFill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14" fillId="34" borderId="53" xfId="0" applyNumberFormat="1" applyFont="1" applyFill="1" applyBorder="1" applyAlignment="1">
      <alignment horizontal="center"/>
    </xf>
    <xf numFmtId="3" fontId="14" fillId="34" borderId="54" xfId="0" applyNumberFormat="1" applyFont="1" applyFill="1" applyBorder="1" applyAlignment="1">
      <alignment horizontal="center"/>
    </xf>
    <xf numFmtId="3" fontId="14" fillId="34" borderId="17" xfId="0" applyNumberFormat="1" applyFont="1" applyFill="1" applyBorder="1" applyAlignment="1">
      <alignment horizontal="center"/>
    </xf>
    <xf numFmtId="0" fontId="0" fillId="0" borderId="54" xfId="0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3" fontId="15" fillId="34" borderId="50" xfId="0" applyNumberFormat="1" applyFont="1" applyFill="1" applyBorder="1" applyAlignment="1">
      <alignment horizontal="center"/>
    </xf>
    <xf numFmtId="3" fontId="15" fillId="34" borderId="23" xfId="0" applyNumberFormat="1" applyFont="1" applyFill="1" applyBorder="1" applyAlignment="1">
      <alignment horizontal="center"/>
    </xf>
    <xf numFmtId="3" fontId="14" fillId="34" borderId="41" xfId="0" applyNumberFormat="1" applyFont="1" applyFill="1" applyBorder="1" applyAlignment="1">
      <alignment horizontal="center"/>
    </xf>
    <xf numFmtId="3" fontId="14" fillId="34" borderId="22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2075"/>
          <c:y val="0.44225"/>
          <c:w val="0.5725"/>
          <c:h val="0.3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grafico!$B$13:$B$45</c:f>
              <c:strCache/>
            </c:strRef>
          </c:cat>
          <c:val>
            <c:numRef>
              <c:f>grafico!$C$13:$C$45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304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097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466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1409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3495675" y="1647825"/>
        <a:ext cx="51339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543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="150" zoomScaleNormal="150" zoomScalePageLayoutView="0" workbookViewId="0" topLeftCell="A22">
      <selection activeCell="B23" sqref="B23"/>
    </sheetView>
  </sheetViews>
  <sheetFormatPr defaultColWidth="11.421875" defaultRowHeight="12.75"/>
  <cols>
    <col min="1" max="1" width="6.00390625" style="2" customWidth="1"/>
    <col min="2" max="2" width="25.140625" style="2" customWidth="1"/>
    <col min="3" max="3" width="12.00390625" style="2" customWidth="1"/>
    <col min="4" max="4" width="12.57421875" style="2" customWidth="1"/>
    <col min="5" max="6" width="7.140625" style="2" customWidth="1"/>
    <col min="7" max="7" width="9.28125" style="2" customWidth="1"/>
    <col min="8" max="8" width="16.140625" style="2" customWidth="1"/>
    <col min="9" max="9" width="9.7109375" style="2" customWidth="1"/>
    <col min="10" max="10" width="21.140625" style="2" customWidth="1"/>
    <col min="11" max="11" width="7.140625" style="2" customWidth="1"/>
    <col min="12" max="12" width="30.421875" style="2" customWidth="1"/>
    <col min="13" max="16384" width="11.421875" style="2" customWidth="1"/>
  </cols>
  <sheetData>
    <row r="1" spans="1:11" ht="12.7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  <c r="K1" s="76"/>
    </row>
    <row r="2" spans="1:11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  <c r="K2" s="76"/>
    </row>
    <row r="3" spans="1:11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  <c r="K3" s="76"/>
    </row>
    <row r="4" spans="1:11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  <c r="K4" s="76"/>
    </row>
    <row r="5" spans="1:11" ht="12.75" customHeight="1">
      <c r="A5" s="268"/>
      <c r="B5" s="269"/>
      <c r="C5" s="273"/>
      <c r="D5" s="273"/>
      <c r="E5" s="273"/>
      <c r="F5" s="273"/>
      <c r="G5" s="273"/>
      <c r="H5" s="273"/>
      <c r="I5" s="279" t="s">
        <v>148</v>
      </c>
      <c r="J5" s="280"/>
      <c r="K5" s="77"/>
    </row>
    <row r="6" spans="1:11" s="12" customFormat="1" ht="13.5" customHeight="1">
      <c r="A6" s="268"/>
      <c r="B6" s="269"/>
      <c r="C6" s="283" t="s">
        <v>164</v>
      </c>
      <c r="D6" s="283"/>
      <c r="E6" s="283" t="s">
        <v>165</v>
      </c>
      <c r="F6" s="283"/>
      <c r="G6" s="283"/>
      <c r="H6" s="283"/>
      <c r="I6" s="281" t="s">
        <v>166</v>
      </c>
      <c r="J6" s="282"/>
      <c r="K6" s="76"/>
    </row>
    <row r="7" spans="1:11" ht="16.5" customHeight="1">
      <c r="A7" s="268"/>
      <c r="B7" s="269"/>
      <c r="C7" s="283" t="s">
        <v>167</v>
      </c>
      <c r="D7" s="283"/>
      <c r="E7" s="283" t="s">
        <v>168</v>
      </c>
      <c r="F7" s="283"/>
      <c r="G7" s="283"/>
      <c r="H7" s="283"/>
      <c r="I7" s="283" t="s">
        <v>170</v>
      </c>
      <c r="J7" s="284"/>
      <c r="K7" s="78"/>
    </row>
    <row r="8" spans="1:11" ht="16.5" customHeight="1">
      <c r="A8" s="270"/>
      <c r="B8" s="271"/>
      <c r="C8" s="285"/>
      <c r="D8" s="285"/>
      <c r="E8" s="285" t="s">
        <v>169</v>
      </c>
      <c r="F8" s="285"/>
      <c r="G8" s="285"/>
      <c r="H8" s="285"/>
      <c r="I8" s="285" t="s">
        <v>171</v>
      </c>
      <c r="J8" s="293"/>
      <c r="K8" s="78"/>
    </row>
    <row r="9" spans="1:11" ht="13.5" customHeight="1">
      <c r="A9" s="296" t="s">
        <v>151</v>
      </c>
      <c r="B9" s="297"/>
      <c r="C9" s="161" t="s">
        <v>215</v>
      </c>
      <c r="D9" s="162"/>
      <c r="E9" s="162"/>
      <c r="F9" s="162"/>
      <c r="G9" s="162"/>
      <c r="H9" s="153"/>
      <c r="I9" s="153"/>
      <c r="J9" s="167"/>
      <c r="K9" s="78"/>
    </row>
    <row r="10" spans="1:10" s="4" customFormat="1" ht="14.25" customHeight="1">
      <c r="A10" s="294" t="s">
        <v>8</v>
      </c>
      <c r="B10" s="295"/>
      <c r="C10" s="211">
        <v>290761321</v>
      </c>
      <c r="D10" s="168"/>
      <c r="E10" s="154"/>
      <c r="F10" s="154"/>
      <c r="G10" s="154"/>
      <c r="H10" s="154" t="s">
        <v>115</v>
      </c>
      <c r="I10" s="154"/>
      <c r="J10" s="169"/>
    </row>
    <row r="11" spans="1:10" s="4" customFormat="1" ht="15">
      <c r="A11" s="294" t="s">
        <v>149</v>
      </c>
      <c r="B11" s="295"/>
      <c r="C11" s="211"/>
      <c r="D11" s="170"/>
      <c r="E11" s="171"/>
      <c r="F11" s="171"/>
      <c r="G11" s="171"/>
      <c r="H11" s="171"/>
      <c r="I11" s="171"/>
      <c r="J11" s="172"/>
    </row>
    <row r="12" spans="1:10" s="4" customFormat="1" ht="15">
      <c r="A12" s="294" t="s">
        <v>150</v>
      </c>
      <c r="B12" s="295"/>
      <c r="C12" s="211">
        <v>290761321</v>
      </c>
      <c r="D12" s="173"/>
      <c r="E12" s="171"/>
      <c r="F12" s="171"/>
      <c r="G12" s="171"/>
      <c r="H12" s="171"/>
      <c r="I12" s="171"/>
      <c r="J12" s="172"/>
    </row>
    <row r="13" spans="1:10" s="3" customFormat="1" ht="13.5">
      <c r="A13" s="299" t="s">
        <v>12</v>
      </c>
      <c r="B13" s="300"/>
      <c r="C13" s="174"/>
      <c r="D13" s="175"/>
      <c r="E13" s="175"/>
      <c r="F13" s="175"/>
      <c r="G13" s="175"/>
      <c r="H13" s="175"/>
      <c r="I13" s="175"/>
      <c r="J13" s="176" t="s">
        <v>13</v>
      </c>
    </row>
    <row r="14" spans="1:10" s="7" customFormat="1" ht="13.5" customHeight="1">
      <c r="A14" s="301" t="s">
        <v>47</v>
      </c>
      <c r="B14" s="286" t="s">
        <v>1</v>
      </c>
      <c r="C14" s="286" t="s">
        <v>154</v>
      </c>
      <c r="D14" s="286" t="s">
        <v>11</v>
      </c>
      <c r="E14" s="298" t="s">
        <v>0</v>
      </c>
      <c r="F14" s="298"/>
      <c r="G14" s="298"/>
      <c r="H14" s="286" t="s">
        <v>48</v>
      </c>
      <c r="I14" s="286" t="s">
        <v>49</v>
      </c>
      <c r="J14" s="291" t="s">
        <v>3</v>
      </c>
    </row>
    <row r="15" spans="1:10" s="7" customFormat="1" ht="27.75" customHeight="1" thickBot="1">
      <c r="A15" s="302"/>
      <c r="B15" s="287"/>
      <c r="C15" s="287"/>
      <c r="D15" s="287"/>
      <c r="E15" s="91" t="s">
        <v>2</v>
      </c>
      <c r="F15" s="91" t="s">
        <v>6</v>
      </c>
      <c r="G15" s="91" t="s">
        <v>135</v>
      </c>
      <c r="H15" s="286"/>
      <c r="I15" s="286"/>
      <c r="J15" s="292"/>
    </row>
    <row r="16" spans="1:14" s="7" customFormat="1" ht="54" customHeight="1">
      <c r="A16" s="63">
        <v>1</v>
      </c>
      <c r="B16" s="110" t="s">
        <v>216</v>
      </c>
      <c r="C16" s="220">
        <f>10*C10/100</f>
        <v>29076132.1</v>
      </c>
      <c r="D16" s="265" t="s">
        <v>252</v>
      </c>
      <c r="E16" s="238">
        <v>41308</v>
      </c>
      <c r="F16" s="239" t="s">
        <v>251</v>
      </c>
      <c r="G16" s="250">
        <v>11</v>
      </c>
      <c r="H16" s="258" t="s">
        <v>227</v>
      </c>
      <c r="I16" s="262">
        <v>4</v>
      </c>
      <c r="J16" s="252" t="s">
        <v>243</v>
      </c>
      <c r="L16" s="289"/>
      <c r="M16" s="289"/>
      <c r="N16" s="289"/>
    </row>
    <row r="17" spans="1:14" s="7" customFormat="1" ht="81" customHeight="1">
      <c r="A17" s="63">
        <v>2</v>
      </c>
      <c r="B17" s="249" t="s">
        <v>217</v>
      </c>
      <c r="C17" s="221">
        <f>10*C10/100</f>
        <v>29076132.1</v>
      </c>
      <c r="D17" s="248" t="s">
        <v>235</v>
      </c>
      <c r="E17" s="238">
        <v>41308</v>
      </c>
      <c r="F17" s="239">
        <v>41486</v>
      </c>
      <c r="G17" s="250">
        <v>6</v>
      </c>
      <c r="H17" s="258" t="s">
        <v>228</v>
      </c>
      <c r="I17" s="262">
        <v>1</v>
      </c>
      <c r="J17" s="252" t="s">
        <v>243</v>
      </c>
      <c r="L17" s="290"/>
      <c r="M17" s="290"/>
      <c r="N17" s="290"/>
    </row>
    <row r="18" spans="1:14" s="7" customFormat="1" ht="57" customHeight="1">
      <c r="A18" s="63">
        <v>3</v>
      </c>
      <c r="B18" s="110" t="s">
        <v>218</v>
      </c>
      <c r="C18" s="220">
        <f>10*C10/100</f>
        <v>29076132.1</v>
      </c>
      <c r="D18" s="109" t="s">
        <v>253</v>
      </c>
      <c r="E18" s="239">
        <v>41308</v>
      </c>
      <c r="F18" s="238">
        <v>41628</v>
      </c>
      <c r="G18" s="250">
        <v>10</v>
      </c>
      <c r="H18" s="258" t="s">
        <v>229</v>
      </c>
      <c r="I18" s="262">
        <v>4</v>
      </c>
      <c r="J18" s="252" t="s">
        <v>243</v>
      </c>
      <c r="L18" s="288"/>
      <c r="M18" s="288"/>
      <c r="N18" s="288"/>
    </row>
    <row r="19" spans="1:14" s="3" customFormat="1" ht="53.25" customHeight="1">
      <c r="A19" s="64">
        <v>4</v>
      </c>
      <c r="B19" s="114" t="s">
        <v>219</v>
      </c>
      <c r="C19" s="192">
        <f>10*C10/100</f>
        <v>29076132.1</v>
      </c>
      <c r="D19" s="109" t="s">
        <v>254</v>
      </c>
      <c r="E19" s="238">
        <v>41335</v>
      </c>
      <c r="F19" s="239">
        <v>41608</v>
      </c>
      <c r="G19" s="250">
        <v>9</v>
      </c>
      <c r="H19" s="258" t="s">
        <v>230</v>
      </c>
      <c r="I19" s="262">
        <v>3</v>
      </c>
      <c r="J19" s="252" t="s">
        <v>245</v>
      </c>
      <c r="K19" s="7"/>
      <c r="L19" s="276"/>
      <c r="M19" s="276"/>
      <c r="N19" s="276"/>
    </row>
    <row r="20" spans="1:14" s="3" customFormat="1" ht="111" customHeight="1">
      <c r="A20" s="64">
        <v>5</v>
      </c>
      <c r="B20" s="114" t="s">
        <v>220</v>
      </c>
      <c r="C20" s="192">
        <f>10*C10/100</f>
        <v>29076132.1</v>
      </c>
      <c r="D20" s="248" t="s">
        <v>238</v>
      </c>
      <c r="E20" s="238">
        <v>41335</v>
      </c>
      <c r="F20" s="239">
        <v>41608</v>
      </c>
      <c r="G20" s="250">
        <v>3</v>
      </c>
      <c r="H20" s="258" t="s">
        <v>231</v>
      </c>
      <c r="I20" s="262">
        <v>3</v>
      </c>
      <c r="J20" s="253" t="s">
        <v>245</v>
      </c>
      <c r="K20" s="7"/>
      <c r="L20" s="36"/>
      <c r="M20" s="36"/>
      <c r="N20" s="36"/>
    </row>
    <row r="21" spans="1:14" s="3" customFormat="1" ht="83.25" customHeight="1">
      <c r="A21" s="64">
        <v>6</v>
      </c>
      <c r="B21" s="256" t="s">
        <v>221</v>
      </c>
      <c r="C21" s="192">
        <f>10*C10/100</f>
        <v>29076132.1</v>
      </c>
      <c r="D21" s="65" t="s">
        <v>255</v>
      </c>
      <c r="E21" s="238">
        <v>41335</v>
      </c>
      <c r="F21" s="239">
        <v>41608</v>
      </c>
      <c r="G21" s="251">
        <v>9</v>
      </c>
      <c r="H21" s="261" t="s">
        <v>232</v>
      </c>
      <c r="I21" s="262">
        <v>1</v>
      </c>
      <c r="J21" s="253" t="s">
        <v>247</v>
      </c>
      <c r="K21" s="7"/>
      <c r="L21" s="36"/>
      <c r="M21" s="36"/>
      <c r="N21" s="36"/>
    </row>
    <row r="22" spans="1:14" s="3" customFormat="1" ht="175.5" customHeight="1">
      <c r="A22" s="254">
        <v>7</v>
      </c>
      <c r="B22" s="257" t="s">
        <v>222</v>
      </c>
      <c r="C22" s="255">
        <f>10*C10/100</f>
        <v>29076132.1</v>
      </c>
      <c r="D22" s="65" t="s">
        <v>256</v>
      </c>
      <c r="E22" s="238">
        <v>41335</v>
      </c>
      <c r="F22" s="239">
        <v>41608</v>
      </c>
      <c r="G22" s="251">
        <v>9</v>
      </c>
      <c r="H22" s="258" t="s">
        <v>246</v>
      </c>
      <c r="I22" s="259">
        <v>13</v>
      </c>
      <c r="J22" s="253" t="s">
        <v>247</v>
      </c>
      <c r="K22" s="7"/>
      <c r="L22" s="36">
        <v>86</v>
      </c>
      <c r="M22" s="36"/>
      <c r="N22" s="36"/>
    </row>
    <row r="23" spans="1:14" s="3" customFormat="1" ht="41.25" customHeight="1">
      <c r="A23" s="254">
        <v>8</v>
      </c>
      <c r="B23" s="257" t="s">
        <v>223</v>
      </c>
      <c r="C23" s="255">
        <f>10*C10/100</f>
        <v>29076132.1</v>
      </c>
      <c r="D23" s="65" t="s">
        <v>257</v>
      </c>
      <c r="E23" s="238">
        <v>41335</v>
      </c>
      <c r="F23" s="239">
        <v>41608</v>
      </c>
      <c r="G23" s="251">
        <v>9</v>
      </c>
      <c r="H23" s="258" t="s">
        <v>226</v>
      </c>
      <c r="I23" s="260">
        <v>2</v>
      </c>
      <c r="J23" s="253" t="s">
        <v>250</v>
      </c>
      <c r="K23" s="7"/>
      <c r="L23" s="36"/>
      <c r="M23" s="36"/>
      <c r="N23" s="36"/>
    </row>
    <row r="24" spans="1:14" s="3" customFormat="1" ht="52.5" customHeight="1">
      <c r="A24" s="254">
        <v>9</v>
      </c>
      <c r="B24" s="257" t="s">
        <v>224</v>
      </c>
      <c r="C24" s="255">
        <f>10*C10/100</f>
        <v>29076132.1</v>
      </c>
      <c r="D24" s="65" t="s">
        <v>259</v>
      </c>
      <c r="E24" s="238">
        <v>41335</v>
      </c>
      <c r="F24" s="239">
        <v>41608</v>
      </c>
      <c r="G24" s="251">
        <v>9</v>
      </c>
      <c r="H24" s="258" t="s">
        <v>233</v>
      </c>
      <c r="I24" s="260">
        <v>2</v>
      </c>
      <c r="J24" s="253" t="s">
        <v>249</v>
      </c>
      <c r="K24" s="7"/>
      <c r="L24" s="36"/>
      <c r="M24" s="36"/>
      <c r="N24" s="36"/>
    </row>
    <row r="25" spans="1:14" s="3" customFormat="1" ht="63" customHeight="1">
      <c r="A25" s="254">
        <v>10</v>
      </c>
      <c r="B25" s="257" t="s">
        <v>225</v>
      </c>
      <c r="C25" s="255">
        <f>10*C10/100</f>
        <v>29076132.1</v>
      </c>
      <c r="D25" s="65" t="s">
        <v>258</v>
      </c>
      <c r="E25" s="238">
        <v>41335</v>
      </c>
      <c r="F25" s="239">
        <v>41608</v>
      </c>
      <c r="G25" s="251">
        <v>9</v>
      </c>
      <c r="H25" s="258" t="s">
        <v>234</v>
      </c>
      <c r="I25" s="260">
        <v>5</v>
      </c>
      <c r="J25" s="253" t="s">
        <v>248</v>
      </c>
      <c r="K25" s="7"/>
      <c r="L25" s="36"/>
      <c r="M25" s="36"/>
      <c r="N25" s="36"/>
    </row>
    <row r="26" spans="1:14" s="3" customFormat="1" ht="11.25" customHeight="1">
      <c r="A26" s="58"/>
      <c r="B26" s="149"/>
      <c r="C26" s="188">
        <f>SUM(C16:C25)</f>
        <v>290761321</v>
      </c>
      <c r="D26" s="150">
        <f>SUM(D16:D25)</f>
        <v>0</v>
      </c>
      <c r="E26" s="151"/>
      <c r="F26" s="151"/>
      <c r="G26" s="59"/>
      <c r="H26" s="149"/>
      <c r="I26" s="150"/>
      <c r="J26" s="152"/>
      <c r="K26" s="7"/>
      <c r="L26" s="36"/>
      <c r="M26" s="36"/>
      <c r="N26" s="36"/>
    </row>
    <row r="27" spans="1:11" s="3" customFormat="1" ht="12.75">
      <c r="A27" s="2"/>
      <c r="B27" s="45"/>
      <c r="C27" s="45"/>
      <c r="D27" s="2"/>
      <c r="E27" s="2"/>
      <c r="F27" s="2"/>
      <c r="G27" s="2"/>
      <c r="H27" s="2"/>
      <c r="I27" s="2"/>
      <c r="J27" s="2"/>
      <c r="K27" s="36"/>
    </row>
    <row r="28" spans="2:11" s="3" customFormat="1" ht="11.25">
      <c r="B28" s="46"/>
      <c r="C28" s="46"/>
      <c r="K28" s="36"/>
    </row>
    <row r="29" spans="2:3" s="3" customFormat="1" ht="11.25">
      <c r="B29" s="46"/>
      <c r="C29" s="46"/>
    </row>
    <row r="30" spans="2:7" s="3" customFormat="1" ht="11.25">
      <c r="B30" s="46"/>
      <c r="C30" s="46"/>
      <c r="G30" s="3" t="s">
        <v>173</v>
      </c>
    </row>
    <row r="31" spans="2:12" s="3" customFormat="1" ht="11.25">
      <c r="B31" s="46"/>
      <c r="C31" s="46"/>
      <c r="L31" s="3">
        <f>15*86/100</f>
        <v>12.9</v>
      </c>
    </row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</sheetData>
  <sheetProtection/>
  <mergeCells count="33">
    <mergeCell ref="I8:J8"/>
    <mergeCell ref="A11:B11"/>
    <mergeCell ref="A9:B9"/>
    <mergeCell ref="A12:B12"/>
    <mergeCell ref="A10:B10"/>
    <mergeCell ref="E14:G14"/>
    <mergeCell ref="A13:B13"/>
    <mergeCell ref="A14:A15"/>
    <mergeCell ref="B14:B15"/>
    <mergeCell ref="D14:D15"/>
    <mergeCell ref="L18:N18"/>
    <mergeCell ref="L16:N16"/>
    <mergeCell ref="L17:N17"/>
    <mergeCell ref="I14:I15"/>
    <mergeCell ref="J14:J15"/>
    <mergeCell ref="C6:D6"/>
    <mergeCell ref="C7:D7"/>
    <mergeCell ref="E6:H6"/>
    <mergeCell ref="E7:H7"/>
    <mergeCell ref="C8:D8"/>
    <mergeCell ref="H14:H15"/>
    <mergeCell ref="E8:H8"/>
    <mergeCell ref="C14:C15"/>
    <mergeCell ref="A1:B8"/>
    <mergeCell ref="C1:H5"/>
    <mergeCell ref="I4:J4"/>
    <mergeCell ref="L19:N19"/>
    <mergeCell ref="I1:J1"/>
    <mergeCell ref="I2:J2"/>
    <mergeCell ref="I3:J3"/>
    <mergeCell ref="I5:J5"/>
    <mergeCell ref="I6:J6"/>
    <mergeCell ref="I7:J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6">
      <selection activeCell="J22" sqref="J22"/>
    </sheetView>
  </sheetViews>
  <sheetFormatPr defaultColWidth="11.421875" defaultRowHeight="12.75"/>
  <cols>
    <col min="1" max="1" width="5.28125" style="13" customWidth="1"/>
    <col min="2" max="2" width="24.421875" style="13" customWidth="1"/>
    <col min="3" max="3" width="19.140625" style="13" customWidth="1"/>
    <col min="4" max="4" width="16.140625" style="13" customWidth="1"/>
    <col min="5" max="5" width="12.57421875" style="13" customWidth="1"/>
    <col min="6" max="6" width="10.140625" style="13" customWidth="1"/>
    <col min="7" max="7" width="8.8515625" style="13" customWidth="1"/>
    <col min="8" max="8" width="11.421875" style="13" customWidth="1"/>
    <col min="9" max="9" width="14.57421875" style="13" customWidth="1"/>
    <col min="10" max="10" width="15.28125" style="13" customWidth="1"/>
    <col min="11" max="11" width="8.28125" style="13" customWidth="1"/>
    <col min="12" max="12" width="21.140625" style="13" customWidth="1"/>
    <col min="13" max="16384" width="11.421875" style="13" customWidth="1"/>
  </cols>
  <sheetData>
    <row r="1" spans="1:10" ht="12.7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</row>
    <row r="2" spans="1:10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</row>
    <row r="3" spans="1:10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</row>
    <row r="4" spans="1:10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ht="12.75">
      <c r="A5" s="268"/>
      <c r="B5" s="269"/>
      <c r="C5" s="273"/>
      <c r="D5" s="273"/>
      <c r="E5" s="273"/>
      <c r="F5" s="273"/>
      <c r="G5" s="273"/>
      <c r="H5" s="273"/>
      <c r="I5" s="279" t="s">
        <v>148</v>
      </c>
      <c r="J5" s="280"/>
    </row>
    <row r="6" spans="1:10" ht="18" customHeight="1">
      <c r="A6" s="268"/>
      <c r="B6" s="269"/>
      <c r="C6" s="281" t="s">
        <v>164</v>
      </c>
      <c r="D6" s="281"/>
      <c r="E6" s="281" t="s">
        <v>165</v>
      </c>
      <c r="F6" s="281"/>
      <c r="G6" s="281"/>
      <c r="H6" s="281"/>
      <c r="I6" s="281" t="s">
        <v>166</v>
      </c>
      <c r="J6" s="282"/>
    </row>
    <row r="7" spans="1:10" ht="15.75" customHeight="1">
      <c r="A7" s="268"/>
      <c r="B7" s="269"/>
      <c r="C7" s="281" t="s">
        <v>167</v>
      </c>
      <c r="D7" s="281"/>
      <c r="E7" s="281" t="s">
        <v>168</v>
      </c>
      <c r="F7" s="281"/>
      <c r="G7" s="281"/>
      <c r="H7" s="281"/>
      <c r="I7" s="281" t="s">
        <v>170</v>
      </c>
      <c r="J7" s="282"/>
    </row>
    <row r="8" spans="1:10" ht="15.75" customHeight="1">
      <c r="A8" s="270"/>
      <c r="B8" s="271"/>
      <c r="C8" s="303"/>
      <c r="D8" s="303"/>
      <c r="E8" s="303" t="s">
        <v>169</v>
      </c>
      <c r="F8" s="303"/>
      <c r="G8" s="303"/>
      <c r="H8" s="303"/>
      <c r="I8" s="303" t="s">
        <v>171</v>
      </c>
      <c r="J8" s="304"/>
    </row>
    <row r="9" spans="1:11" ht="15.75" customHeight="1">
      <c r="A9" s="310" t="s">
        <v>7</v>
      </c>
      <c r="B9" s="310"/>
      <c r="C9" s="308" t="s">
        <v>208</v>
      </c>
      <c r="D9" s="309"/>
      <c r="E9" s="164"/>
      <c r="F9" s="164"/>
      <c r="G9" s="164"/>
      <c r="H9" s="164"/>
      <c r="I9" s="81" t="s">
        <v>115</v>
      </c>
      <c r="J9" s="166">
        <f>'POA-01'!I10</f>
        <v>0</v>
      </c>
      <c r="K9" s="80"/>
    </row>
    <row r="10" spans="1:10" ht="16.5">
      <c r="A10" s="316" t="s">
        <v>8</v>
      </c>
      <c r="B10" s="316"/>
      <c r="C10" s="212">
        <f>'POA-01'!C10</f>
        <v>290761321</v>
      </c>
      <c r="D10" s="82"/>
      <c r="E10" s="82"/>
      <c r="F10" s="82"/>
      <c r="G10" s="82"/>
      <c r="H10" s="82"/>
      <c r="I10" s="82"/>
      <c r="J10" s="69"/>
    </row>
    <row r="11" spans="1:10" ht="16.5">
      <c r="A11" s="316" t="s">
        <v>152</v>
      </c>
      <c r="B11" s="316"/>
      <c r="C11" s="213">
        <f>'POA-01'!D11</f>
        <v>0</v>
      </c>
      <c r="D11" s="82"/>
      <c r="E11" s="82"/>
      <c r="F11" s="82"/>
      <c r="G11" s="82"/>
      <c r="H11" s="82"/>
      <c r="I11" s="82"/>
      <c r="J11" s="69"/>
    </row>
    <row r="12" spans="1:10" ht="16.5">
      <c r="A12" s="316" t="s">
        <v>150</v>
      </c>
      <c r="B12" s="316"/>
      <c r="C12" s="214">
        <f>C10</f>
        <v>290761321</v>
      </c>
      <c r="D12" s="82"/>
      <c r="E12" s="82"/>
      <c r="F12" s="82"/>
      <c r="G12" s="82"/>
      <c r="H12" s="82"/>
      <c r="I12" s="82"/>
      <c r="J12" s="69"/>
    </row>
    <row r="13" spans="1:10" ht="12.7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4.25" thickBot="1">
      <c r="A14" s="83" t="s">
        <v>19</v>
      </c>
      <c r="B14" s="83"/>
      <c r="C14" s="83"/>
      <c r="D14" s="83"/>
      <c r="E14" s="83"/>
      <c r="F14" s="83"/>
      <c r="G14" s="83"/>
      <c r="H14" s="83"/>
      <c r="I14" s="83"/>
      <c r="J14" s="84" t="s">
        <v>20</v>
      </c>
    </row>
    <row r="15" spans="1:10" ht="12.75">
      <c r="A15" s="317" t="s">
        <v>47</v>
      </c>
      <c r="B15" s="305" t="s">
        <v>14</v>
      </c>
      <c r="C15" s="305" t="s">
        <v>15</v>
      </c>
      <c r="D15" s="305" t="s">
        <v>16</v>
      </c>
      <c r="E15" s="305" t="s">
        <v>0</v>
      </c>
      <c r="F15" s="305"/>
      <c r="G15" s="305"/>
      <c r="H15" s="305"/>
      <c r="I15" s="311" t="s">
        <v>23</v>
      </c>
      <c r="J15" s="313" t="s">
        <v>17</v>
      </c>
    </row>
    <row r="16" spans="1:10" ht="18">
      <c r="A16" s="318"/>
      <c r="B16" s="315"/>
      <c r="C16" s="315"/>
      <c r="D16" s="315"/>
      <c r="E16" s="163" t="s">
        <v>2</v>
      </c>
      <c r="F16" s="163" t="s">
        <v>4</v>
      </c>
      <c r="G16" s="163" t="s">
        <v>5</v>
      </c>
      <c r="H16" s="163" t="s">
        <v>22</v>
      </c>
      <c r="I16" s="312"/>
      <c r="J16" s="314"/>
    </row>
    <row r="17" spans="1:10" ht="12.75" customHeight="1">
      <c r="A17" s="306" t="s">
        <v>21</v>
      </c>
      <c r="B17" s="306"/>
      <c r="C17" s="306"/>
      <c r="D17" s="306"/>
      <c r="E17" s="306"/>
      <c r="F17" s="306"/>
      <c r="G17" s="306"/>
      <c r="H17" s="307"/>
      <c r="I17" s="1"/>
      <c r="J17" s="85"/>
    </row>
    <row r="18" spans="1:13" ht="72" customHeight="1">
      <c r="A18" s="198">
        <v>2</v>
      </c>
      <c r="B18" s="148" t="s">
        <v>237</v>
      </c>
      <c r="C18" s="148" t="s">
        <v>211</v>
      </c>
      <c r="D18" s="148" t="s">
        <v>212</v>
      </c>
      <c r="E18" s="194">
        <v>41275</v>
      </c>
      <c r="F18" s="194">
        <v>41455</v>
      </c>
      <c r="G18" s="195">
        <v>6</v>
      </c>
      <c r="H18" s="195">
        <v>100</v>
      </c>
      <c r="I18" s="196">
        <f>+J18/G18</f>
        <v>4166343.3833333333</v>
      </c>
      <c r="J18" s="196">
        <v>24998060.3</v>
      </c>
      <c r="L18" s="241"/>
      <c r="M18" s="242"/>
    </row>
    <row r="19" spans="1:13" ht="81">
      <c r="A19" s="198">
        <v>4</v>
      </c>
      <c r="B19" s="66" t="s">
        <v>236</v>
      </c>
      <c r="C19" s="66" t="s">
        <v>213</v>
      </c>
      <c r="D19" s="66" t="s">
        <v>214</v>
      </c>
      <c r="E19" s="194">
        <v>41275</v>
      </c>
      <c r="F19" s="194">
        <v>41455</v>
      </c>
      <c r="G19" s="195">
        <v>6</v>
      </c>
      <c r="H19" s="195">
        <v>100</v>
      </c>
      <c r="I19" s="197">
        <f>+J19/G19</f>
        <v>3927001.6999999997</v>
      </c>
      <c r="J19" s="196">
        <v>23562010.2</v>
      </c>
      <c r="L19" s="241"/>
      <c r="M19" s="242"/>
    </row>
    <row r="20" spans="1:13" ht="12.75">
      <c r="A20" s="47"/>
      <c r="B20" s="10"/>
      <c r="C20" s="10"/>
      <c r="D20" s="48"/>
      <c r="E20" s="10"/>
      <c r="F20" s="10"/>
      <c r="G20" s="10"/>
      <c r="H20" s="47"/>
      <c r="I20" s="1" t="s">
        <v>116</v>
      </c>
      <c r="J20" s="86">
        <f>SUM(J18:J19)</f>
        <v>48560070.5</v>
      </c>
      <c r="L20" s="241"/>
      <c r="M20" s="242"/>
    </row>
    <row r="21" spans="1:13" ht="12.75">
      <c r="A21" s="49"/>
      <c r="B21" s="50"/>
      <c r="C21" s="50"/>
      <c r="D21" s="50"/>
      <c r="E21" s="50"/>
      <c r="F21" s="50"/>
      <c r="G21" s="50"/>
      <c r="H21" s="50"/>
      <c r="I21" s="49"/>
      <c r="J21" s="49"/>
      <c r="L21" s="243"/>
      <c r="M21" s="242"/>
    </row>
    <row r="22" spans="1:10" ht="12.75">
      <c r="A22" s="49"/>
      <c r="B22" s="49"/>
      <c r="C22" s="49"/>
      <c r="D22" s="49"/>
      <c r="E22" s="49"/>
      <c r="F22" s="49"/>
      <c r="G22" s="49"/>
      <c r="H22" s="49"/>
      <c r="I22" s="51" t="s">
        <v>29</v>
      </c>
      <c r="J22" s="87">
        <f>+J17+J20</f>
        <v>48560070.5</v>
      </c>
    </row>
  </sheetData>
  <sheetProtection/>
  <mergeCells count="29">
    <mergeCell ref="A9:B9"/>
    <mergeCell ref="I15:I16"/>
    <mergeCell ref="J15:J16"/>
    <mergeCell ref="D15:D16"/>
    <mergeCell ref="A11:B11"/>
    <mergeCell ref="A15:A16"/>
    <mergeCell ref="B15:B16"/>
    <mergeCell ref="C15:C16"/>
    <mergeCell ref="A10:B10"/>
    <mergeCell ref="A12:B12"/>
    <mergeCell ref="E15:H15"/>
    <mergeCell ref="A17:H17"/>
    <mergeCell ref="I1:J1"/>
    <mergeCell ref="I2:J2"/>
    <mergeCell ref="I3:J3"/>
    <mergeCell ref="I4:J4"/>
    <mergeCell ref="I5:J5"/>
    <mergeCell ref="C6:D6"/>
    <mergeCell ref="I7:J7"/>
    <mergeCell ref="C9:D9"/>
    <mergeCell ref="A1:B8"/>
    <mergeCell ref="C1:H5"/>
    <mergeCell ref="C8:D8"/>
    <mergeCell ref="E8:H8"/>
    <mergeCell ref="I8:J8"/>
    <mergeCell ref="E6:H6"/>
    <mergeCell ref="I6:J6"/>
    <mergeCell ref="C7:D7"/>
    <mergeCell ref="E7:H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B12">
      <selection activeCell="B19" sqref="B19:I19"/>
    </sheetView>
  </sheetViews>
  <sheetFormatPr defaultColWidth="11.421875" defaultRowHeight="12.75"/>
  <cols>
    <col min="1" max="1" width="6.00390625" style="2" customWidth="1"/>
    <col min="2" max="2" width="25.7109375" style="2" customWidth="1"/>
    <col min="3" max="3" width="19.28125" style="2" customWidth="1"/>
    <col min="4" max="4" width="14.00390625" style="2" customWidth="1"/>
    <col min="5" max="5" width="10.57421875" style="2" customWidth="1"/>
    <col min="6" max="8" width="12.7109375" style="2" customWidth="1"/>
    <col min="9" max="9" width="15.57421875" style="2" customWidth="1"/>
    <col min="10" max="10" width="16.28125" style="2" customWidth="1"/>
    <col min="11" max="16384" width="11.421875" style="2" customWidth="1"/>
  </cols>
  <sheetData>
    <row r="1" spans="1:11" ht="12.7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  <c r="K1" s="88"/>
    </row>
    <row r="2" spans="1:11" ht="16.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  <c r="K2" s="88"/>
    </row>
    <row r="3" spans="1:11" ht="15.7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  <c r="K3" s="88"/>
    </row>
    <row r="4" spans="1:11" ht="15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  <c r="K4" s="88"/>
    </row>
    <row r="5" spans="1:11" ht="12.75">
      <c r="A5" s="268"/>
      <c r="B5" s="269"/>
      <c r="C5" s="273"/>
      <c r="D5" s="273"/>
      <c r="E5" s="273"/>
      <c r="F5" s="273"/>
      <c r="G5" s="273"/>
      <c r="H5" s="273"/>
      <c r="I5" s="319" t="s">
        <v>148</v>
      </c>
      <c r="J5" s="320"/>
      <c r="K5" s="88"/>
    </row>
    <row r="6" spans="1:11" s="12" customFormat="1" ht="19.5" customHeight="1">
      <c r="A6" s="268"/>
      <c r="B6" s="269"/>
      <c r="C6" s="281" t="s">
        <v>164</v>
      </c>
      <c r="D6" s="281"/>
      <c r="E6" s="281" t="s">
        <v>165</v>
      </c>
      <c r="F6" s="281"/>
      <c r="G6" s="281"/>
      <c r="H6" s="281"/>
      <c r="I6" s="281" t="s">
        <v>166</v>
      </c>
      <c r="J6" s="282"/>
      <c r="K6" s="89"/>
    </row>
    <row r="7" spans="1:11" ht="15" customHeight="1">
      <c r="A7" s="268"/>
      <c r="B7" s="269"/>
      <c r="C7" s="281" t="s">
        <v>167</v>
      </c>
      <c r="D7" s="281"/>
      <c r="E7" s="281" t="s">
        <v>168</v>
      </c>
      <c r="F7" s="281"/>
      <c r="G7" s="281"/>
      <c r="H7" s="281"/>
      <c r="I7" s="281" t="s">
        <v>170</v>
      </c>
      <c r="J7" s="282"/>
      <c r="K7" s="90"/>
    </row>
    <row r="8" spans="1:11" ht="15" customHeight="1">
      <c r="A8" s="270"/>
      <c r="B8" s="271"/>
      <c r="C8" s="303"/>
      <c r="D8" s="303"/>
      <c r="E8" s="303" t="s">
        <v>169</v>
      </c>
      <c r="F8" s="303"/>
      <c r="G8" s="303"/>
      <c r="H8" s="303"/>
      <c r="I8" s="303" t="s">
        <v>171</v>
      </c>
      <c r="J8" s="304"/>
      <c r="K8" s="90"/>
    </row>
    <row r="9" spans="1:11" s="4" customFormat="1" ht="15" customHeight="1">
      <c r="A9" s="310" t="s">
        <v>7</v>
      </c>
      <c r="B9" s="310"/>
      <c r="C9" s="165" t="s">
        <v>208</v>
      </c>
      <c r="D9" s="165"/>
      <c r="E9" s="165"/>
      <c r="F9" s="165"/>
      <c r="G9" s="165"/>
      <c r="H9" s="165"/>
      <c r="I9" s="72" t="s">
        <v>115</v>
      </c>
      <c r="J9" s="67">
        <f>'POA-01'!I10</f>
        <v>0</v>
      </c>
      <c r="K9" s="5"/>
    </row>
    <row r="10" spans="1:11" s="4" customFormat="1" ht="15" customHeight="1">
      <c r="A10" s="68"/>
      <c r="B10" s="68"/>
      <c r="C10" s="82"/>
      <c r="D10" s="82"/>
      <c r="E10" s="82"/>
      <c r="F10" s="82"/>
      <c r="G10" s="82"/>
      <c r="H10" s="82"/>
      <c r="I10" s="79"/>
      <c r="J10" s="79"/>
      <c r="K10" s="5"/>
    </row>
    <row r="11" spans="1:11" s="4" customFormat="1" ht="16.5">
      <c r="A11" s="316" t="s">
        <v>8</v>
      </c>
      <c r="B11" s="316"/>
      <c r="C11" s="215">
        <f>+'POA-01'!C10</f>
        <v>290761321</v>
      </c>
      <c r="D11" s="73"/>
      <c r="E11" s="82"/>
      <c r="F11" s="82"/>
      <c r="G11" s="82"/>
      <c r="H11" s="82"/>
      <c r="I11" s="82"/>
      <c r="J11" s="82"/>
      <c r="K11" s="5"/>
    </row>
    <row r="12" spans="1:11" s="4" customFormat="1" ht="16.5">
      <c r="A12" s="316" t="s">
        <v>152</v>
      </c>
      <c r="B12" s="316"/>
      <c r="C12" s="216">
        <f>'POA-01'!D11</f>
        <v>0</v>
      </c>
      <c r="D12" s="74"/>
      <c r="E12" s="82"/>
      <c r="F12" s="82"/>
      <c r="G12" s="82"/>
      <c r="H12" s="82"/>
      <c r="I12" s="82"/>
      <c r="J12" s="82"/>
      <c r="K12" s="5"/>
    </row>
    <row r="13" spans="1:11" s="4" customFormat="1" ht="16.5">
      <c r="A13" s="316" t="s">
        <v>150</v>
      </c>
      <c r="B13" s="316"/>
      <c r="C13" s="217">
        <f>+'POA-01'!C12</f>
        <v>290761321</v>
      </c>
      <c r="D13" s="75"/>
      <c r="E13" s="82"/>
      <c r="F13" s="82"/>
      <c r="G13" s="82"/>
      <c r="H13" s="82"/>
      <c r="I13" s="82"/>
      <c r="J13" s="82"/>
      <c r="K13" s="5"/>
    </row>
    <row r="14" spans="1:10" s="4" customFormat="1" ht="16.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2.7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s="6" customFormat="1" ht="14.25" thickBot="1">
      <c r="A16" s="83" t="s">
        <v>31</v>
      </c>
      <c r="B16" s="83"/>
      <c r="C16" s="83"/>
      <c r="D16" s="83"/>
      <c r="E16" s="83"/>
      <c r="F16" s="83"/>
      <c r="G16" s="83"/>
      <c r="H16" s="83"/>
      <c r="I16" s="83"/>
      <c r="J16" s="84" t="s">
        <v>32</v>
      </c>
    </row>
    <row r="17" spans="1:10" s="7" customFormat="1" ht="14.25" customHeight="1">
      <c r="A17" s="325" t="s">
        <v>47</v>
      </c>
      <c r="B17" s="323" t="s">
        <v>26</v>
      </c>
      <c r="C17" s="323" t="s">
        <v>27</v>
      </c>
      <c r="D17" s="321" t="s">
        <v>159</v>
      </c>
      <c r="E17" s="321" t="s">
        <v>28</v>
      </c>
      <c r="F17" s="327" t="s">
        <v>24</v>
      </c>
      <c r="G17" s="327"/>
      <c r="H17" s="323" t="s">
        <v>25</v>
      </c>
      <c r="I17" s="323"/>
      <c r="J17" s="322" t="s">
        <v>36</v>
      </c>
    </row>
    <row r="18" spans="1:10" s="7" customFormat="1" ht="14.25" thickBot="1">
      <c r="A18" s="302"/>
      <c r="B18" s="324"/>
      <c r="C18" s="324"/>
      <c r="D18" s="287"/>
      <c r="E18" s="287"/>
      <c r="F18" s="91" t="s">
        <v>177</v>
      </c>
      <c r="G18" s="91" t="s">
        <v>29</v>
      </c>
      <c r="H18" s="91" t="s">
        <v>30</v>
      </c>
      <c r="I18" s="91" t="s">
        <v>29</v>
      </c>
      <c r="J18" s="292"/>
    </row>
    <row r="19" spans="1:12" s="3" customFormat="1" ht="13.5">
      <c r="A19" s="93">
        <v>1</v>
      </c>
      <c r="B19" s="199"/>
      <c r="C19" s="94"/>
      <c r="D19" s="92"/>
      <c r="E19" s="109"/>
      <c r="F19" s="115"/>
      <c r="G19" s="115"/>
      <c r="H19" s="193"/>
      <c r="I19" s="193"/>
      <c r="J19" s="201" t="s">
        <v>176</v>
      </c>
      <c r="L19" s="14"/>
    </row>
    <row r="20" spans="1:10" s="3" customFormat="1" ht="13.5">
      <c r="A20" s="93"/>
      <c r="B20" s="94"/>
      <c r="C20" s="94"/>
      <c r="D20" s="94"/>
      <c r="E20" s="96"/>
      <c r="F20" s="95"/>
      <c r="G20" s="95"/>
      <c r="H20" s="100">
        <v>0</v>
      </c>
      <c r="I20" s="100">
        <f>+G20*H20</f>
        <v>0</v>
      </c>
      <c r="J20" s="95"/>
    </row>
    <row r="21" spans="1:13" s="3" customFormat="1" ht="13.5">
      <c r="A21" s="326" t="s">
        <v>18</v>
      </c>
      <c r="B21" s="326"/>
      <c r="C21" s="98"/>
      <c r="D21" s="98"/>
      <c r="E21" s="97"/>
      <c r="F21" s="99"/>
      <c r="G21" s="99"/>
      <c r="H21" s="101">
        <v>0</v>
      </c>
      <c r="I21" s="101">
        <f>SUM(I19:I20)</f>
        <v>0</v>
      </c>
      <c r="J21" s="99"/>
      <c r="L21" s="14"/>
      <c r="M21" s="3">
        <v>10534418.4</v>
      </c>
    </row>
    <row r="22" ht="12.75">
      <c r="M22" s="2">
        <v>3800000</v>
      </c>
    </row>
    <row r="23" spans="9:13" ht="12.75">
      <c r="I23" s="55"/>
      <c r="M23" s="2">
        <f>+M21-M22</f>
        <v>6734418.4</v>
      </c>
    </row>
    <row r="25" ht="12.75">
      <c r="M25" s="2">
        <f>+M23-3150000</f>
        <v>3584418.4000000004</v>
      </c>
    </row>
  </sheetData>
  <sheetProtection/>
  <mergeCells count="29">
    <mergeCell ref="A21:B21"/>
    <mergeCell ref="F17:G17"/>
    <mergeCell ref="H17:I17"/>
    <mergeCell ref="I7:J7"/>
    <mergeCell ref="I4:J4"/>
    <mergeCell ref="A1:B8"/>
    <mergeCell ref="A12:B12"/>
    <mergeCell ref="C1:H5"/>
    <mergeCell ref="I1:J1"/>
    <mergeCell ref="I2:J2"/>
    <mergeCell ref="C7:D7"/>
    <mergeCell ref="J17:J18"/>
    <mergeCell ref="E17:E18"/>
    <mergeCell ref="B17:B18"/>
    <mergeCell ref="A17:A18"/>
    <mergeCell ref="C17:C18"/>
    <mergeCell ref="A11:B11"/>
    <mergeCell ref="A9:B9"/>
    <mergeCell ref="E7:H7"/>
    <mergeCell ref="I5:J5"/>
    <mergeCell ref="A13:B13"/>
    <mergeCell ref="D17:D18"/>
    <mergeCell ref="I3:J3"/>
    <mergeCell ref="C8:D8"/>
    <mergeCell ref="E8:H8"/>
    <mergeCell ref="I8:J8"/>
    <mergeCell ref="C6:D6"/>
    <mergeCell ref="E6:H6"/>
    <mergeCell ref="I6:J6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5">
      <selection activeCell="A16" sqref="A16:A17"/>
    </sheetView>
  </sheetViews>
  <sheetFormatPr defaultColWidth="11.421875" defaultRowHeight="12.75"/>
  <cols>
    <col min="1" max="1" width="5.140625" style="2" customWidth="1"/>
    <col min="2" max="2" width="22.7109375" style="2" customWidth="1"/>
    <col min="3" max="3" width="20.140625" style="2" customWidth="1"/>
    <col min="4" max="4" width="12.57421875" style="2" customWidth="1"/>
    <col min="5" max="5" width="8.28125" style="2" customWidth="1"/>
    <col min="6" max="6" width="10.28125" style="2" customWidth="1"/>
    <col min="7" max="7" width="14.140625" style="2" customWidth="1"/>
    <col min="8" max="8" width="15.00390625" style="2" customWidth="1"/>
    <col min="9" max="9" width="15.7109375" style="2" customWidth="1"/>
    <col min="10" max="10" width="6.7109375" style="2" customWidth="1"/>
    <col min="11" max="16384" width="11.421875" style="2" customWidth="1"/>
  </cols>
  <sheetData>
    <row r="1" spans="1:10" ht="16.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</row>
    <row r="2" spans="1:10" ht="1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</row>
    <row r="3" spans="1:10" ht="14.2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</row>
    <row r="4" spans="1:10" ht="14.2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ht="15" customHeight="1">
      <c r="A5" s="268"/>
      <c r="B5" s="269"/>
      <c r="C5" s="273"/>
      <c r="D5" s="273"/>
      <c r="E5" s="273"/>
      <c r="F5" s="273"/>
      <c r="G5" s="273"/>
      <c r="H5" s="273"/>
      <c r="I5" s="319" t="s">
        <v>148</v>
      </c>
      <c r="J5" s="320"/>
    </row>
    <row r="6" spans="1:11" s="12" customFormat="1" ht="19.5" customHeight="1">
      <c r="A6" s="268"/>
      <c r="B6" s="269"/>
      <c r="C6" s="281" t="s">
        <v>164</v>
      </c>
      <c r="D6" s="281"/>
      <c r="E6" s="281" t="s">
        <v>165</v>
      </c>
      <c r="F6" s="281"/>
      <c r="G6" s="281"/>
      <c r="H6" s="281"/>
      <c r="I6" s="281" t="s">
        <v>166</v>
      </c>
      <c r="J6" s="282"/>
      <c r="K6" s="11"/>
    </row>
    <row r="7" spans="1:11" s="4" customFormat="1" ht="14.25" customHeight="1">
      <c r="A7" s="268"/>
      <c r="B7" s="269"/>
      <c r="C7" s="281" t="s">
        <v>167</v>
      </c>
      <c r="D7" s="281"/>
      <c r="E7" s="281" t="s">
        <v>168</v>
      </c>
      <c r="F7" s="281"/>
      <c r="G7" s="281"/>
      <c r="H7" s="281"/>
      <c r="I7" s="281" t="s">
        <v>170</v>
      </c>
      <c r="J7" s="282"/>
      <c r="K7" s="5"/>
    </row>
    <row r="8" spans="1:11" s="4" customFormat="1" ht="14.25" customHeight="1">
      <c r="A8" s="270"/>
      <c r="B8" s="271"/>
      <c r="C8" s="303"/>
      <c r="D8" s="303"/>
      <c r="E8" s="303" t="s">
        <v>169</v>
      </c>
      <c r="F8" s="303"/>
      <c r="G8" s="303"/>
      <c r="H8" s="303"/>
      <c r="I8" s="303" t="s">
        <v>171</v>
      </c>
      <c r="J8" s="304"/>
      <c r="K8" s="5"/>
    </row>
    <row r="9" spans="1:11" s="4" customFormat="1" ht="15" customHeight="1">
      <c r="A9" s="310" t="s">
        <v>153</v>
      </c>
      <c r="B9" s="310"/>
      <c r="C9" s="328" t="s">
        <v>208</v>
      </c>
      <c r="D9" s="328"/>
      <c r="E9" s="328"/>
      <c r="F9" s="328"/>
      <c r="G9" s="82"/>
      <c r="H9" s="128" t="s">
        <v>115</v>
      </c>
      <c r="I9" s="128"/>
      <c r="J9" s="82"/>
      <c r="K9" s="5"/>
    </row>
    <row r="10" spans="1:11" s="4" customFormat="1" ht="16.5">
      <c r="A10" s="316" t="s">
        <v>8</v>
      </c>
      <c r="B10" s="316"/>
      <c r="C10" s="215">
        <f>'POA-01'!C10</f>
        <v>290761321</v>
      </c>
      <c r="D10" s="73"/>
      <c r="E10" s="82"/>
      <c r="F10" s="82"/>
      <c r="G10" s="82"/>
      <c r="H10" s="82"/>
      <c r="I10" s="82"/>
      <c r="J10" s="82"/>
      <c r="K10" s="5"/>
    </row>
    <row r="11" spans="1:11" s="4" customFormat="1" ht="16.5">
      <c r="A11" s="316" t="s">
        <v>147</v>
      </c>
      <c r="B11" s="316"/>
      <c r="C11" s="218">
        <f>'POA-01'!D11</f>
        <v>0</v>
      </c>
      <c r="D11" s="71"/>
      <c r="E11" s="82"/>
      <c r="F11" s="82"/>
      <c r="G11" s="82"/>
      <c r="H11" s="82"/>
      <c r="I11" s="82"/>
      <c r="J11" s="82"/>
      <c r="K11" s="5"/>
    </row>
    <row r="12" spans="1:11" s="4" customFormat="1" ht="16.5">
      <c r="A12" s="316" t="s">
        <v>9</v>
      </c>
      <c r="B12" s="316"/>
      <c r="C12" s="216">
        <f>C10</f>
        <v>290761321</v>
      </c>
      <c r="D12" s="74"/>
      <c r="E12" s="82"/>
      <c r="F12" s="82"/>
      <c r="G12" s="82"/>
      <c r="H12" s="82"/>
      <c r="I12" s="82"/>
      <c r="J12" s="82"/>
      <c r="K12" s="5"/>
    </row>
    <row r="13" spans="1:10" s="3" customFormat="1" ht="13.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6" customFormat="1" ht="14.25" thickBot="1">
      <c r="A14" s="103" t="s">
        <v>34</v>
      </c>
      <c r="B14" s="83"/>
      <c r="C14" s="83"/>
      <c r="D14" s="83"/>
      <c r="E14" s="83"/>
      <c r="F14" s="83"/>
      <c r="G14" s="83"/>
      <c r="H14" s="83"/>
      <c r="I14" s="84" t="s">
        <v>35</v>
      </c>
      <c r="J14" s="83"/>
    </row>
    <row r="15" spans="1:10" s="7" customFormat="1" ht="27.75" thickBot="1">
      <c r="A15" s="104" t="s">
        <v>47</v>
      </c>
      <c r="B15" s="105" t="s">
        <v>33</v>
      </c>
      <c r="C15" s="105" t="s">
        <v>27</v>
      </c>
      <c r="D15" s="105" t="s">
        <v>160</v>
      </c>
      <c r="E15" s="106" t="s">
        <v>28</v>
      </c>
      <c r="F15" s="106" t="s">
        <v>24</v>
      </c>
      <c r="G15" s="106" t="s">
        <v>39</v>
      </c>
      <c r="H15" s="106" t="s">
        <v>38</v>
      </c>
      <c r="I15" s="107" t="s">
        <v>37</v>
      </c>
      <c r="J15" s="108"/>
    </row>
    <row r="16" spans="1:10" s="7" customFormat="1" ht="14.25">
      <c r="A16" s="109"/>
      <c r="B16" s="202"/>
      <c r="C16" s="203"/>
      <c r="D16" s="110"/>
      <c r="E16" s="205"/>
      <c r="F16" s="200"/>
      <c r="G16" s="200"/>
      <c r="H16" s="200"/>
      <c r="I16" s="200"/>
      <c r="J16" s="113"/>
    </row>
    <row r="17" spans="1:10" s="7" customFormat="1" ht="14.25">
      <c r="A17" s="65"/>
      <c r="B17" s="202"/>
      <c r="C17" s="203"/>
      <c r="D17" s="114"/>
      <c r="E17" s="205"/>
      <c r="F17" s="204"/>
      <c r="G17" s="204"/>
      <c r="H17" s="200"/>
      <c r="I17" s="200"/>
      <c r="J17" s="108"/>
    </row>
    <row r="18" spans="1:10" s="7" customFormat="1" ht="13.5">
      <c r="A18" s="65"/>
      <c r="B18" s="116"/>
      <c r="C18" s="114"/>
      <c r="D18" s="114"/>
      <c r="E18" s="112"/>
      <c r="F18" s="115"/>
      <c r="G18" s="117"/>
      <c r="H18" s="111"/>
      <c r="I18" s="118"/>
      <c r="J18" s="108"/>
    </row>
    <row r="19" spans="1:10" s="3" customFormat="1" ht="13.5">
      <c r="A19" s="119"/>
      <c r="B19" s="119"/>
      <c r="C19" s="119"/>
      <c r="D19" s="119"/>
      <c r="E19" s="120"/>
      <c r="F19" s="120"/>
      <c r="G19" s="99" t="s">
        <v>29</v>
      </c>
      <c r="H19" s="99">
        <f>SUM(H16:H18)</f>
        <v>0</v>
      </c>
      <c r="I19" s="99"/>
      <c r="J19" s="102"/>
    </row>
    <row r="20" spans="5:9" s="3" customFormat="1" ht="11.25">
      <c r="E20" s="14"/>
      <c r="F20" s="14"/>
      <c r="G20" s="14"/>
      <c r="H20" s="14"/>
      <c r="I20" s="14"/>
    </row>
    <row r="21" s="3" customFormat="1" ht="11.25"/>
    <row r="22" s="3" customFormat="1" ht="11.25"/>
    <row r="23" s="3" customFormat="1" ht="11.25">
      <c r="H23" s="52"/>
    </row>
    <row r="24" s="3" customFormat="1" ht="11.25"/>
  </sheetData>
  <sheetProtection/>
  <mergeCells count="21">
    <mergeCell ref="E7:H7"/>
    <mergeCell ref="I2:J2"/>
    <mergeCell ref="C8:D8"/>
    <mergeCell ref="I3:J3"/>
    <mergeCell ref="C6:D6"/>
    <mergeCell ref="C1:H5"/>
    <mergeCell ref="A12:B12"/>
    <mergeCell ref="A9:B9"/>
    <mergeCell ref="C9:F9"/>
    <mergeCell ref="A10:B10"/>
    <mergeCell ref="C7:D7"/>
    <mergeCell ref="E8:H8"/>
    <mergeCell ref="A11:B11"/>
    <mergeCell ref="I4:J4"/>
    <mergeCell ref="I6:J6"/>
    <mergeCell ref="I7:J7"/>
    <mergeCell ref="I8:J8"/>
    <mergeCell ref="I5:J5"/>
    <mergeCell ref="A1:B8"/>
    <mergeCell ref="E6:H6"/>
    <mergeCell ref="I1:J1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50" zoomScaleNormal="150" zoomScalePageLayoutView="0" workbookViewId="0" topLeftCell="A23">
      <selection activeCell="C25" sqref="C25"/>
    </sheetView>
  </sheetViews>
  <sheetFormatPr defaultColWidth="11.421875" defaultRowHeight="12.75"/>
  <cols>
    <col min="1" max="1" width="5.57421875" style="2" customWidth="1"/>
    <col min="2" max="2" width="27.28125" style="2" customWidth="1"/>
    <col min="3" max="3" width="16.7109375" style="2" customWidth="1"/>
    <col min="4" max="5" width="7.28125" style="2" customWidth="1"/>
    <col min="6" max="6" width="8.28125" style="2" customWidth="1"/>
    <col min="7" max="7" width="15.7109375" style="2" customWidth="1"/>
    <col min="8" max="8" width="15.421875" style="2" customWidth="1"/>
    <col min="9" max="9" width="22.57421875" style="2" customWidth="1"/>
    <col min="10" max="10" width="1.8515625" style="2" customWidth="1"/>
    <col min="11" max="11" width="17.421875" style="2" customWidth="1"/>
    <col min="12" max="12" width="11.421875" style="2" customWidth="1"/>
    <col min="13" max="13" width="12.7109375" style="2" bestFit="1" customWidth="1"/>
    <col min="14" max="16384" width="11.421875" style="2" customWidth="1"/>
  </cols>
  <sheetData>
    <row r="1" spans="1:10" s="3" customFormat="1" ht="12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</row>
    <row r="2" spans="1:10" s="3" customFormat="1" ht="13.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</row>
    <row r="3" spans="1:10" s="3" customFormat="1" ht="13.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</row>
    <row r="4" spans="1:10" s="3" customFormat="1" ht="13.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s="3" customFormat="1" ht="12.75" customHeight="1">
      <c r="A5" s="268"/>
      <c r="B5" s="269"/>
      <c r="C5" s="273"/>
      <c r="D5" s="273"/>
      <c r="E5" s="273"/>
      <c r="F5" s="273"/>
      <c r="G5" s="273"/>
      <c r="H5" s="273"/>
      <c r="I5" s="279" t="s">
        <v>148</v>
      </c>
      <c r="J5" s="280"/>
    </row>
    <row r="6" spans="1:10" s="3" customFormat="1" ht="15.75" customHeight="1">
      <c r="A6" s="268"/>
      <c r="B6" s="269"/>
      <c r="C6" s="281" t="s">
        <v>164</v>
      </c>
      <c r="D6" s="281"/>
      <c r="E6" s="281" t="s">
        <v>165</v>
      </c>
      <c r="F6" s="281"/>
      <c r="G6" s="281"/>
      <c r="H6" s="281"/>
      <c r="I6" s="281" t="s">
        <v>166</v>
      </c>
      <c r="J6" s="282"/>
    </row>
    <row r="7" spans="1:10" s="3" customFormat="1" ht="17.25" customHeight="1">
      <c r="A7" s="268"/>
      <c r="B7" s="269"/>
      <c r="C7" s="331" t="s">
        <v>167</v>
      </c>
      <c r="D7" s="331"/>
      <c r="E7" s="281" t="s">
        <v>168</v>
      </c>
      <c r="F7" s="281"/>
      <c r="G7" s="281"/>
      <c r="H7" s="281"/>
      <c r="I7" s="281" t="s">
        <v>170</v>
      </c>
      <c r="J7" s="282"/>
    </row>
    <row r="8" spans="1:10" s="3" customFormat="1" ht="17.25" customHeight="1">
      <c r="A8" s="270"/>
      <c r="B8" s="271"/>
      <c r="C8" s="332"/>
      <c r="D8" s="332"/>
      <c r="E8" s="303" t="s">
        <v>169</v>
      </c>
      <c r="F8" s="303"/>
      <c r="G8" s="303"/>
      <c r="H8" s="303"/>
      <c r="I8" s="303" t="s">
        <v>171</v>
      </c>
      <c r="J8" s="304"/>
    </row>
    <row r="9" spans="1:9" s="3" customFormat="1" ht="16.5">
      <c r="A9" s="141" t="s">
        <v>7</v>
      </c>
      <c r="B9" s="141"/>
      <c r="C9" s="329" t="s">
        <v>208</v>
      </c>
      <c r="D9" s="330"/>
      <c r="E9" s="330"/>
      <c r="F9" s="82"/>
      <c r="G9" s="128" t="s">
        <v>115</v>
      </c>
      <c r="H9" s="128"/>
      <c r="I9" s="82"/>
    </row>
    <row r="10" spans="1:9" s="3" customFormat="1" ht="16.5">
      <c r="A10" s="316" t="s">
        <v>8</v>
      </c>
      <c r="B10" s="316"/>
      <c r="C10" s="215">
        <f>+'POA-01'!C10</f>
        <v>290761321</v>
      </c>
      <c r="D10" s="82"/>
      <c r="E10" s="82"/>
      <c r="F10" s="82"/>
      <c r="G10" s="82"/>
      <c r="H10" s="82"/>
      <c r="I10" s="82"/>
    </row>
    <row r="11" spans="1:9" s="3" customFormat="1" ht="16.5">
      <c r="A11" s="316" t="s">
        <v>10</v>
      </c>
      <c r="B11" s="316"/>
      <c r="C11" s="217">
        <f>'POA-01'!D11</f>
        <v>0</v>
      </c>
      <c r="D11" s="82"/>
      <c r="E11" s="82"/>
      <c r="F11" s="82"/>
      <c r="G11" s="82"/>
      <c r="H11" s="82"/>
      <c r="I11" s="82"/>
    </row>
    <row r="12" spans="1:9" s="3" customFormat="1" ht="16.5">
      <c r="A12" s="316" t="s">
        <v>9</v>
      </c>
      <c r="B12" s="316"/>
      <c r="C12" s="215">
        <f>+'POA-01'!C12</f>
        <v>290761321</v>
      </c>
      <c r="D12" s="82"/>
      <c r="E12" s="82"/>
      <c r="F12" s="82"/>
      <c r="G12" s="82"/>
      <c r="H12" s="82"/>
      <c r="I12" s="82"/>
    </row>
    <row r="13" spans="1:9" s="3" customFormat="1" ht="16.5">
      <c r="A13" s="61"/>
      <c r="B13" s="61"/>
      <c r="C13" s="73"/>
      <c r="D13" s="61"/>
      <c r="E13" s="61"/>
      <c r="F13" s="61"/>
      <c r="G13" s="61"/>
      <c r="H13" s="61"/>
      <c r="I13" s="61"/>
    </row>
    <row r="14" spans="1:9" s="3" customFormat="1" ht="14.25" thickBot="1">
      <c r="A14" s="83" t="s">
        <v>40</v>
      </c>
      <c r="B14" s="83"/>
      <c r="C14" s="83"/>
      <c r="D14" s="83"/>
      <c r="E14" s="83"/>
      <c r="F14" s="83"/>
      <c r="G14" s="83"/>
      <c r="H14" s="83"/>
      <c r="I14" s="84" t="s">
        <v>44</v>
      </c>
    </row>
    <row r="15" spans="1:9" s="3" customFormat="1" ht="13.5">
      <c r="A15" s="325" t="s">
        <v>47</v>
      </c>
      <c r="B15" s="321" t="s">
        <v>16</v>
      </c>
      <c r="C15" s="321" t="s">
        <v>25</v>
      </c>
      <c r="D15" s="338" t="s">
        <v>0</v>
      </c>
      <c r="E15" s="339"/>
      <c r="F15" s="340"/>
      <c r="G15" s="341" t="s">
        <v>43</v>
      </c>
      <c r="H15" s="341" t="s">
        <v>42</v>
      </c>
      <c r="I15" s="322" t="s">
        <v>3</v>
      </c>
    </row>
    <row r="16" spans="1:9" s="3" customFormat="1" ht="18.75" thickBot="1">
      <c r="A16" s="302"/>
      <c r="B16" s="287"/>
      <c r="C16" s="287"/>
      <c r="D16" s="121" t="s">
        <v>41</v>
      </c>
      <c r="E16" s="121" t="s">
        <v>4</v>
      </c>
      <c r="F16" s="121" t="s">
        <v>5</v>
      </c>
      <c r="G16" s="342"/>
      <c r="H16" s="342"/>
      <c r="I16" s="292"/>
    </row>
    <row r="17" spans="1:9" s="3" customFormat="1" ht="13.5">
      <c r="A17" s="334" t="s">
        <v>209</v>
      </c>
      <c r="B17" s="334"/>
      <c r="C17" s="334"/>
      <c r="D17" s="334"/>
      <c r="E17" s="334"/>
      <c r="F17" s="334"/>
      <c r="G17" s="334"/>
      <c r="H17" s="334"/>
      <c r="I17" s="334"/>
    </row>
    <row r="18" spans="1:9" s="3" customFormat="1" ht="94.5">
      <c r="A18" s="187"/>
      <c r="B18" s="66" t="s">
        <v>244</v>
      </c>
      <c r="C18" s="192">
        <f>23*242201250/100</f>
        <v>55706287.5</v>
      </c>
      <c r="D18" s="65" t="s">
        <v>178</v>
      </c>
      <c r="E18" s="65" t="s">
        <v>179</v>
      </c>
      <c r="F18" s="65">
        <v>9</v>
      </c>
      <c r="G18" s="66" t="s">
        <v>183</v>
      </c>
      <c r="H18" s="66" t="s">
        <v>181</v>
      </c>
      <c r="I18" s="65" t="s">
        <v>182</v>
      </c>
    </row>
    <row r="19" spans="1:11" s="3" customFormat="1" ht="67.5">
      <c r="A19" s="187"/>
      <c r="B19" s="146" t="s">
        <v>239</v>
      </c>
      <c r="C19" s="220">
        <f>20*242201250/100</f>
        <v>48440250</v>
      </c>
      <c r="D19" s="65"/>
      <c r="E19" s="65"/>
      <c r="F19" s="65"/>
      <c r="G19" s="66"/>
      <c r="H19" s="66"/>
      <c r="I19" s="65"/>
      <c r="K19" s="3">
        <v>103502250</v>
      </c>
    </row>
    <row r="20" spans="1:9" s="3" customFormat="1" ht="67.5">
      <c r="A20" s="187"/>
      <c r="B20" s="147" t="s">
        <v>260</v>
      </c>
      <c r="C20" s="221">
        <f>19*242201250/100</f>
        <v>46018237.5</v>
      </c>
      <c r="D20" s="65" t="s">
        <v>178</v>
      </c>
      <c r="E20" s="65" t="s">
        <v>179</v>
      </c>
      <c r="F20" s="65">
        <v>9</v>
      </c>
      <c r="G20" s="66" t="s">
        <v>180</v>
      </c>
      <c r="H20" s="66" t="s">
        <v>181</v>
      </c>
      <c r="I20" s="65" t="s">
        <v>182</v>
      </c>
    </row>
    <row r="21" spans="1:9" s="3" customFormat="1" ht="40.5">
      <c r="A21" s="187"/>
      <c r="B21" s="94" t="s">
        <v>224</v>
      </c>
      <c r="C21" s="189">
        <v>21174212</v>
      </c>
      <c r="D21" s="187"/>
      <c r="E21" s="187"/>
      <c r="F21" s="187"/>
      <c r="G21" s="187"/>
      <c r="H21" s="187"/>
      <c r="I21" s="187"/>
    </row>
    <row r="22" spans="1:9" s="3" customFormat="1" ht="13.5">
      <c r="A22" s="335" t="s">
        <v>175</v>
      </c>
      <c r="B22" s="335"/>
      <c r="C22" s="190">
        <f>SUM(C18:C21)</f>
        <v>171338987</v>
      </c>
      <c r="D22" s="98"/>
      <c r="E22" s="98"/>
      <c r="F22" s="98"/>
      <c r="G22" s="98"/>
      <c r="H22" s="98"/>
      <c r="I22" s="98"/>
    </row>
    <row r="23" spans="1:11" s="3" customFormat="1" ht="13.5" customHeight="1">
      <c r="A23" s="336" t="s">
        <v>210</v>
      </c>
      <c r="B23" s="337"/>
      <c r="C23" s="98"/>
      <c r="D23" s="98"/>
      <c r="E23" s="98"/>
      <c r="F23" s="98"/>
      <c r="G23" s="98"/>
      <c r="H23" s="98"/>
      <c r="I23" s="98"/>
      <c r="K23" s="159"/>
    </row>
    <row r="24" spans="1:13" s="3" customFormat="1" ht="54">
      <c r="A24" s="65">
        <v>1</v>
      </c>
      <c r="B24" s="66" t="s">
        <v>261</v>
      </c>
      <c r="C24" s="192">
        <f>19*242201250/100-21174212</f>
        <v>24844025.5</v>
      </c>
      <c r="D24" s="65" t="s">
        <v>178</v>
      </c>
      <c r="E24" s="65" t="s">
        <v>179</v>
      </c>
      <c r="F24" s="65">
        <v>9</v>
      </c>
      <c r="G24" s="114" t="s">
        <v>184</v>
      </c>
      <c r="H24" s="114" t="s">
        <v>185</v>
      </c>
      <c r="I24" s="65" t="s">
        <v>182</v>
      </c>
      <c r="K24" s="156"/>
      <c r="M24" s="160"/>
    </row>
    <row r="25" spans="1:11" s="3" customFormat="1" ht="40.5">
      <c r="A25" s="65">
        <v>2</v>
      </c>
      <c r="B25" s="146" t="s">
        <v>240</v>
      </c>
      <c r="C25" s="220">
        <f>19*242201250/100</f>
        <v>46018237.5</v>
      </c>
      <c r="D25" s="65" t="s">
        <v>178</v>
      </c>
      <c r="E25" s="65" t="s">
        <v>179</v>
      </c>
      <c r="F25" s="65">
        <v>9</v>
      </c>
      <c r="G25" s="114" t="s">
        <v>184</v>
      </c>
      <c r="H25" s="114" t="s">
        <v>185</v>
      </c>
      <c r="I25" s="65" t="s">
        <v>182</v>
      </c>
      <c r="J25" s="157"/>
      <c r="K25" s="156"/>
    </row>
    <row r="26" spans="1:11" s="3" customFormat="1" ht="13.5">
      <c r="A26" s="93">
        <v>10</v>
      </c>
      <c r="B26" s="66"/>
      <c r="C26" s="191"/>
      <c r="D26" s="155"/>
      <c r="E26" s="155"/>
      <c r="F26" s="93"/>
      <c r="G26" s="98"/>
      <c r="H26" s="98"/>
      <c r="I26" s="93"/>
      <c r="J26" s="157"/>
      <c r="K26" s="156"/>
    </row>
    <row r="27" spans="1:13" s="3" customFormat="1" ht="13.5">
      <c r="A27" s="333" t="s">
        <v>29</v>
      </c>
      <c r="B27" s="333"/>
      <c r="C27" s="123">
        <f>SUM(C24:C26)</f>
        <v>70862263</v>
      </c>
      <c r="D27" s="122"/>
      <c r="E27" s="122"/>
      <c r="F27" s="122"/>
      <c r="G27" s="119"/>
      <c r="H27" s="119"/>
      <c r="I27" s="119"/>
      <c r="J27" s="14"/>
      <c r="K27" s="158"/>
      <c r="L27" s="14"/>
      <c r="M27" s="157"/>
    </row>
    <row r="28" spans="1:9" s="3" customFormat="1" ht="11.25">
      <c r="A28" s="9"/>
      <c r="B28" s="9"/>
      <c r="C28" s="9"/>
      <c r="D28" s="9"/>
      <c r="E28" s="9"/>
      <c r="F28" s="9"/>
      <c r="G28" s="9"/>
      <c r="H28" s="9"/>
      <c r="I28" s="9"/>
    </row>
    <row r="29" spans="3:7" s="3" customFormat="1" ht="11.25">
      <c r="C29" s="156">
        <f>+C22+C27</f>
        <v>242201250</v>
      </c>
      <c r="G29" s="222"/>
    </row>
    <row r="30" s="3" customFormat="1" ht="11.25"/>
    <row r="31" spans="1:2" s="3" customFormat="1" ht="11.25">
      <c r="A31" s="53"/>
      <c r="B31" s="53"/>
    </row>
    <row r="32" s="3" customFormat="1" ht="11.25"/>
    <row r="33" s="3" customFormat="1" ht="11.25">
      <c r="C33" s="14" t="s">
        <v>158</v>
      </c>
    </row>
    <row r="34" s="3" customFormat="1" ht="11.25"/>
    <row r="35" s="3" customFormat="1" ht="11.25"/>
    <row r="36" spans="3:7" s="3" customFormat="1" ht="11.25">
      <c r="C36" s="3">
        <v>138699000</v>
      </c>
      <c r="G36" s="3">
        <f>+C36+C38</f>
        <v>242201250</v>
      </c>
    </row>
    <row r="37" s="3" customFormat="1" ht="11.25">
      <c r="C37" s="3">
        <v>48560071</v>
      </c>
    </row>
    <row r="38" spans="3:8" s="3" customFormat="1" ht="11.25">
      <c r="C38" s="3">
        <v>103502250</v>
      </c>
      <c r="G38" s="3">
        <v>171338987</v>
      </c>
      <c r="H38" s="53">
        <f>+G38-C22</f>
        <v>0</v>
      </c>
    </row>
    <row r="39" spans="3:7" s="3" customFormat="1" ht="11.25">
      <c r="C39" s="3">
        <f>SUM(C36:C38)</f>
        <v>290761321</v>
      </c>
      <c r="G39" s="3">
        <v>70862263</v>
      </c>
    </row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  <row r="622" s="3" customFormat="1" ht="11.25"/>
    <row r="623" s="3" customFormat="1" ht="11.25"/>
    <row r="624" s="3" customFormat="1" ht="11.25"/>
    <row r="625" s="3" customFormat="1" ht="11.25"/>
    <row r="626" s="3" customFormat="1" ht="11.25"/>
    <row r="627" s="3" customFormat="1" ht="11.25"/>
    <row r="628" s="3" customFormat="1" ht="11.25"/>
    <row r="629" s="3" customFormat="1" ht="11.25"/>
    <row r="630" s="3" customFormat="1" ht="11.25"/>
    <row r="631" s="3" customFormat="1" ht="11.25"/>
    <row r="632" s="3" customFormat="1" ht="11.25"/>
    <row r="633" s="3" customFormat="1" ht="11.25"/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  <row r="853" s="3" customFormat="1" ht="11.25"/>
    <row r="854" s="3" customFormat="1" ht="11.25"/>
    <row r="855" s="3" customFormat="1" ht="11.25"/>
    <row r="856" s="3" customFormat="1" ht="11.25"/>
    <row r="857" s="3" customFormat="1" ht="11.25"/>
    <row r="858" s="3" customFormat="1" ht="11.25"/>
    <row r="859" s="3" customFormat="1" ht="11.25"/>
    <row r="860" s="3" customFormat="1" ht="11.25"/>
    <row r="861" s="3" customFormat="1" ht="11.25"/>
    <row r="862" s="3" customFormat="1" ht="11.25"/>
    <row r="863" s="3" customFormat="1" ht="11.25"/>
    <row r="864" s="3" customFormat="1" ht="11.25"/>
    <row r="865" s="3" customFormat="1" ht="11.25"/>
    <row r="866" s="3" customFormat="1" ht="11.25"/>
    <row r="867" s="3" customFormat="1" ht="11.25"/>
    <row r="868" s="3" customFormat="1" ht="11.25"/>
    <row r="869" s="3" customFormat="1" ht="11.25"/>
    <row r="870" s="3" customFormat="1" ht="11.25"/>
    <row r="871" s="3" customFormat="1" ht="11.25"/>
    <row r="872" s="3" customFormat="1" ht="11.25"/>
    <row r="873" s="3" customFormat="1" ht="11.25"/>
    <row r="874" s="3" customFormat="1" ht="11.25"/>
    <row r="875" s="3" customFormat="1" ht="11.25"/>
    <row r="876" s="3" customFormat="1" ht="11.25"/>
    <row r="877" s="3" customFormat="1" ht="11.25"/>
    <row r="878" s="3" customFormat="1" ht="11.25"/>
    <row r="879" s="3" customFormat="1" ht="11.25"/>
    <row r="880" s="3" customFormat="1" ht="11.25"/>
    <row r="881" s="3" customFormat="1" ht="11.25"/>
    <row r="882" s="3" customFormat="1" ht="11.25"/>
    <row r="883" s="3" customFormat="1" ht="11.25"/>
    <row r="884" s="3" customFormat="1" ht="11.25"/>
    <row r="885" s="3" customFormat="1" ht="11.25"/>
    <row r="886" s="3" customFormat="1" ht="11.25"/>
    <row r="887" s="3" customFormat="1" ht="11.25"/>
    <row r="888" s="3" customFormat="1" ht="11.25"/>
    <row r="889" s="3" customFormat="1" ht="11.25"/>
    <row r="890" s="3" customFormat="1" ht="11.25"/>
    <row r="891" s="3" customFormat="1" ht="11.25"/>
    <row r="892" s="3" customFormat="1" ht="11.25"/>
    <row r="893" s="3" customFormat="1" ht="11.25"/>
    <row r="894" s="3" customFormat="1" ht="11.25"/>
    <row r="895" s="3" customFormat="1" ht="11.25"/>
    <row r="896" s="3" customFormat="1" ht="11.25"/>
    <row r="897" s="3" customFormat="1" ht="11.25"/>
    <row r="898" s="3" customFormat="1" ht="11.25"/>
    <row r="899" s="3" customFormat="1" ht="11.25"/>
    <row r="900" s="3" customFormat="1" ht="11.25"/>
    <row r="901" s="3" customFormat="1" ht="11.25"/>
    <row r="902" s="3" customFormat="1" ht="11.25"/>
    <row r="903" s="3" customFormat="1" ht="11.25"/>
    <row r="904" s="3" customFormat="1" ht="11.25"/>
    <row r="905" s="3" customFormat="1" ht="11.25"/>
    <row r="906" s="3" customFormat="1" ht="11.25"/>
    <row r="907" s="3" customFormat="1" ht="11.25"/>
    <row r="908" s="3" customFormat="1" ht="11.25"/>
    <row r="909" s="3" customFormat="1" ht="11.25"/>
    <row r="910" s="3" customFormat="1" ht="11.25"/>
    <row r="911" s="3" customFormat="1" ht="11.25"/>
    <row r="912" s="3" customFormat="1" ht="11.25"/>
    <row r="913" s="3" customFormat="1" ht="11.25"/>
    <row r="914" s="3" customFormat="1" ht="11.25"/>
    <row r="915" s="3" customFormat="1" ht="11.25"/>
    <row r="916" s="3" customFormat="1" ht="11.25"/>
    <row r="917" s="3" customFormat="1" ht="11.25"/>
    <row r="918" s="3" customFormat="1" ht="11.25"/>
    <row r="919" s="3" customFormat="1" ht="11.25"/>
    <row r="920" s="3" customFormat="1" ht="11.25"/>
    <row r="921" s="3" customFormat="1" ht="11.25"/>
    <row r="922" s="3" customFormat="1" ht="11.25"/>
    <row r="923" s="3" customFormat="1" ht="11.25"/>
    <row r="924" s="3" customFormat="1" ht="11.25"/>
    <row r="925" s="3" customFormat="1" ht="11.25"/>
    <row r="926" s="3" customFormat="1" ht="11.25"/>
    <row r="927" s="3" customFormat="1" ht="11.25"/>
    <row r="928" s="3" customFormat="1" ht="11.25"/>
    <row r="929" s="3" customFormat="1" ht="11.25"/>
    <row r="930" s="3" customFormat="1" ht="11.25"/>
    <row r="931" s="3" customFormat="1" ht="11.25"/>
    <row r="932" s="3" customFormat="1" ht="11.25"/>
    <row r="933" s="3" customFormat="1" ht="11.25"/>
    <row r="934" s="3" customFormat="1" ht="11.25"/>
    <row r="935" s="3" customFormat="1" ht="11.25"/>
    <row r="936" s="3" customFormat="1" ht="11.25"/>
    <row r="937" s="3" customFormat="1" ht="11.25"/>
    <row r="938" s="3" customFormat="1" ht="11.25"/>
    <row r="939" s="3" customFormat="1" ht="11.25"/>
    <row r="940" s="3" customFormat="1" ht="11.25"/>
    <row r="941" s="3" customFormat="1" ht="11.25"/>
    <row r="942" s="3" customFormat="1" ht="11.25"/>
    <row r="943" s="3" customFormat="1" ht="11.25"/>
    <row r="944" s="3" customFormat="1" ht="11.25"/>
    <row r="945" s="3" customFormat="1" ht="11.25"/>
    <row r="946" s="3" customFormat="1" ht="11.25"/>
    <row r="947" s="3" customFormat="1" ht="11.25"/>
    <row r="948" s="3" customFormat="1" ht="11.25"/>
    <row r="949" s="3" customFormat="1" ht="11.25"/>
    <row r="950" s="3" customFormat="1" ht="11.25"/>
    <row r="951" s="3" customFormat="1" ht="11.25"/>
    <row r="952" s="3" customFormat="1" ht="11.25"/>
    <row r="953" s="3" customFormat="1" ht="11.25"/>
    <row r="954" s="3" customFormat="1" ht="11.25"/>
    <row r="955" s="3" customFormat="1" ht="11.25"/>
    <row r="956" s="3" customFormat="1" ht="11.25"/>
    <row r="957" s="3" customFormat="1" ht="11.25"/>
    <row r="958" s="3" customFormat="1" ht="11.25"/>
    <row r="959" s="3" customFormat="1" ht="11.25"/>
    <row r="960" s="3" customFormat="1" ht="11.25"/>
    <row r="961" s="3" customFormat="1" ht="11.25"/>
    <row r="962" s="3" customFormat="1" ht="11.25"/>
    <row r="963" s="3" customFormat="1" ht="11.25"/>
    <row r="964" s="3" customFormat="1" ht="11.25"/>
    <row r="965" s="3" customFormat="1" ht="11.25"/>
    <row r="966" s="3" customFormat="1" ht="11.25"/>
    <row r="967" s="3" customFormat="1" ht="11.25"/>
    <row r="968" s="3" customFormat="1" ht="11.25"/>
    <row r="969" s="3" customFormat="1" ht="11.25"/>
    <row r="970" s="3" customFormat="1" ht="11.25"/>
    <row r="971" s="3" customFormat="1" ht="11.25"/>
    <row r="972" s="3" customFormat="1" ht="11.25"/>
    <row r="973" s="3" customFormat="1" ht="11.25"/>
    <row r="974" s="3" customFormat="1" ht="11.25"/>
    <row r="975" s="3" customFormat="1" ht="11.25"/>
    <row r="976" s="3" customFormat="1" ht="11.25"/>
    <row r="977" s="3" customFormat="1" ht="11.25"/>
    <row r="978" s="3" customFormat="1" ht="11.25"/>
    <row r="979" s="3" customFormat="1" ht="11.25"/>
    <row r="980" s="3" customFormat="1" ht="11.25"/>
    <row r="981" s="3" customFormat="1" ht="11.25"/>
    <row r="982" s="3" customFormat="1" ht="11.25"/>
    <row r="983" s="3" customFormat="1" ht="11.25"/>
    <row r="984" s="3" customFormat="1" ht="11.25"/>
    <row r="985" s="3" customFormat="1" ht="11.25"/>
    <row r="986" s="3" customFormat="1" ht="11.25"/>
    <row r="987" s="3" customFormat="1" ht="11.25"/>
    <row r="988" s="3" customFormat="1" ht="11.25"/>
    <row r="989" s="3" customFormat="1" ht="11.25"/>
    <row r="990" s="3" customFormat="1" ht="11.25"/>
    <row r="991" s="3" customFormat="1" ht="11.25"/>
    <row r="992" s="3" customFormat="1" ht="11.25"/>
    <row r="993" s="3" customFormat="1" ht="11.25"/>
    <row r="994" s="3" customFormat="1" ht="11.25"/>
    <row r="995" s="3" customFormat="1" ht="11.25"/>
    <row r="996" s="3" customFormat="1" ht="11.25"/>
    <row r="997" s="3" customFormat="1" ht="11.25"/>
    <row r="998" s="3" customFormat="1" ht="11.25"/>
    <row r="999" s="3" customFormat="1" ht="11.25"/>
    <row r="1000" s="3" customFormat="1" ht="11.25"/>
    <row r="1001" s="3" customFormat="1" ht="11.25"/>
    <row r="1002" s="3" customFormat="1" ht="11.25"/>
    <row r="1003" s="3" customFormat="1" ht="11.25"/>
    <row r="1004" s="3" customFormat="1" ht="11.25"/>
    <row r="1005" s="3" customFormat="1" ht="11.25"/>
    <row r="1006" s="3" customFormat="1" ht="11.25"/>
    <row r="1007" s="3" customFormat="1" ht="11.25"/>
    <row r="1008" s="3" customFormat="1" ht="11.25"/>
    <row r="1009" s="3" customFormat="1" ht="11.25"/>
    <row r="1010" s="3" customFormat="1" ht="11.25"/>
    <row r="1011" s="3" customFormat="1" ht="11.25"/>
    <row r="1012" s="3" customFormat="1" ht="11.25"/>
    <row r="1013" s="3" customFormat="1" ht="11.25"/>
    <row r="1014" s="3" customFormat="1" ht="11.25"/>
    <row r="1015" s="3" customFormat="1" ht="11.25"/>
    <row r="1016" s="3" customFormat="1" ht="11.25"/>
    <row r="1017" s="3" customFormat="1" ht="11.25"/>
    <row r="1018" s="3" customFormat="1" ht="11.25"/>
    <row r="1019" s="3" customFormat="1" ht="11.25"/>
    <row r="1020" s="3" customFormat="1" ht="11.25"/>
    <row r="1021" s="3" customFormat="1" ht="11.25"/>
    <row r="1022" s="3" customFormat="1" ht="11.25"/>
    <row r="1023" s="3" customFormat="1" ht="11.25"/>
    <row r="1024" s="3" customFormat="1" ht="11.25"/>
    <row r="1025" s="3" customFormat="1" ht="11.25"/>
    <row r="1026" s="3" customFormat="1" ht="11.25"/>
    <row r="1027" s="3" customFormat="1" ht="11.25"/>
    <row r="1028" s="3" customFormat="1" ht="11.25"/>
    <row r="1029" s="3" customFormat="1" ht="11.25"/>
    <row r="1030" s="3" customFormat="1" ht="11.25"/>
    <row r="1031" s="3" customFormat="1" ht="11.25"/>
    <row r="1032" s="3" customFormat="1" ht="11.25"/>
    <row r="1033" s="3" customFormat="1" ht="11.25"/>
    <row r="1034" s="3" customFormat="1" ht="11.25"/>
    <row r="1035" s="3" customFormat="1" ht="11.25"/>
    <row r="1036" s="3" customFormat="1" ht="11.25"/>
    <row r="1037" s="3" customFormat="1" ht="11.25"/>
    <row r="1038" s="3" customFormat="1" ht="11.25"/>
    <row r="1039" s="3" customFormat="1" ht="11.25"/>
    <row r="1040" s="3" customFormat="1" ht="11.25"/>
    <row r="1041" s="3" customFormat="1" ht="11.25"/>
    <row r="1042" s="3" customFormat="1" ht="11.25"/>
    <row r="1043" s="3" customFormat="1" ht="11.25"/>
    <row r="1044" s="3" customFormat="1" ht="11.25"/>
    <row r="1045" s="3" customFormat="1" ht="11.25"/>
    <row r="1046" s="3" customFormat="1" ht="11.25"/>
    <row r="1047" s="3" customFormat="1" ht="11.25"/>
    <row r="1048" s="3" customFormat="1" ht="11.25"/>
    <row r="1049" s="3" customFormat="1" ht="11.25"/>
    <row r="1050" s="3" customFormat="1" ht="11.25"/>
    <row r="1051" s="3" customFormat="1" ht="11.25"/>
    <row r="1052" s="3" customFormat="1" ht="11.25"/>
    <row r="1053" s="3" customFormat="1" ht="11.25"/>
    <row r="1054" s="3" customFormat="1" ht="11.25"/>
    <row r="1055" s="3" customFormat="1" ht="11.25"/>
    <row r="1056" s="3" customFormat="1" ht="11.25"/>
    <row r="1057" s="3" customFormat="1" ht="11.25"/>
    <row r="1058" s="3" customFormat="1" ht="11.25"/>
    <row r="1059" s="3" customFormat="1" ht="11.25"/>
    <row r="1060" s="3" customFormat="1" ht="11.25"/>
    <row r="1061" s="3" customFormat="1" ht="11.25"/>
    <row r="1062" s="3" customFormat="1" ht="11.25"/>
    <row r="1063" s="3" customFormat="1" ht="11.25"/>
    <row r="1064" s="3" customFormat="1" ht="11.25"/>
    <row r="1065" s="3" customFormat="1" ht="11.25"/>
    <row r="1066" s="3" customFormat="1" ht="11.25"/>
    <row r="1067" s="3" customFormat="1" ht="11.25"/>
    <row r="1068" s="3" customFormat="1" ht="11.25"/>
    <row r="1069" s="3" customFormat="1" ht="11.25"/>
    <row r="1070" s="3" customFormat="1" ht="11.25"/>
    <row r="1071" s="3" customFormat="1" ht="11.25"/>
    <row r="1072" s="3" customFormat="1" ht="11.25"/>
    <row r="1073" s="3" customFormat="1" ht="11.25"/>
    <row r="1074" s="3" customFormat="1" ht="11.25"/>
    <row r="1075" s="3" customFormat="1" ht="11.25"/>
    <row r="1076" s="3" customFormat="1" ht="11.25"/>
    <row r="1077" s="3" customFormat="1" ht="11.25"/>
    <row r="1078" s="3" customFormat="1" ht="11.25"/>
    <row r="1079" s="3" customFormat="1" ht="11.25"/>
    <row r="1080" s="3" customFormat="1" ht="11.25"/>
    <row r="1081" s="3" customFormat="1" ht="11.25"/>
    <row r="1082" s="3" customFormat="1" ht="11.25"/>
    <row r="1083" s="3" customFormat="1" ht="11.25"/>
    <row r="1084" s="3" customFormat="1" ht="11.25"/>
    <row r="1085" s="3" customFormat="1" ht="11.25"/>
    <row r="1086" s="3" customFormat="1" ht="11.25"/>
    <row r="1087" s="3" customFormat="1" ht="11.25"/>
    <row r="1088" s="3" customFormat="1" ht="11.25"/>
    <row r="1089" s="3" customFormat="1" ht="11.25"/>
    <row r="1090" s="3" customFormat="1" ht="11.25"/>
    <row r="1091" s="3" customFormat="1" ht="11.25"/>
    <row r="1092" s="3" customFormat="1" ht="11.25"/>
    <row r="1093" s="3" customFormat="1" ht="11.25"/>
    <row r="1094" s="3" customFormat="1" ht="11.25"/>
    <row r="1095" s="3" customFormat="1" ht="11.25"/>
    <row r="1096" s="3" customFormat="1" ht="11.25"/>
    <row r="1097" s="3" customFormat="1" ht="11.25"/>
    <row r="1098" s="3" customFormat="1" ht="11.25"/>
    <row r="1099" s="3" customFormat="1" ht="11.25"/>
    <row r="1100" s="3" customFormat="1" ht="11.25"/>
    <row r="1101" s="3" customFormat="1" ht="11.25"/>
    <row r="1102" s="3" customFormat="1" ht="11.25"/>
    <row r="1103" s="3" customFormat="1" ht="11.25"/>
    <row r="1104" s="3" customFormat="1" ht="11.25"/>
    <row r="1105" s="3" customFormat="1" ht="11.25"/>
    <row r="1106" s="3" customFormat="1" ht="11.25"/>
    <row r="1107" s="3" customFormat="1" ht="11.25"/>
    <row r="1108" s="3" customFormat="1" ht="11.25"/>
    <row r="1109" s="3" customFormat="1" ht="11.25"/>
    <row r="1110" s="3" customFormat="1" ht="11.25"/>
    <row r="1111" s="3" customFormat="1" ht="11.25"/>
    <row r="1112" s="3" customFormat="1" ht="11.25"/>
    <row r="1113" s="3" customFormat="1" ht="11.25"/>
    <row r="1114" s="3" customFormat="1" ht="11.25"/>
    <row r="1115" s="3" customFormat="1" ht="11.25"/>
  </sheetData>
  <sheetProtection/>
  <mergeCells count="30">
    <mergeCell ref="C6:D6"/>
    <mergeCell ref="A10:B10"/>
    <mergeCell ref="E6:H6"/>
    <mergeCell ref="A22:B22"/>
    <mergeCell ref="I15:I16"/>
    <mergeCell ref="A23:B23"/>
    <mergeCell ref="D15:F15"/>
    <mergeCell ref="G15:G16"/>
    <mergeCell ref="H15:H16"/>
    <mergeCell ref="I6:J6"/>
    <mergeCell ref="I3:J3"/>
    <mergeCell ref="I4:J4"/>
    <mergeCell ref="I5:J5"/>
    <mergeCell ref="A11:B11"/>
    <mergeCell ref="A12:B12"/>
    <mergeCell ref="A27:B27"/>
    <mergeCell ref="A15:A16"/>
    <mergeCell ref="B15:B16"/>
    <mergeCell ref="C15:C16"/>
    <mergeCell ref="A17:I17"/>
    <mergeCell ref="C9:E9"/>
    <mergeCell ref="E7:H7"/>
    <mergeCell ref="I7:J7"/>
    <mergeCell ref="A1:B8"/>
    <mergeCell ref="C1:H5"/>
    <mergeCell ref="E8:H8"/>
    <mergeCell ref="I8:J8"/>
    <mergeCell ref="C7:D8"/>
    <mergeCell ref="I1:J1"/>
    <mergeCell ref="I2:J2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120" zoomScaleNormal="120" zoomScalePageLayoutView="0" workbookViewId="0" topLeftCell="A7">
      <selection activeCell="D36" sqref="D36"/>
    </sheetView>
  </sheetViews>
  <sheetFormatPr defaultColWidth="11.421875" defaultRowHeight="12.75"/>
  <cols>
    <col min="1" max="1" width="7.57421875" style="2" customWidth="1"/>
    <col min="2" max="2" width="16.8515625" style="2" customWidth="1"/>
    <col min="3" max="3" width="27.28125" style="2" customWidth="1"/>
    <col min="4" max="4" width="16.140625" style="2" customWidth="1"/>
    <col min="5" max="5" width="7.421875" style="2" hidden="1" customWidth="1"/>
    <col min="6" max="6" width="9.57421875" style="2" customWidth="1"/>
    <col min="7" max="7" width="9.8515625" style="2" customWidth="1"/>
    <col min="8" max="8" width="5.7109375" style="2" customWidth="1"/>
    <col min="9" max="9" width="20.57421875" style="2" customWidth="1"/>
    <col min="10" max="10" width="7.28125" style="2" customWidth="1"/>
    <col min="11" max="11" width="10.421875" style="2" customWidth="1"/>
    <col min="12" max="12" width="9.421875" style="2" customWidth="1"/>
    <col min="13" max="13" width="8.57421875" style="2" customWidth="1"/>
    <col min="14" max="14" width="8.421875" style="2" customWidth="1"/>
    <col min="15" max="16384" width="11.421875" style="2" customWidth="1"/>
  </cols>
  <sheetData>
    <row r="1" spans="1:10" ht="12.7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</row>
    <row r="2" spans="1:10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</row>
    <row r="3" spans="1:10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</row>
    <row r="4" spans="1:10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s="12" customFormat="1" ht="18">
      <c r="A5" s="268"/>
      <c r="B5" s="269"/>
      <c r="C5" s="273"/>
      <c r="D5" s="273"/>
      <c r="E5" s="273"/>
      <c r="F5" s="273"/>
      <c r="G5" s="273"/>
      <c r="H5" s="273"/>
      <c r="I5" s="319" t="s">
        <v>148</v>
      </c>
      <c r="J5" s="320"/>
    </row>
    <row r="6" spans="1:10" ht="14.25" customHeight="1">
      <c r="A6" s="268"/>
      <c r="B6" s="269"/>
      <c r="C6" s="281" t="s">
        <v>164</v>
      </c>
      <c r="D6" s="281"/>
      <c r="E6" s="281" t="s">
        <v>165</v>
      </c>
      <c r="F6" s="281"/>
      <c r="G6" s="281"/>
      <c r="H6" s="281"/>
      <c r="I6" s="281" t="s">
        <v>166</v>
      </c>
      <c r="J6" s="282"/>
    </row>
    <row r="7" spans="1:10" s="4" customFormat="1" ht="14.25">
      <c r="A7" s="268"/>
      <c r="B7" s="269"/>
      <c r="C7" s="281" t="s">
        <v>167</v>
      </c>
      <c r="D7" s="281"/>
      <c r="E7" s="281" t="s">
        <v>168</v>
      </c>
      <c r="F7" s="281"/>
      <c r="G7" s="281"/>
      <c r="H7" s="281"/>
      <c r="I7" s="281" t="s">
        <v>170</v>
      </c>
      <c r="J7" s="282"/>
    </row>
    <row r="8" spans="1:10" s="4" customFormat="1" ht="14.25">
      <c r="A8" s="270"/>
      <c r="B8" s="271"/>
      <c r="C8" s="303"/>
      <c r="D8" s="303"/>
      <c r="E8" s="303" t="s">
        <v>169</v>
      </c>
      <c r="F8" s="303"/>
      <c r="G8" s="303"/>
      <c r="H8" s="303"/>
      <c r="I8" s="303" t="s">
        <v>171</v>
      </c>
      <c r="J8" s="304"/>
    </row>
    <row r="9" spans="1:10" s="4" customFormat="1" ht="15" customHeight="1">
      <c r="A9" s="353" t="s">
        <v>153</v>
      </c>
      <c r="B9" s="353"/>
      <c r="C9" s="353" t="s">
        <v>204</v>
      </c>
      <c r="D9" s="353"/>
      <c r="E9" s="8"/>
      <c r="F9" s="8"/>
      <c r="G9" s="128" t="s">
        <v>115</v>
      </c>
      <c r="H9" s="347"/>
      <c r="I9" s="347"/>
      <c r="J9" s="5"/>
    </row>
    <row r="10" spans="1:10" s="4" customFormat="1" ht="16.5">
      <c r="A10" s="345" t="s">
        <v>8</v>
      </c>
      <c r="B10" s="345"/>
      <c r="C10" s="219">
        <f>+'POA-01'!C10</f>
        <v>290761321</v>
      </c>
      <c r="D10" s="82"/>
      <c r="E10" s="8"/>
      <c r="F10" s="8"/>
      <c r="G10" s="8"/>
      <c r="H10" s="8"/>
      <c r="I10" s="8"/>
      <c r="J10" s="5"/>
    </row>
    <row r="11" spans="1:10" s="4" customFormat="1" ht="16.5">
      <c r="A11" s="345" t="s">
        <v>10</v>
      </c>
      <c r="B11" s="345"/>
      <c r="C11" s="62">
        <f>'POA-01'!D11</f>
        <v>0</v>
      </c>
      <c r="D11" s="82"/>
      <c r="E11" s="8"/>
      <c r="F11" s="8"/>
      <c r="G11" s="8"/>
      <c r="H11" s="8"/>
      <c r="I11" s="8"/>
      <c r="J11" s="5"/>
    </row>
    <row r="12" spans="1:10" s="4" customFormat="1" ht="15" customHeight="1">
      <c r="A12" s="345" t="s">
        <v>150</v>
      </c>
      <c r="B12" s="345"/>
      <c r="C12" s="62">
        <f>+'POA-01'!C12</f>
        <v>290761321</v>
      </c>
      <c r="D12" s="82"/>
      <c r="E12" s="8"/>
      <c r="F12" s="8"/>
      <c r="G12" s="8"/>
      <c r="H12" s="8"/>
      <c r="I12" s="8"/>
      <c r="J12" s="5"/>
    </row>
    <row r="13" spans="1:4" s="3" customFormat="1" ht="12.75" customHeight="1">
      <c r="A13" s="102"/>
      <c r="B13" s="102"/>
      <c r="C13" s="102"/>
      <c r="D13" s="102"/>
    </row>
    <row r="14" spans="1:4" s="6" customFormat="1" ht="14.25" thickBot="1">
      <c r="A14" s="83" t="s">
        <v>45</v>
      </c>
      <c r="B14" s="83"/>
      <c r="C14" s="83"/>
      <c r="D14" s="84" t="s">
        <v>46</v>
      </c>
    </row>
    <row r="15" spans="1:4" s="3" customFormat="1" ht="12.75" customHeight="1" thickBot="1">
      <c r="A15" s="124" t="s">
        <v>47</v>
      </c>
      <c r="B15" s="348" t="s">
        <v>33</v>
      </c>
      <c r="C15" s="349"/>
      <c r="D15" s="125" t="s">
        <v>25</v>
      </c>
    </row>
    <row r="16" spans="1:4" s="3" customFormat="1" ht="13.5">
      <c r="A16" s="126">
        <v>2</v>
      </c>
      <c r="B16" s="350" t="s">
        <v>131</v>
      </c>
      <c r="C16" s="351"/>
      <c r="D16" s="127">
        <f>+D17+D18+D22+D27+D31</f>
        <v>0</v>
      </c>
    </row>
    <row r="17" spans="1:4" s="3" customFormat="1" ht="13.5">
      <c r="A17" s="94" t="s">
        <v>118</v>
      </c>
      <c r="B17" s="352" t="s">
        <v>186</v>
      </c>
      <c r="C17" s="352"/>
      <c r="D17" s="95">
        <v>0</v>
      </c>
    </row>
    <row r="18" spans="1:4" s="3" customFormat="1" ht="13.5">
      <c r="A18" s="94" t="s">
        <v>119</v>
      </c>
      <c r="B18" s="352" t="s">
        <v>187</v>
      </c>
      <c r="C18" s="352"/>
      <c r="D18" s="95">
        <f>+'POA-03'!I21+'POA-04'!H19</f>
        <v>0</v>
      </c>
    </row>
    <row r="19" spans="1:4" s="3" customFormat="1" ht="13.5">
      <c r="A19" s="94" t="s">
        <v>120</v>
      </c>
      <c r="B19" s="344" t="s">
        <v>188</v>
      </c>
      <c r="C19" s="344"/>
      <c r="D19" s="208">
        <v>0</v>
      </c>
    </row>
    <row r="20" spans="1:9" s="3" customFormat="1" ht="13.5">
      <c r="A20" s="94" t="s">
        <v>121</v>
      </c>
      <c r="B20" s="344" t="s">
        <v>189</v>
      </c>
      <c r="C20" s="344"/>
      <c r="D20" s="209">
        <v>0</v>
      </c>
      <c r="I20" s="222"/>
    </row>
    <row r="21" spans="1:4" s="3" customFormat="1" ht="13.5">
      <c r="A21" s="94" t="s">
        <v>122</v>
      </c>
      <c r="B21" s="344" t="s">
        <v>190</v>
      </c>
      <c r="C21" s="344"/>
      <c r="D21" s="209">
        <v>0</v>
      </c>
    </row>
    <row r="22" spans="1:4" s="3" customFormat="1" ht="13.5">
      <c r="A22" s="94" t="s">
        <v>123</v>
      </c>
      <c r="B22" s="344" t="s">
        <v>191</v>
      </c>
      <c r="C22" s="344"/>
      <c r="D22" s="209">
        <v>0</v>
      </c>
    </row>
    <row r="23" spans="1:4" s="3" customFormat="1" ht="13.5">
      <c r="A23" s="94" t="s">
        <v>124</v>
      </c>
      <c r="B23" s="344" t="s">
        <v>192</v>
      </c>
      <c r="C23" s="344"/>
      <c r="D23" s="208">
        <v>0</v>
      </c>
    </row>
    <row r="24" spans="1:4" s="3" customFormat="1" ht="13.5">
      <c r="A24" s="94" t="s">
        <v>125</v>
      </c>
      <c r="B24" s="344" t="s">
        <v>193</v>
      </c>
      <c r="C24" s="344"/>
      <c r="D24" s="208">
        <v>0</v>
      </c>
    </row>
    <row r="25" spans="1:4" s="3" customFormat="1" ht="13.5">
      <c r="A25" s="94" t="s">
        <v>126</v>
      </c>
      <c r="B25" s="344" t="s">
        <v>194</v>
      </c>
      <c r="C25" s="344"/>
      <c r="D25" s="209">
        <v>0</v>
      </c>
    </row>
    <row r="26" spans="1:4" s="3" customFormat="1" ht="13.5">
      <c r="A26" s="94" t="s">
        <v>127</v>
      </c>
      <c r="B26" s="344" t="s">
        <v>195</v>
      </c>
      <c r="C26" s="344"/>
      <c r="D26" s="208">
        <v>0</v>
      </c>
    </row>
    <row r="27" spans="1:4" s="3" customFormat="1" ht="13.5">
      <c r="A27" s="94" t="s">
        <v>128</v>
      </c>
      <c r="B27" s="344" t="s">
        <v>196</v>
      </c>
      <c r="C27" s="344"/>
      <c r="D27" s="240">
        <v>0</v>
      </c>
    </row>
    <row r="28" spans="1:12" s="3" customFormat="1" ht="13.5">
      <c r="A28" s="94" t="s">
        <v>129</v>
      </c>
      <c r="B28" s="344" t="s">
        <v>197</v>
      </c>
      <c r="C28" s="344"/>
      <c r="D28" s="208">
        <v>0</v>
      </c>
      <c r="I28" s="244"/>
      <c r="J28" s="245"/>
      <c r="K28" s="246"/>
      <c r="L28" s="245"/>
    </row>
    <row r="29" spans="1:12" s="3" customFormat="1" ht="13.5">
      <c r="A29" s="94" t="s">
        <v>130</v>
      </c>
      <c r="B29" s="344" t="s">
        <v>198</v>
      </c>
      <c r="C29" s="344"/>
      <c r="D29" s="208">
        <v>0</v>
      </c>
      <c r="I29" s="346"/>
      <c r="J29" s="346"/>
      <c r="K29" s="246"/>
      <c r="L29" s="245"/>
    </row>
    <row r="30" spans="1:12" s="3" customFormat="1" ht="13.5">
      <c r="A30" s="94" t="s">
        <v>132</v>
      </c>
      <c r="B30" s="344" t="s">
        <v>199</v>
      </c>
      <c r="C30" s="344"/>
      <c r="D30" s="208">
        <v>0</v>
      </c>
      <c r="I30" s="346"/>
      <c r="J30" s="346"/>
      <c r="K30" s="246"/>
      <c r="L30" s="245"/>
    </row>
    <row r="31" spans="1:12" s="3" customFormat="1" ht="13.5">
      <c r="A31" s="94"/>
      <c r="B31" s="344" t="s">
        <v>200</v>
      </c>
      <c r="C31" s="344"/>
      <c r="D31" s="208">
        <v>0</v>
      </c>
      <c r="I31" s="346"/>
      <c r="J31" s="346"/>
      <c r="K31" s="246"/>
      <c r="L31" s="245"/>
    </row>
    <row r="32" spans="1:12" s="3" customFormat="1" ht="13.5">
      <c r="A32" s="94"/>
      <c r="B32" s="344" t="s">
        <v>201</v>
      </c>
      <c r="C32" s="344"/>
      <c r="D32" s="208">
        <v>0</v>
      </c>
      <c r="I32" s="346"/>
      <c r="J32" s="346"/>
      <c r="K32" s="246"/>
      <c r="L32" s="245"/>
    </row>
    <row r="33" spans="1:12" s="3" customFormat="1" ht="13.5">
      <c r="A33" s="94"/>
      <c r="B33" s="343" t="s">
        <v>110</v>
      </c>
      <c r="C33" s="343"/>
      <c r="D33" s="208">
        <v>0</v>
      </c>
      <c r="I33" s="245"/>
      <c r="J33" s="245"/>
      <c r="K33" s="245"/>
      <c r="L33" s="245"/>
    </row>
    <row r="34" spans="1:12" s="3" customFormat="1" ht="13.5">
      <c r="A34" s="94"/>
      <c r="B34" s="343" t="s">
        <v>111</v>
      </c>
      <c r="C34" s="343"/>
      <c r="D34" s="99">
        <f>+'POA-05'!C22</f>
        <v>171338987</v>
      </c>
      <c r="I34" s="245"/>
      <c r="J34" s="245"/>
      <c r="K34" s="245"/>
      <c r="L34" s="245"/>
    </row>
    <row r="35" spans="1:12" s="3" customFormat="1" ht="13.5">
      <c r="A35" s="94"/>
      <c r="B35" s="343" t="s">
        <v>112</v>
      </c>
      <c r="C35" s="343"/>
      <c r="D35" s="99">
        <f>+'POA-05'!C27</f>
        <v>70862263</v>
      </c>
      <c r="I35" s="245"/>
      <c r="J35" s="245"/>
      <c r="K35" s="245"/>
      <c r="L35" s="245"/>
    </row>
    <row r="36" spans="1:12" s="3" customFormat="1" ht="13.5">
      <c r="A36" s="206"/>
      <c r="B36" s="343" t="s">
        <v>202</v>
      </c>
      <c r="C36" s="343"/>
      <c r="D36" s="210">
        <f>+'POA-02'!J20</f>
        <v>48560070.5</v>
      </c>
      <c r="I36" s="245"/>
      <c r="J36" s="245"/>
      <c r="K36" s="245"/>
      <c r="L36" s="245"/>
    </row>
    <row r="37" spans="1:12" s="3" customFormat="1" ht="13.5">
      <c r="A37" s="207"/>
      <c r="B37" s="343" t="s">
        <v>203</v>
      </c>
      <c r="C37" s="343"/>
      <c r="D37" s="210">
        <f>+'POA-02'!J17</f>
        <v>0</v>
      </c>
      <c r="I37" s="245"/>
      <c r="J37" s="245"/>
      <c r="K37" s="245"/>
      <c r="L37" s="245"/>
    </row>
    <row r="38" spans="4:12" s="3" customFormat="1" ht="11.25">
      <c r="D38" s="53">
        <f>+D16+D34+D35+D36+D37</f>
        <v>290761320.5</v>
      </c>
      <c r="I38" s="245"/>
      <c r="J38" s="245"/>
      <c r="K38" s="245"/>
      <c r="L38" s="245"/>
    </row>
    <row r="39" spans="9:12" s="3" customFormat="1" ht="11.25">
      <c r="I39" s="245"/>
      <c r="J39" s="245"/>
      <c r="K39" s="245"/>
      <c r="L39" s="245"/>
    </row>
    <row r="40" spans="9:12" s="3" customFormat="1" ht="11.25">
      <c r="I40" s="247"/>
      <c r="J40" s="245"/>
      <c r="K40" s="245"/>
      <c r="L40" s="245"/>
    </row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2" customHeight="1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5" customHeight="1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</sheetData>
  <sheetProtection/>
  <mergeCells count="49">
    <mergeCell ref="B18:C18"/>
    <mergeCell ref="B32:C32"/>
    <mergeCell ref="B22:C22"/>
    <mergeCell ref="B23:C23"/>
    <mergeCell ref="B34:C34"/>
    <mergeCell ref="B26:C26"/>
    <mergeCell ref="B27:C27"/>
    <mergeCell ref="B25:C25"/>
    <mergeCell ref="B28:C28"/>
    <mergeCell ref="E7:H7"/>
    <mergeCell ref="I7:J7"/>
    <mergeCell ref="B15:C15"/>
    <mergeCell ref="B16:C16"/>
    <mergeCell ref="B17:C17"/>
    <mergeCell ref="B33:C33"/>
    <mergeCell ref="B24:C24"/>
    <mergeCell ref="C9:D9"/>
    <mergeCell ref="A9:B9"/>
    <mergeCell ref="B31:C31"/>
    <mergeCell ref="A11:B11"/>
    <mergeCell ref="I8:J8"/>
    <mergeCell ref="H9:I9"/>
    <mergeCell ref="I6:J6"/>
    <mergeCell ref="A12:B12"/>
    <mergeCell ref="B29:C29"/>
    <mergeCell ref="B19:C19"/>
    <mergeCell ref="B20:C20"/>
    <mergeCell ref="E6:H6"/>
    <mergeCell ref="C7:D7"/>
    <mergeCell ref="I30:J30"/>
    <mergeCell ref="I31:J31"/>
    <mergeCell ref="B36:C36"/>
    <mergeCell ref="I1:J1"/>
    <mergeCell ref="I2:J2"/>
    <mergeCell ref="I3:J3"/>
    <mergeCell ref="I4:J4"/>
    <mergeCell ref="I5:J5"/>
    <mergeCell ref="I32:J32"/>
    <mergeCell ref="I29:J29"/>
    <mergeCell ref="B37:C37"/>
    <mergeCell ref="A1:B8"/>
    <mergeCell ref="C1:H5"/>
    <mergeCell ref="C8:D8"/>
    <mergeCell ref="E8:H8"/>
    <mergeCell ref="B30:C30"/>
    <mergeCell ref="B35:C35"/>
    <mergeCell ref="C6:D6"/>
    <mergeCell ref="B21:C21"/>
    <mergeCell ref="A10:B10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zoomScale="115" zoomScaleNormal="115" zoomScalePageLayoutView="0" workbookViewId="0" topLeftCell="B18">
      <selection activeCell="P55" sqref="P55"/>
    </sheetView>
  </sheetViews>
  <sheetFormatPr defaultColWidth="11.421875" defaultRowHeight="12.75"/>
  <cols>
    <col min="1" max="1" width="7.00390625" style="15" customWidth="1"/>
    <col min="2" max="2" width="18.7109375" style="15" customWidth="1"/>
    <col min="3" max="3" width="11.28125" style="15" customWidth="1"/>
    <col min="4" max="4" width="7.8515625" style="15" customWidth="1"/>
    <col min="5" max="5" width="8.7109375" style="15" customWidth="1"/>
    <col min="6" max="6" width="9.140625" style="15" customWidth="1"/>
    <col min="7" max="7" width="9.28125" style="15" customWidth="1"/>
    <col min="8" max="8" width="9.140625" style="15" customWidth="1"/>
    <col min="9" max="10" width="9.8515625" style="15" customWidth="1"/>
    <col min="11" max="11" width="9.57421875" style="15" customWidth="1"/>
    <col min="12" max="12" width="9.28125" style="15" customWidth="1"/>
    <col min="13" max="13" width="9.421875" style="15" customWidth="1"/>
    <col min="14" max="14" width="9.57421875" style="15" customWidth="1"/>
    <col min="15" max="15" width="11.00390625" style="15" customWidth="1"/>
    <col min="16" max="16" width="10.8515625" style="15" customWidth="1"/>
    <col min="17" max="17" width="10.140625" style="15" customWidth="1"/>
    <col min="18" max="16384" width="11.421875" style="15" customWidth="1"/>
  </cols>
  <sheetData>
    <row r="1" spans="1:16" ht="11.2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7" t="s">
        <v>161</v>
      </c>
      <c r="O1" s="277"/>
      <c r="P1" s="278"/>
    </row>
    <row r="2" spans="1:16" ht="12.75" customHeight="1">
      <c r="A2" s="268"/>
      <c r="B2" s="269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 t="s">
        <v>162</v>
      </c>
      <c r="O2" s="274"/>
      <c r="P2" s="275"/>
    </row>
    <row r="3" spans="1:16" ht="12.75" customHeight="1">
      <c r="A3" s="268"/>
      <c r="B3" s="269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 t="s">
        <v>163</v>
      </c>
      <c r="O3" s="274"/>
      <c r="P3" s="275"/>
    </row>
    <row r="4" spans="1:16" ht="11.25" customHeight="1">
      <c r="A4" s="268"/>
      <c r="B4" s="269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 t="s">
        <v>174</v>
      </c>
      <c r="O4" s="274"/>
      <c r="P4" s="275"/>
    </row>
    <row r="5" spans="1:16" ht="10.5" customHeight="1">
      <c r="A5" s="268"/>
      <c r="B5" s="269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9" t="s">
        <v>148</v>
      </c>
      <c r="O5" s="279"/>
      <c r="P5" s="280"/>
    </row>
    <row r="6" spans="1:16" ht="15" customHeight="1">
      <c r="A6" s="268"/>
      <c r="B6" s="269"/>
      <c r="C6" s="281" t="s">
        <v>164</v>
      </c>
      <c r="D6" s="281"/>
      <c r="E6" s="281"/>
      <c r="F6" s="281"/>
      <c r="G6" s="281"/>
      <c r="H6" s="281" t="s">
        <v>165</v>
      </c>
      <c r="I6" s="281"/>
      <c r="J6" s="281"/>
      <c r="K6" s="281"/>
      <c r="L6" s="281"/>
      <c r="M6" s="281" t="s">
        <v>166</v>
      </c>
      <c r="N6" s="281"/>
      <c r="O6" s="281"/>
      <c r="P6" s="282"/>
    </row>
    <row r="7" spans="1:16" ht="11.25" customHeight="1">
      <c r="A7" s="268"/>
      <c r="B7" s="269"/>
      <c r="C7" s="356" t="s">
        <v>167</v>
      </c>
      <c r="D7" s="356"/>
      <c r="E7" s="356"/>
      <c r="F7" s="356"/>
      <c r="G7" s="356"/>
      <c r="H7" s="281" t="s">
        <v>168</v>
      </c>
      <c r="I7" s="281"/>
      <c r="J7" s="281"/>
      <c r="K7" s="281"/>
      <c r="L7" s="281"/>
      <c r="M7" s="281" t="s">
        <v>170</v>
      </c>
      <c r="N7" s="281"/>
      <c r="O7" s="281"/>
      <c r="P7" s="282"/>
    </row>
    <row r="8" spans="1:16" ht="13.5" customHeight="1">
      <c r="A8" s="270"/>
      <c r="B8" s="271"/>
      <c r="C8" s="357"/>
      <c r="D8" s="357"/>
      <c r="E8" s="357"/>
      <c r="F8" s="357"/>
      <c r="G8" s="357"/>
      <c r="H8" s="303" t="s">
        <v>169</v>
      </c>
      <c r="I8" s="303"/>
      <c r="J8" s="303"/>
      <c r="K8" s="303"/>
      <c r="L8" s="303"/>
      <c r="M8" s="303" t="s">
        <v>171</v>
      </c>
      <c r="N8" s="303"/>
      <c r="O8" s="303"/>
      <c r="P8" s="304"/>
    </row>
    <row r="9" spans="1:24" ht="12.75" customHeight="1" thickBot="1">
      <c r="A9" s="367" t="s">
        <v>117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41"/>
      <c r="R9" s="41"/>
      <c r="S9" s="41"/>
      <c r="T9" s="41"/>
      <c r="U9" s="41"/>
      <c r="V9" s="41"/>
      <c r="W9" s="41"/>
      <c r="X9" s="41"/>
    </row>
    <row r="10" spans="1:24" ht="3" customHeight="1" hidden="1" thickBot="1">
      <c r="A10" s="129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37"/>
      <c r="R10" s="41"/>
      <c r="S10" s="35"/>
      <c r="T10" s="41"/>
      <c r="U10" s="41"/>
      <c r="V10" s="37"/>
      <c r="W10" s="41"/>
      <c r="X10" s="35"/>
    </row>
    <row r="11" spans="1:16" ht="13.5" thickBot="1">
      <c r="A11" s="358"/>
      <c r="B11" s="360" t="s">
        <v>26</v>
      </c>
      <c r="C11" s="362" t="s">
        <v>134</v>
      </c>
      <c r="D11" s="364" t="s">
        <v>50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  <c r="P11" s="354" t="s">
        <v>29</v>
      </c>
    </row>
    <row r="12" spans="1:24" ht="13.5" thickBot="1">
      <c r="A12" s="359"/>
      <c r="B12" s="361"/>
      <c r="C12" s="363"/>
      <c r="D12" s="133" t="s">
        <v>52</v>
      </c>
      <c r="E12" s="134" t="s">
        <v>53</v>
      </c>
      <c r="F12" s="134" t="s">
        <v>54</v>
      </c>
      <c r="G12" s="134" t="s">
        <v>55</v>
      </c>
      <c r="H12" s="134" t="s">
        <v>56</v>
      </c>
      <c r="I12" s="134" t="s">
        <v>57</v>
      </c>
      <c r="J12" s="134" t="s">
        <v>58</v>
      </c>
      <c r="K12" s="134" t="s">
        <v>59</v>
      </c>
      <c r="L12" s="134" t="s">
        <v>60</v>
      </c>
      <c r="M12" s="134" t="s">
        <v>61</v>
      </c>
      <c r="N12" s="134" t="s">
        <v>62</v>
      </c>
      <c r="O12" s="135" t="s">
        <v>63</v>
      </c>
      <c r="P12" s="355"/>
      <c r="Q12" s="39"/>
      <c r="R12" s="39"/>
      <c r="S12" s="39"/>
      <c r="T12" s="38"/>
      <c r="U12" s="38"/>
      <c r="V12" s="40"/>
      <c r="W12" s="38"/>
      <c r="X12" s="38"/>
    </row>
    <row r="13" spans="1:16" ht="12.75">
      <c r="A13" s="136">
        <v>1000</v>
      </c>
      <c r="B13" s="142" t="s">
        <v>64</v>
      </c>
      <c r="C13" s="223">
        <f>SUM(C14:C15)</f>
        <v>48560070.5</v>
      </c>
      <c r="D13" s="229">
        <f>+C13/6</f>
        <v>8093345.083333333</v>
      </c>
      <c r="E13" s="229">
        <f>+C13/6</f>
        <v>8093345.083333333</v>
      </c>
      <c r="F13" s="229">
        <f>+C13/6</f>
        <v>8093345.083333333</v>
      </c>
      <c r="G13" s="229">
        <f>+C13/6</f>
        <v>8093345.083333333</v>
      </c>
      <c r="H13" s="229">
        <f>+C13/6</f>
        <v>8093345.083333333</v>
      </c>
      <c r="I13" s="229">
        <f>+C13/6</f>
        <v>8093345.083333333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6">
        <f>SUM(D13:O13)</f>
        <v>48560070.5</v>
      </c>
    </row>
    <row r="14" spans="1:24" ht="12.75">
      <c r="A14" s="137">
        <v>1001</v>
      </c>
      <c r="B14" s="143" t="s">
        <v>65</v>
      </c>
      <c r="C14" s="224">
        <f>'POA-02'!J17</f>
        <v>0</v>
      </c>
      <c r="D14" s="225"/>
      <c r="E14" s="225"/>
      <c r="F14" s="225">
        <f>+C14/6</f>
        <v>0</v>
      </c>
      <c r="G14" s="229">
        <f>+C14/6</f>
        <v>0</v>
      </c>
      <c r="H14" s="229">
        <f>+C14/6</f>
        <v>0</v>
      </c>
      <c r="I14" s="229">
        <f>+C14/6</f>
        <v>0</v>
      </c>
      <c r="J14" s="229">
        <f>+C14/6</f>
        <v>0</v>
      </c>
      <c r="K14" s="229">
        <f>+C14/6</f>
        <v>0</v>
      </c>
      <c r="L14" s="229"/>
      <c r="M14" s="229"/>
      <c r="N14" s="229"/>
      <c r="O14" s="229"/>
      <c r="P14" s="226">
        <f>SUM(D14:O14)</f>
        <v>0</v>
      </c>
      <c r="Q14" s="39"/>
      <c r="R14" s="39"/>
      <c r="S14" s="39"/>
      <c r="T14" s="38"/>
      <c r="U14" s="38"/>
      <c r="V14" s="40"/>
      <c r="W14" s="38"/>
      <c r="X14" s="38"/>
    </row>
    <row r="15" spans="1:16" ht="12.75">
      <c r="A15" s="137">
        <v>1002</v>
      </c>
      <c r="B15" s="143" t="s">
        <v>66</v>
      </c>
      <c r="C15" s="225">
        <f>+'POA-02'!J20</f>
        <v>48560070.5</v>
      </c>
      <c r="D15" s="231">
        <f>+C15/6</f>
        <v>8093345.083333333</v>
      </c>
      <c r="E15" s="231">
        <f>+C15/6</f>
        <v>8093345.083333333</v>
      </c>
      <c r="F15" s="231">
        <f>+C15/6</f>
        <v>8093345.083333333</v>
      </c>
      <c r="G15" s="231">
        <f>+C15/6</f>
        <v>8093345.083333333</v>
      </c>
      <c r="H15" s="231">
        <f>+C15/6</f>
        <v>8093345.083333333</v>
      </c>
      <c r="I15" s="231">
        <f>+C15/6</f>
        <v>8093345.083333333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26">
        <f>SUM(D15:O15)</f>
        <v>48560070.5</v>
      </c>
    </row>
    <row r="16" spans="1:24" ht="12.75">
      <c r="A16" s="138">
        <v>2000</v>
      </c>
      <c r="B16" s="143" t="s">
        <v>67</v>
      </c>
      <c r="C16" s="226">
        <f>+C17+C18+C22+C23+C27+C30+C34+C35+C36+C37+C38+C39+C40+C41+C42+C45+C46</f>
        <v>0</v>
      </c>
      <c r="D16" s="226">
        <f aca="true" t="shared" si="0" ref="D16:P16">+D17+D18+D22+D23+D27+D30+D34+D35+D36+D37+D38+D39+D40+D41+D42+D45+D46</f>
        <v>0</v>
      </c>
      <c r="E16" s="226">
        <f t="shared" si="0"/>
        <v>0</v>
      </c>
      <c r="F16" s="226">
        <f>+F17+F18+F22+F23+F27+F30+F34+F35+F36+F37+F38+F39+F40+F41+F42+F45+F46</f>
        <v>0</v>
      </c>
      <c r="G16" s="226">
        <f t="shared" si="0"/>
        <v>0</v>
      </c>
      <c r="H16" s="226">
        <f t="shared" si="0"/>
        <v>0</v>
      </c>
      <c r="I16" s="226">
        <f t="shared" si="0"/>
        <v>0</v>
      </c>
      <c r="J16" s="226">
        <f t="shared" si="0"/>
        <v>0</v>
      </c>
      <c r="K16" s="226">
        <f>+K18+K30+K38++K42</f>
        <v>0</v>
      </c>
      <c r="L16" s="226">
        <f t="shared" si="0"/>
        <v>0</v>
      </c>
      <c r="M16" s="226">
        <f t="shared" si="0"/>
        <v>0</v>
      </c>
      <c r="N16" s="226">
        <f t="shared" si="0"/>
        <v>0</v>
      </c>
      <c r="O16" s="226">
        <f t="shared" si="0"/>
        <v>0</v>
      </c>
      <c r="P16" s="226">
        <f t="shared" si="0"/>
        <v>0</v>
      </c>
      <c r="Q16" s="39"/>
      <c r="R16" s="39"/>
      <c r="S16" s="39"/>
      <c r="T16" s="38"/>
      <c r="U16" s="38"/>
      <c r="V16" s="40"/>
      <c r="W16" s="38"/>
      <c r="X16" s="38"/>
    </row>
    <row r="17" spans="1:16" ht="12.75">
      <c r="A17" s="137">
        <v>2001</v>
      </c>
      <c r="B17" s="143" t="s">
        <v>68</v>
      </c>
      <c r="C17" s="225">
        <v>0</v>
      </c>
      <c r="D17" s="225">
        <v>0</v>
      </c>
      <c r="E17" s="225"/>
      <c r="F17" s="225"/>
      <c r="G17" s="225">
        <f>+C17</f>
        <v>0</v>
      </c>
      <c r="H17" s="225">
        <v>0</v>
      </c>
      <c r="I17" s="225"/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6">
        <f aca="true" t="shared" si="1" ref="P17:P51">SUM(D17:O17)</f>
        <v>0</v>
      </c>
    </row>
    <row r="18" spans="1:24" ht="12.75">
      <c r="A18" s="137">
        <v>2002</v>
      </c>
      <c r="B18" s="143" t="s">
        <v>139</v>
      </c>
      <c r="C18" s="225">
        <f>'POA-03'!I21+'POA-04'!H19</f>
        <v>0</v>
      </c>
      <c r="D18" s="225"/>
      <c r="E18" s="225"/>
      <c r="F18" s="225"/>
      <c r="G18" s="225">
        <f>+C18/5</f>
        <v>0</v>
      </c>
      <c r="H18" s="225">
        <f>+C18/5</f>
        <v>0</v>
      </c>
      <c r="I18" s="225">
        <f>+C18/5</f>
        <v>0</v>
      </c>
      <c r="J18" s="225">
        <f>+C18/5</f>
        <v>0</v>
      </c>
      <c r="K18" s="225">
        <f>+C18/5</f>
        <v>0</v>
      </c>
      <c r="L18" s="225"/>
      <c r="M18" s="225"/>
      <c r="N18" s="225"/>
      <c r="O18" s="225"/>
      <c r="P18" s="226">
        <f t="shared" si="1"/>
        <v>0</v>
      </c>
      <c r="Q18" s="42"/>
      <c r="R18" s="42"/>
      <c r="S18" s="42"/>
      <c r="T18" s="42"/>
      <c r="U18" s="42"/>
      <c r="V18" s="42"/>
      <c r="W18" s="42"/>
      <c r="X18" s="42"/>
    </row>
    <row r="19" spans="1:16" ht="12.75">
      <c r="A19" s="137" t="s">
        <v>70</v>
      </c>
      <c r="B19" s="143" t="s">
        <v>71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6">
        <f t="shared" si="1"/>
        <v>0</v>
      </c>
    </row>
    <row r="20" spans="1:24" ht="12.75">
      <c r="A20" s="137" t="s">
        <v>72</v>
      </c>
      <c r="B20" s="143" t="s">
        <v>73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6">
        <f t="shared" si="1"/>
        <v>0</v>
      </c>
      <c r="Q20" s="39"/>
      <c r="R20" s="39"/>
      <c r="S20" s="39"/>
      <c r="T20" s="38"/>
      <c r="U20" s="38"/>
      <c r="V20" s="40"/>
      <c r="W20" s="38"/>
      <c r="X20" s="38"/>
    </row>
    <row r="21" spans="1:16" ht="12.75">
      <c r="A21" s="137" t="s">
        <v>74</v>
      </c>
      <c r="B21" s="143" t="s">
        <v>75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6">
        <f t="shared" si="1"/>
        <v>0</v>
      </c>
    </row>
    <row r="22" spans="1:16" ht="12" customHeight="1">
      <c r="A22" s="137">
        <v>2003</v>
      </c>
      <c r="B22" s="144" t="s">
        <v>76</v>
      </c>
      <c r="C22" s="224">
        <f>'POA-06'!D68</f>
        <v>0</v>
      </c>
      <c r="D22" s="225">
        <v>0</v>
      </c>
      <c r="E22" s="225"/>
      <c r="F22" s="225">
        <v>0</v>
      </c>
      <c r="G22" s="225">
        <v>0</v>
      </c>
      <c r="H22" s="225"/>
      <c r="I22" s="225">
        <v>0</v>
      </c>
      <c r="J22" s="225"/>
      <c r="K22" s="225">
        <v>0</v>
      </c>
      <c r="L22" s="225">
        <v>0</v>
      </c>
      <c r="M22" s="225">
        <v>0</v>
      </c>
      <c r="N22" s="225"/>
      <c r="O22" s="225">
        <v>0</v>
      </c>
      <c r="P22" s="226">
        <f t="shared" si="1"/>
        <v>0</v>
      </c>
    </row>
    <row r="23" spans="1:24" ht="12.75">
      <c r="A23" s="137">
        <v>2004</v>
      </c>
      <c r="B23" s="143" t="s">
        <v>77</v>
      </c>
      <c r="C23" s="224">
        <f>'POA-06'!D69</f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6">
        <f t="shared" si="1"/>
        <v>0</v>
      </c>
      <c r="Q23" s="39"/>
      <c r="R23" s="39"/>
      <c r="S23" s="39"/>
      <c r="T23" s="38"/>
      <c r="U23" s="38"/>
      <c r="V23" s="40"/>
      <c r="W23" s="38"/>
      <c r="X23" s="38"/>
    </row>
    <row r="24" spans="1:16" ht="12.75">
      <c r="A24" s="137" t="s">
        <v>78</v>
      </c>
      <c r="B24" s="143" t="s">
        <v>79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6">
        <f t="shared" si="1"/>
        <v>0</v>
      </c>
    </row>
    <row r="25" spans="1:16" ht="12.75">
      <c r="A25" s="137" t="s">
        <v>80</v>
      </c>
      <c r="B25" s="143" t="s">
        <v>81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6">
        <f t="shared" si="1"/>
        <v>0</v>
      </c>
    </row>
    <row r="26" spans="1:16" ht="12.75">
      <c r="A26" s="137" t="s">
        <v>82</v>
      </c>
      <c r="B26" s="143" t="s">
        <v>83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6">
        <f t="shared" si="1"/>
        <v>0</v>
      </c>
    </row>
    <row r="27" spans="1:24" ht="12.75">
      <c r="A27" s="137">
        <v>2005</v>
      </c>
      <c r="B27" s="143" t="s">
        <v>84</v>
      </c>
      <c r="C27" s="224">
        <f>'POA-06'!D70</f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6">
        <f t="shared" si="1"/>
        <v>0</v>
      </c>
      <c r="Q27" s="39"/>
      <c r="R27" s="39"/>
      <c r="S27" s="39"/>
      <c r="T27" s="38"/>
      <c r="U27" s="38"/>
      <c r="V27" s="40"/>
      <c r="W27" s="38"/>
      <c r="X27" s="38"/>
    </row>
    <row r="28" spans="1:16" ht="12.75">
      <c r="A28" s="137" t="s">
        <v>85</v>
      </c>
      <c r="B28" s="143" t="s">
        <v>86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6">
        <f t="shared" si="1"/>
        <v>0</v>
      </c>
    </row>
    <row r="29" spans="1:16" ht="12.75">
      <c r="A29" s="137" t="s">
        <v>87</v>
      </c>
      <c r="B29" s="143" t="s">
        <v>88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6">
        <f t="shared" si="1"/>
        <v>0</v>
      </c>
    </row>
    <row r="30" spans="1:16" ht="12.75">
      <c r="A30" s="137">
        <v>2006</v>
      </c>
      <c r="B30" s="143" t="s">
        <v>89</v>
      </c>
      <c r="C30" s="227">
        <f>+'POA-06'!D22</f>
        <v>0</v>
      </c>
      <c r="D30" s="225">
        <f>+D31+D32</f>
        <v>0</v>
      </c>
      <c r="E30" s="225">
        <f>+C30/10</f>
        <v>0</v>
      </c>
      <c r="F30" s="225">
        <f>+C30/10</f>
        <v>0</v>
      </c>
      <c r="G30" s="225">
        <f>+C30/10</f>
        <v>0</v>
      </c>
      <c r="H30" s="225">
        <f>+C30/10</f>
        <v>0</v>
      </c>
      <c r="I30" s="225">
        <f>+C30/10</f>
        <v>0</v>
      </c>
      <c r="J30" s="225">
        <f>+C30/10</f>
        <v>0</v>
      </c>
      <c r="K30" s="225">
        <f>+C30/10</f>
        <v>0</v>
      </c>
      <c r="L30" s="225">
        <f>+C30/10</f>
        <v>0</v>
      </c>
      <c r="M30" s="225">
        <f>+C30/10</f>
        <v>0</v>
      </c>
      <c r="N30" s="225">
        <f>+C30/10</f>
        <v>0</v>
      </c>
      <c r="O30" s="225">
        <f>+O31+O32</f>
        <v>0</v>
      </c>
      <c r="P30" s="226">
        <f t="shared" si="1"/>
        <v>0</v>
      </c>
    </row>
    <row r="31" spans="1:16" ht="12.75">
      <c r="A31" s="137" t="s">
        <v>90</v>
      </c>
      <c r="B31" s="143" t="s">
        <v>91</v>
      </c>
      <c r="C31" s="228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>
        <f t="shared" si="1"/>
        <v>0</v>
      </c>
    </row>
    <row r="32" spans="1:16" ht="12.75">
      <c r="A32" s="137" t="s">
        <v>92</v>
      </c>
      <c r="B32" s="145" t="s">
        <v>157</v>
      </c>
      <c r="C32" s="228">
        <v>0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>
        <f t="shared" si="1"/>
        <v>0</v>
      </c>
    </row>
    <row r="33" spans="1:16" ht="11.25" customHeight="1">
      <c r="A33" s="137" t="s">
        <v>93</v>
      </c>
      <c r="B33" s="143" t="s">
        <v>94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6">
        <f t="shared" si="1"/>
        <v>0</v>
      </c>
    </row>
    <row r="34" spans="1:16" ht="12.75">
      <c r="A34" s="137">
        <v>2007</v>
      </c>
      <c r="B34" s="145" t="s">
        <v>138</v>
      </c>
      <c r="C34" s="224">
        <v>0</v>
      </c>
      <c r="D34" s="225">
        <v>0</v>
      </c>
      <c r="E34" s="225">
        <v>0</v>
      </c>
      <c r="F34" s="225">
        <v>0</v>
      </c>
      <c r="G34" s="225"/>
      <c r="H34" s="225"/>
      <c r="I34" s="225">
        <v>0</v>
      </c>
      <c r="J34" s="225"/>
      <c r="K34" s="225">
        <v>0</v>
      </c>
      <c r="L34" s="225">
        <v>0</v>
      </c>
      <c r="M34" s="225">
        <v>0</v>
      </c>
      <c r="N34" s="225"/>
      <c r="O34" s="225"/>
      <c r="P34" s="226">
        <f t="shared" si="1"/>
        <v>0</v>
      </c>
    </row>
    <row r="35" spans="1:16" ht="12.75" customHeight="1">
      <c r="A35" s="137">
        <v>2008</v>
      </c>
      <c r="B35" s="145" t="s">
        <v>156</v>
      </c>
      <c r="C35" s="224"/>
      <c r="D35" s="225">
        <v>0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6">
        <f t="shared" si="1"/>
        <v>0</v>
      </c>
    </row>
    <row r="36" spans="1:16" ht="12.75">
      <c r="A36" s="137">
        <v>2009</v>
      </c>
      <c r="B36" s="143" t="s">
        <v>97</v>
      </c>
      <c r="C36" s="224">
        <f>'POA-06'!D74</f>
        <v>0</v>
      </c>
      <c r="D36" s="225">
        <v>0</v>
      </c>
      <c r="E36" s="225">
        <v>0</v>
      </c>
      <c r="F36" s="225"/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6">
        <f t="shared" si="1"/>
        <v>0</v>
      </c>
    </row>
    <row r="37" spans="1:16" ht="12.75">
      <c r="A37" s="137">
        <v>2010</v>
      </c>
      <c r="B37" s="145" t="s">
        <v>155</v>
      </c>
      <c r="C37" s="224">
        <f>'POA-06'!D75</f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6">
        <f t="shared" si="1"/>
        <v>0</v>
      </c>
    </row>
    <row r="38" spans="1:16" ht="12.75">
      <c r="A38" s="137">
        <v>2011</v>
      </c>
      <c r="B38" s="143" t="s">
        <v>99</v>
      </c>
      <c r="C38" s="224">
        <f>+'POA-06'!D27</f>
        <v>0</v>
      </c>
      <c r="D38" s="225"/>
      <c r="E38" s="225">
        <f>+C38/10</f>
        <v>0</v>
      </c>
      <c r="F38" s="225">
        <f>+C38/10</f>
        <v>0</v>
      </c>
      <c r="G38" s="225">
        <f>+C38/10</f>
        <v>0</v>
      </c>
      <c r="H38" s="225">
        <f>+C38/10</f>
        <v>0</v>
      </c>
      <c r="I38" s="230">
        <f>+C38/10</f>
        <v>0</v>
      </c>
      <c r="J38" s="225">
        <f>+C38/10</f>
        <v>0</v>
      </c>
      <c r="K38" s="225">
        <f>+C38/10</f>
        <v>0</v>
      </c>
      <c r="L38" s="225">
        <f>+C38/10</f>
        <v>0</v>
      </c>
      <c r="M38" s="225">
        <f>+C38/10</f>
        <v>0</v>
      </c>
      <c r="N38" s="225">
        <f>+C38/10</f>
        <v>0</v>
      </c>
      <c r="O38" s="225"/>
      <c r="P38" s="226">
        <f t="shared" si="1"/>
        <v>0</v>
      </c>
    </row>
    <row r="39" spans="1:16" ht="12.75" customHeight="1">
      <c r="A39" s="137">
        <v>2012</v>
      </c>
      <c r="B39" s="144" t="s">
        <v>100</v>
      </c>
      <c r="C39" s="224">
        <f>'POA-06'!D77</f>
        <v>0</v>
      </c>
      <c r="D39" s="225">
        <v>0</v>
      </c>
      <c r="E39" s="225"/>
      <c r="F39" s="225">
        <v>0</v>
      </c>
      <c r="G39" s="225">
        <v>0</v>
      </c>
      <c r="H39" s="225"/>
      <c r="I39" s="225">
        <v>0</v>
      </c>
      <c r="J39" s="225">
        <v>0</v>
      </c>
      <c r="K39" s="225"/>
      <c r="L39" s="225">
        <v>0</v>
      </c>
      <c r="M39" s="225">
        <v>0</v>
      </c>
      <c r="N39" s="225"/>
      <c r="O39" s="225">
        <v>0</v>
      </c>
      <c r="P39" s="226">
        <f t="shared" si="1"/>
        <v>0</v>
      </c>
    </row>
    <row r="40" spans="1:16" ht="12.75">
      <c r="A40" s="137">
        <v>2013</v>
      </c>
      <c r="B40" s="143" t="s">
        <v>101</v>
      </c>
      <c r="C40" s="224"/>
      <c r="D40" s="225">
        <v>0</v>
      </c>
      <c r="E40" s="225"/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6">
        <f t="shared" si="1"/>
        <v>0</v>
      </c>
    </row>
    <row r="41" spans="1:16" ht="12.75">
      <c r="A41" s="137">
        <v>2014</v>
      </c>
      <c r="B41" s="143" t="s">
        <v>102</v>
      </c>
      <c r="C41" s="224">
        <f>'POA-06'!D79</f>
        <v>0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6">
        <f t="shared" si="1"/>
        <v>0</v>
      </c>
    </row>
    <row r="42" spans="1:16" ht="12.75">
      <c r="A42" s="137">
        <v>2015</v>
      </c>
      <c r="B42" s="143" t="s">
        <v>103</v>
      </c>
      <c r="C42" s="224">
        <f>+'POA-06'!D31</f>
        <v>0</v>
      </c>
      <c r="D42" s="225"/>
      <c r="E42" s="225"/>
      <c r="F42" s="225"/>
      <c r="G42" s="225"/>
      <c r="H42" s="225"/>
      <c r="I42" s="225">
        <f>+C42/2</f>
        <v>0</v>
      </c>
      <c r="J42" s="225"/>
      <c r="K42" s="225"/>
      <c r="L42" s="225"/>
      <c r="M42" s="225"/>
      <c r="N42" s="225">
        <f>+C42/2</f>
        <v>0</v>
      </c>
      <c r="O42" s="225"/>
      <c r="P42" s="226">
        <f t="shared" si="1"/>
        <v>0</v>
      </c>
    </row>
    <row r="43" spans="1:16" ht="12.75">
      <c r="A43" s="137" t="s">
        <v>104</v>
      </c>
      <c r="B43" s="143" t="s">
        <v>105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6">
        <f t="shared" si="1"/>
        <v>0</v>
      </c>
    </row>
    <row r="44" spans="1:16" ht="12.75">
      <c r="A44" s="137" t="s">
        <v>106</v>
      </c>
      <c r="B44" s="143" t="s">
        <v>107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6">
        <f t="shared" si="1"/>
        <v>0</v>
      </c>
    </row>
    <row r="45" spans="1:16" ht="12.75">
      <c r="A45" s="137">
        <v>2016</v>
      </c>
      <c r="B45" s="143" t="s">
        <v>108</v>
      </c>
      <c r="C45" s="225">
        <f>'POA-06'!D81</f>
        <v>0</v>
      </c>
      <c r="D45" s="225">
        <v>0</v>
      </c>
      <c r="E45" s="225">
        <v>0</v>
      </c>
      <c r="F45" s="225">
        <v>0</v>
      </c>
      <c r="G45" s="225">
        <v>0</v>
      </c>
      <c r="H45" s="225"/>
      <c r="I45" s="225">
        <v>0</v>
      </c>
      <c r="J45" s="225"/>
      <c r="K45" s="225">
        <v>0</v>
      </c>
      <c r="L45" s="225">
        <v>0</v>
      </c>
      <c r="M45" s="225">
        <v>0</v>
      </c>
      <c r="N45" s="225">
        <v>0</v>
      </c>
      <c r="O45" s="225"/>
      <c r="P45" s="226">
        <f t="shared" si="1"/>
        <v>0</v>
      </c>
    </row>
    <row r="46" spans="1:16" ht="12.75">
      <c r="A46" s="137">
        <v>2017</v>
      </c>
      <c r="B46" s="143" t="s">
        <v>109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6">
        <f t="shared" si="1"/>
        <v>0</v>
      </c>
    </row>
    <row r="47" spans="1:16" ht="12.75">
      <c r="A47" s="138">
        <v>3000</v>
      </c>
      <c r="B47" s="143" t="s">
        <v>110</v>
      </c>
      <c r="C47" s="226">
        <v>0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>
        <f t="shared" si="1"/>
        <v>0</v>
      </c>
    </row>
    <row r="48" spans="1:16" ht="12.75">
      <c r="A48" s="138">
        <v>4000</v>
      </c>
      <c r="B48" s="143" t="s">
        <v>111</v>
      </c>
      <c r="C48" s="225">
        <f>'POA-05'!C27</f>
        <v>70862263</v>
      </c>
      <c r="D48" s="226">
        <v>0</v>
      </c>
      <c r="E48" s="225">
        <f>+C48/5</f>
        <v>14172452.6</v>
      </c>
      <c r="F48" s="225">
        <f>+C48/5</f>
        <v>14172452.6</v>
      </c>
      <c r="G48" s="225">
        <f>+C48/5</f>
        <v>14172452.6</v>
      </c>
      <c r="H48" s="225">
        <f>+C48/5</f>
        <v>14172452.6</v>
      </c>
      <c r="I48" s="225">
        <f>+C48/5</f>
        <v>14172452.6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6"/>
      <c r="P48" s="226">
        <f t="shared" si="1"/>
        <v>70862263</v>
      </c>
    </row>
    <row r="49" spans="1:16" ht="12.75">
      <c r="A49" s="138">
        <v>5000</v>
      </c>
      <c r="B49" s="143" t="s">
        <v>112</v>
      </c>
      <c r="C49" s="225">
        <f>+'POA-05'!C22</f>
        <v>171338987</v>
      </c>
      <c r="D49" s="226">
        <v>0</v>
      </c>
      <c r="E49" s="226">
        <v>0</v>
      </c>
      <c r="F49" s="225">
        <f>+C49/4</f>
        <v>42834746.75</v>
      </c>
      <c r="G49" s="225">
        <f>+C49/4</f>
        <v>42834746.75</v>
      </c>
      <c r="H49" s="225">
        <f>+C49/4</f>
        <v>42834746.75</v>
      </c>
      <c r="I49" s="228">
        <f>+C49/4</f>
        <v>42834746.75</v>
      </c>
      <c r="J49" s="31">
        <v>0</v>
      </c>
      <c r="K49" s="15">
        <v>0</v>
      </c>
      <c r="L49" s="225">
        <v>0</v>
      </c>
      <c r="M49" s="225">
        <v>0</v>
      </c>
      <c r="N49" s="15">
        <v>0</v>
      </c>
      <c r="O49" s="226">
        <v>0</v>
      </c>
      <c r="P49" s="226">
        <f t="shared" si="1"/>
        <v>171338987</v>
      </c>
    </row>
    <row r="50" spans="1:16" ht="12.75">
      <c r="A50" s="138">
        <v>6000</v>
      </c>
      <c r="B50" s="143" t="s">
        <v>113</v>
      </c>
      <c r="C50" s="227">
        <v>0</v>
      </c>
      <c r="D50" s="226"/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26">
        <v>0</v>
      </c>
      <c r="O50" s="226"/>
      <c r="P50" s="226">
        <f t="shared" si="1"/>
        <v>0</v>
      </c>
    </row>
    <row r="51" spans="1:16" ht="12.75">
      <c r="A51" s="138">
        <v>7000</v>
      </c>
      <c r="B51" s="143" t="s">
        <v>114</v>
      </c>
      <c r="C51" s="227"/>
      <c r="D51" s="226">
        <v>0</v>
      </c>
      <c r="E51" s="226"/>
      <c r="F51" s="226"/>
      <c r="G51" s="226"/>
      <c r="H51" s="226">
        <v>0</v>
      </c>
      <c r="I51" s="226"/>
      <c r="J51" s="226">
        <v>0</v>
      </c>
      <c r="K51" s="226"/>
      <c r="L51" s="226">
        <v>0</v>
      </c>
      <c r="M51" s="226"/>
      <c r="N51" s="226"/>
      <c r="O51" s="226"/>
      <c r="P51" s="226">
        <f t="shared" si="1"/>
        <v>0</v>
      </c>
    </row>
    <row r="52" spans="1:16" ht="12.75">
      <c r="A52" s="139"/>
      <c r="B52" s="139" t="s">
        <v>29</v>
      </c>
      <c r="C52" s="227">
        <f>+C13+C16+C47+C48+C49+C50+C51</f>
        <v>290761320.5</v>
      </c>
      <c r="D52" s="227">
        <f aca="true" t="shared" si="2" ref="D52:O52">+D13+D16+D47+D48+D49+D50+D51</f>
        <v>8093345.083333333</v>
      </c>
      <c r="E52" s="227">
        <f t="shared" si="2"/>
        <v>22265797.683333334</v>
      </c>
      <c r="F52" s="227">
        <f>+F49+F48+F13</f>
        <v>65100544.43333334</v>
      </c>
      <c r="G52" s="227">
        <f>+G49+G48+G13</f>
        <v>65100544.43333334</v>
      </c>
      <c r="H52" s="227">
        <f>+H49+H48+G13</f>
        <v>65100544.43333334</v>
      </c>
      <c r="I52" s="227">
        <f t="shared" si="2"/>
        <v>65100544.43333334</v>
      </c>
      <c r="J52" s="227">
        <v>0</v>
      </c>
      <c r="K52" s="227">
        <v>0</v>
      </c>
      <c r="L52" s="227">
        <f t="shared" si="2"/>
        <v>0</v>
      </c>
      <c r="M52" s="227">
        <f t="shared" si="2"/>
        <v>0</v>
      </c>
      <c r="N52" s="227">
        <v>0</v>
      </c>
      <c r="O52" s="227">
        <f t="shared" si="2"/>
        <v>0</v>
      </c>
      <c r="P52" s="227">
        <f>+P49+P48+P13</f>
        <v>290761320.5</v>
      </c>
    </row>
    <row r="54" spans="3:16" ht="10.5">
      <c r="C54" s="17"/>
      <c r="O54" s="140"/>
      <c r="P54" s="17">
        <f>+I52+H52+G52+F52+E52+D52</f>
        <v>290761320.5</v>
      </c>
    </row>
    <row r="56" ht="10.5">
      <c r="C56" s="17"/>
    </row>
    <row r="58" spans="3:5" ht="10.5">
      <c r="C58" s="17"/>
      <c r="E58" s="17"/>
    </row>
  </sheetData>
  <sheetProtection/>
  <mergeCells count="21">
    <mergeCell ref="A11:A12"/>
    <mergeCell ref="B11:B12"/>
    <mergeCell ref="C11:C12"/>
    <mergeCell ref="D11:O11"/>
    <mergeCell ref="A9:P9"/>
    <mergeCell ref="M6:P6"/>
    <mergeCell ref="P11:P12"/>
    <mergeCell ref="C1:M5"/>
    <mergeCell ref="H8:L8"/>
    <mergeCell ref="C7:G8"/>
    <mergeCell ref="M7:P7"/>
    <mergeCell ref="C6:G6"/>
    <mergeCell ref="A1:B8"/>
    <mergeCell ref="N1:P1"/>
    <mergeCell ref="N3:P3"/>
    <mergeCell ref="N2:P2"/>
    <mergeCell ref="N4:P4"/>
    <mergeCell ref="H6:L6"/>
    <mergeCell ref="M8:P8"/>
    <mergeCell ref="H7:L7"/>
    <mergeCell ref="N5:P5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16" sqref="M16"/>
    </sheetView>
  </sheetViews>
  <sheetFormatPr defaultColWidth="11.421875" defaultRowHeight="12.75"/>
  <cols>
    <col min="2" max="2" width="14.7109375" style="0" customWidth="1"/>
    <col min="3" max="3" width="12.57421875" style="0" customWidth="1"/>
    <col min="4" max="4" width="13.28125" style="0" customWidth="1"/>
    <col min="5" max="5" width="16.00390625" style="0" customWidth="1"/>
    <col min="6" max="6" width="7.7109375" style="0" customWidth="1"/>
    <col min="7" max="7" width="5.28125" style="0" customWidth="1"/>
    <col min="9" max="9" width="12.28125" style="0" customWidth="1"/>
  </cols>
  <sheetData>
    <row r="1" spans="1:10" ht="12.75" customHeight="1">
      <c r="A1" s="266"/>
      <c r="B1" s="267"/>
      <c r="C1" s="272" t="s">
        <v>172</v>
      </c>
      <c r="D1" s="272"/>
      <c r="E1" s="272"/>
      <c r="F1" s="272"/>
      <c r="G1" s="272"/>
      <c r="H1" s="272"/>
      <c r="I1" s="277" t="s">
        <v>161</v>
      </c>
      <c r="J1" s="278"/>
    </row>
    <row r="2" spans="1:10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162</v>
      </c>
      <c r="J2" s="275"/>
    </row>
    <row r="3" spans="1:10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163</v>
      </c>
      <c r="J3" s="275"/>
    </row>
    <row r="4" spans="1:10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ht="12.75">
      <c r="A5" s="268"/>
      <c r="B5" s="269"/>
      <c r="C5" s="273"/>
      <c r="D5" s="273"/>
      <c r="E5" s="273"/>
      <c r="F5" s="273"/>
      <c r="G5" s="273"/>
      <c r="H5" s="273"/>
      <c r="I5" s="279" t="s">
        <v>148</v>
      </c>
      <c r="J5" s="280"/>
    </row>
    <row r="6" spans="1:10" ht="13.5">
      <c r="A6" s="268"/>
      <c r="B6" s="269"/>
      <c r="C6" s="283" t="s">
        <v>164</v>
      </c>
      <c r="D6" s="283"/>
      <c r="E6" s="283" t="s">
        <v>165</v>
      </c>
      <c r="F6" s="283"/>
      <c r="G6" s="283"/>
      <c r="H6" s="283"/>
      <c r="I6" s="281" t="s">
        <v>166</v>
      </c>
      <c r="J6" s="282"/>
    </row>
    <row r="7" spans="1:15" ht="14.25" customHeight="1">
      <c r="A7" s="268"/>
      <c r="B7" s="269"/>
      <c r="C7" s="368" t="s">
        <v>167</v>
      </c>
      <c r="D7" s="368"/>
      <c r="E7" s="283" t="s">
        <v>168</v>
      </c>
      <c r="F7" s="283"/>
      <c r="G7" s="283"/>
      <c r="H7" s="283"/>
      <c r="I7" s="283" t="s">
        <v>170</v>
      </c>
      <c r="J7" s="284"/>
      <c r="K7" s="54"/>
      <c r="L7" s="54"/>
      <c r="M7" s="54"/>
      <c r="N7" s="54"/>
      <c r="O7" s="54"/>
    </row>
    <row r="8" spans="1:15" ht="13.5">
      <c r="A8" s="270"/>
      <c r="B8" s="271"/>
      <c r="C8" s="369"/>
      <c r="D8" s="369"/>
      <c r="E8" s="285" t="s">
        <v>169</v>
      </c>
      <c r="F8" s="285"/>
      <c r="G8" s="285"/>
      <c r="H8" s="285"/>
      <c r="I8" s="285" t="s">
        <v>171</v>
      </c>
      <c r="J8" s="293"/>
      <c r="K8" s="57"/>
      <c r="L8" s="57"/>
      <c r="M8" s="57"/>
      <c r="N8" s="57"/>
      <c r="O8" s="57"/>
    </row>
    <row r="9" spans="1:15" ht="12.75">
      <c r="A9" s="370" t="s">
        <v>117</v>
      </c>
      <c r="B9" s="370"/>
      <c r="C9" s="370"/>
      <c r="D9" s="370"/>
      <c r="E9" s="370"/>
      <c r="F9" s="370"/>
      <c r="G9" s="370"/>
      <c r="H9" s="54"/>
      <c r="I9" s="54"/>
      <c r="J9" s="54"/>
      <c r="K9" s="54"/>
      <c r="L9" s="54"/>
      <c r="M9" s="54"/>
      <c r="N9" s="54"/>
      <c r="O9" s="54"/>
    </row>
    <row r="12" spans="1:3" ht="15" customHeight="1">
      <c r="A12" s="20"/>
      <c r="B12" s="22" t="s">
        <v>26</v>
      </c>
      <c r="C12" s="21" t="s">
        <v>51</v>
      </c>
    </row>
    <row r="13" spans="1:3" ht="16.5" customHeight="1">
      <c r="A13" s="22">
        <v>1000</v>
      </c>
      <c r="B13" s="31" t="s">
        <v>136</v>
      </c>
      <c r="C13" s="236">
        <f>+'POA-02'!J22</f>
        <v>48560070.5</v>
      </c>
    </row>
    <row r="14" spans="1:3" ht="14.25" customHeight="1" hidden="1">
      <c r="A14" s="20">
        <v>1001</v>
      </c>
      <c r="B14" s="32" t="s">
        <v>65</v>
      </c>
      <c r="C14" s="25" t="e">
        <f>'POA-02'!#REF!</f>
        <v>#REF!</v>
      </c>
    </row>
    <row r="15" spans="1:3" ht="14.25" customHeight="1" hidden="1">
      <c r="A15" s="20">
        <v>1002</v>
      </c>
      <c r="B15" s="32" t="s">
        <v>66</v>
      </c>
      <c r="C15" s="25" t="e">
        <f>'POA-02'!#REF!</f>
        <v>#REF!</v>
      </c>
    </row>
    <row r="16" spans="1:3" ht="21" customHeight="1">
      <c r="A16" s="22">
        <v>2000</v>
      </c>
      <c r="B16" s="32" t="s">
        <v>137</v>
      </c>
      <c r="C16" s="237">
        <f>+'POA-06'!D16</f>
        <v>0</v>
      </c>
    </row>
    <row r="17" spans="1:3" ht="14.25" customHeight="1" hidden="1">
      <c r="A17" s="20">
        <v>2001</v>
      </c>
      <c r="B17" s="32" t="s">
        <v>68</v>
      </c>
      <c r="C17" s="26">
        <f>'POA-04'!H19</f>
        <v>0</v>
      </c>
    </row>
    <row r="18" spans="1:3" ht="14.25" customHeight="1" hidden="1">
      <c r="A18" s="20">
        <v>2002</v>
      </c>
      <c r="B18" s="32" t="s">
        <v>69</v>
      </c>
      <c r="C18" s="26">
        <f>'POA-03'!I21</f>
        <v>0</v>
      </c>
    </row>
    <row r="19" spans="1:3" ht="12.75" hidden="1">
      <c r="A19" s="20" t="s">
        <v>70</v>
      </c>
      <c r="B19" s="32" t="s">
        <v>71</v>
      </c>
      <c r="C19" s="26"/>
    </row>
    <row r="20" spans="1:3" ht="12.75" hidden="1">
      <c r="A20" s="20" t="s">
        <v>72</v>
      </c>
      <c r="B20" s="32" t="s">
        <v>73</v>
      </c>
      <c r="C20" s="26"/>
    </row>
    <row r="21" spans="1:3" ht="12.75" hidden="1">
      <c r="A21" s="20" t="s">
        <v>74</v>
      </c>
      <c r="B21" s="32" t="s">
        <v>75</v>
      </c>
      <c r="C21" s="26"/>
    </row>
    <row r="22" spans="1:3" ht="21.75" hidden="1">
      <c r="A22" s="20">
        <v>2003</v>
      </c>
      <c r="B22" s="33" t="s">
        <v>76</v>
      </c>
      <c r="C22" s="25">
        <f>'POA-06'!D17</f>
        <v>0</v>
      </c>
    </row>
    <row r="23" spans="1:3" ht="12.75" hidden="1">
      <c r="A23" s="20">
        <v>2004</v>
      </c>
      <c r="B23" s="32" t="s">
        <v>77</v>
      </c>
      <c r="C23" s="25">
        <f>'POA-06'!D18</f>
        <v>0</v>
      </c>
    </row>
    <row r="24" spans="1:3" ht="12.75" hidden="1">
      <c r="A24" s="20" t="s">
        <v>78</v>
      </c>
      <c r="B24" s="32" t="s">
        <v>79</v>
      </c>
      <c r="C24" s="26"/>
    </row>
    <row r="25" spans="1:3" ht="12.75" hidden="1">
      <c r="A25" s="20" t="s">
        <v>80</v>
      </c>
      <c r="B25" s="32" t="s">
        <v>81</v>
      </c>
      <c r="C25" s="26"/>
    </row>
    <row r="26" spans="1:3" ht="12.75" hidden="1">
      <c r="A26" s="20" t="s">
        <v>82</v>
      </c>
      <c r="B26" s="32" t="s">
        <v>83</v>
      </c>
      <c r="C26" s="26"/>
    </row>
    <row r="27" spans="1:3" ht="12.75" hidden="1">
      <c r="A27" s="20">
        <v>2005</v>
      </c>
      <c r="B27" s="32" t="s">
        <v>84</v>
      </c>
      <c r="C27" s="25">
        <v>0</v>
      </c>
    </row>
    <row r="28" spans="1:3" ht="12.75" hidden="1">
      <c r="A28" s="20" t="s">
        <v>85</v>
      </c>
      <c r="B28" s="32" t="s">
        <v>86</v>
      </c>
      <c r="C28" s="26"/>
    </row>
    <row r="29" spans="1:3" ht="12.75" hidden="1">
      <c r="A29" s="20" t="s">
        <v>87</v>
      </c>
      <c r="B29" s="32" t="s">
        <v>88</v>
      </c>
      <c r="C29" s="26"/>
    </row>
    <row r="30" spans="1:3" ht="12.75" hidden="1">
      <c r="A30" s="20">
        <v>2006</v>
      </c>
      <c r="B30" s="32" t="s">
        <v>89</v>
      </c>
      <c r="C30" s="25">
        <f>'POA-06'!D20</f>
        <v>0</v>
      </c>
    </row>
    <row r="31" spans="1:3" ht="12.75" hidden="1">
      <c r="A31" s="20" t="s">
        <v>90</v>
      </c>
      <c r="B31" s="32" t="s">
        <v>91</v>
      </c>
      <c r="C31" s="26"/>
    </row>
    <row r="32" spans="1:3" ht="21.75" hidden="1">
      <c r="A32" s="20" t="s">
        <v>92</v>
      </c>
      <c r="B32" s="33" t="s">
        <v>133</v>
      </c>
      <c r="C32" s="26"/>
    </row>
    <row r="33" spans="1:3" ht="12.75" hidden="1">
      <c r="A33" s="20" t="s">
        <v>93</v>
      </c>
      <c r="B33" s="32" t="s">
        <v>94</v>
      </c>
      <c r="C33" s="26"/>
    </row>
    <row r="34" spans="1:3" ht="21.75" hidden="1">
      <c r="A34" s="20">
        <v>2007</v>
      </c>
      <c r="B34" s="33" t="s">
        <v>95</v>
      </c>
      <c r="C34" s="25">
        <f>'POA-06'!D21</f>
        <v>0</v>
      </c>
    </row>
    <row r="35" spans="1:3" ht="21.75" hidden="1">
      <c r="A35" s="20">
        <v>2008</v>
      </c>
      <c r="B35" s="33" t="s">
        <v>96</v>
      </c>
      <c r="C35" s="25">
        <f>'POA-06'!D19</f>
        <v>0</v>
      </c>
    </row>
    <row r="36" spans="1:3" ht="12.75" hidden="1">
      <c r="A36" s="20">
        <v>2009</v>
      </c>
      <c r="B36" s="32" t="s">
        <v>97</v>
      </c>
      <c r="C36" s="25">
        <v>0</v>
      </c>
    </row>
    <row r="37" spans="1:3" ht="21.75" hidden="1">
      <c r="A37" s="20">
        <v>2010</v>
      </c>
      <c r="B37" s="33" t="s">
        <v>98</v>
      </c>
      <c r="C37" s="25">
        <v>0</v>
      </c>
    </row>
    <row r="38" spans="1:3" ht="12.75" hidden="1">
      <c r="A38" s="20">
        <v>2011</v>
      </c>
      <c r="B38" s="32" t="s">
        <v>99</v>
      </c>
      <c r="C38" s="25">
        <f>'POA-06'!D25</f>
        <v>0</v>
      </c>
    </row>
    <row r="39" spans="1:3" ht="21.75" hidden="1">
      <c r="A39" s="20">
        <v>2012</v>
      </c>
      <c r="B39" s="33" t="s">
        <v>100</v>
      </c>
      <c r="C39" s="25">
        <f>'POA-06'!D26</f>
        <v>0</v>
      </c>
    </row>
    <row r="40" spans="1:3" ht="12.75" hidden="1">
      <c r="A40" s="20">
        <v>2013</v>
      </c>
      <c r="B40" s="32" t="s">
        <v>101</v>
      </c>
      <c r="C40" s="25">
        <f>'POA-06'!D24</f>
        <v>0</v>
      </c>
    </row>
    <row r="41" spans="1:3" ht="12.75" hidden="1">
      <c r="A41" s="20">
        <v>2014</v>
      </c>
      <c r="B41" s="32" t="s">
        <v>102</v>
      </c>
      <c r="C41" s="25">
        <v>0</v>
      </c>
    </row>
    <row r="42" spans="1:3" ht="12.75" hidden="1">
      <c r="A42" s="20">
        <v>2015</v>
      </c>
      <c r="B42" s="32" t="s">
        <v>103</v>
      </c>
      <c r="C42" s="25">
        <f>'POA-06'!D29</f>
        <v>0</v>
      </c>
    </row>
    <row r="43" spans="1:3" ht="12.75" hidden="1">
      <c r="A43" s="20" t="s">
        <v>104</v>
      </c>
      <c r="B43" s="32" t="s">
        <v>105</v>
      </c>
      <c r="C43" s="26"/>
    </row>
    <row r="44" spans="1:3" ht="12" customHeight="1">
      <c r="A44" s="22">
        <v>3000</v>
      </c>
      <c r="B44" s="32" t="s">
        <v>111</v>
      </c>
      <c r="C44" s="234">
        <f>+'POA-05'!C27</f>
        <v>70862263</v>
      </c>
    </row>
    <row r="45" spans="1:3" ht="16.5" customHeight="1">
      <c r="A45" s="22">
        <v>4000</v>
      </c>
      <c r="B45" s="32" t="s">
        <v>207</v>
      </c>
      <c r="C45" s="235">
        <f>+'POA-05'!C22</f>
        <v>171338987</v>
      </c>
    </row>
    <row r="46" spans="1:3" ht="15" customHeight="1">
      <c r="A46" s="22"/>
      <c r="B46" s="20" t="s">
        <v>29</v>
      </c>
      <c r="C46" s="23">
        <f>+C13+C16+C44+C45</f>
        <v>290761320.5</v>
      </c>
    </row>
    <row r="47" spans="1:3" ht="12.75" hidden="1">
      <c r="A47" s="22">
        <v>7000</v>
      </c>
      <c r="B47" s="20" t="s">
        <v>114</v>
      </c>
      <c r="C47" s="23">
        <v>0</v>
      </c>
    </row>
    <row r="48" spans="1:3" ht="12.75" hidden="1">
      <c r="A48" s="22"/>
      <c r="B48" s="22" t="s">
        <v>29</v>
      </c>
      <c r="C48" s="23" t="e">
        <f>+C13+C16+C44+#REF!+C45+C46+C47</f>
        <v>#REF!</v>
      </c>
    </row>
  </sheetData>
  <sheetProtection/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27">
      <selection activeCell="M48" sqref="M48:M49"/>
    </sheetView>
  </sheetViews>
  <sheetFormatPr defaultColWidth="11.421875" defaultRowHeight="12.75"/>
  <cols>
    <col min="1" max="1" width="13.140625" style="0" customWidth="1"/>
    <col min="2" max="2" width="23.28125" style="0" customWidth="1"/>
    <col min="3" max="3" width="13.57421875" style="0" customWidth="1"/>
    <col min="4" max="4" width="15.00390625" style="0" customWidth="1"/>
    <col min="5" max="5" width="13.57421875" style="0" customWidth="1"/>
    <col min="6" max="6" width="15.57421875" style="0" customWidth="1"/>
    <col min="7" max="12" width="14.8515625" style="0" customWidth="1"/>
    <col min="13" max="13" width="16.00390625" style="0" customWidth="1"/>
  </cols>
  <sheetData>
    <row r="1" spans="1:13" ht="12.75" customHeight="1">
      <c r="A1" s="266"/>
      <c r="B1" s="267"/>
      <c r="C1" s="272" t="s">
        <v>172</v>
      </c>
      <c r="D1" s="272"/>
      <c r="E1" s="272"/>
      <c r="F1" s="272"/>
      <c r="G1" s="272"/>
      <c r="H1" s="177"/>
      <c r="I1" s="177"/>
      <c r="J1" s="177"/>
      <c r="K1" s="177"/>
      <c r="L1" s="177"/>
      <c r="M1" s="180"/>
    </row>
    <row r="2" spans="1:13" ht="12.75" customHeight="1">
      <c r="A2" s="268"/>
      <c r="B2" s="269"/>
      <c r="C2" s="273"/>
      <c r="D2" s="273"/>
      <c r="E2" s="273"/>
      <c r="F2" s="273"/>
      <c r="G2" s="273"/>
      <c r="H2" s="178"/>
      <c r="I2" s="178"/>
      <c r="J2" s="178"/>
      <c r="K2" s="178"/>
      <c r="L2" s="178"/>
      <c r="M2" s="179"/>
    </row>
    <row r="3" spans="1:13" ht="12.75" customHeight="1">
      <c r="A3" s="268"/>
      <c r="B3" s="269"/>
      <c r="C3" s="273"/>
      <c r="D3" s="273"/>
      <c r="E3" s="273"/>
      <c r="F3" s="273"/>
      <c r="G3" s="273"/>
      <c r="H3" s="178"/>
      <c r="I3" s="178"/>
      <c r="J3" s="178"/>
      <c r="K3" s="178"/>
      <c r="L3" s="178"/>
      <c r="M3" s="179"/>
    </row>
    <row r="4" spans="1:13" ht="12.75" customHeight="1">
      <c r="A4" s="268"/>
      <c r="B4" s="269"/>
      <c r="C4" s="273"/>
      <c r="D4" s="273"/>
      <c r="E4" s="273"/>
      <c r="F4" s="273"/>
      <c r="G4" s="273"/>
      <c r="H4" s="178"/>
      <c r="I4" s="178"/>
      <c r="J4" s="178"/>
      <c r="K4" s="178"/>
      <c r="L4" s="178"/>
      <c r="M4" s="179"/>
    </row>
    <row r="5" spans="1:13" ht="12.75" customHeight="1">
      <c r="A5" s="268"/>
      <c r="B5" s="269"/>
      <c r="C5" s="273"/>
      <c r="D5" s="273"/>
      <c r="E5" s="273"/>
      <c r="F5" s="273"/>
      <c r="G5" s="273"/>
      <c r="H5" s="178"/>
      <c r="I5" s="178"/>
      <c r="J5" s="178"/>
      <c r="K5" s="178"/>
      <c r="L5" s="178"/>
      <c r="M5" s="181"/>
    </row>
    <row r="6" spans="1:13" ht="13.5" customHeight="1">
      <c r="A6" s="268"/>
      <c r="B6" s="269"/>
      <c r="C6" s="281" t="s">
        <v>164</v>
      </c>
      <c r="D6" s="281"/>
      <c r="E6" s="281" t="s">
        <v>165</v>
      </c>
      <c r="F6" s="281"/>
      <c r="G6" s="281"/>
      <c r="H6" s="182"/>
      <c r="I6" s="182"/>
      <c r="J6" s="182"/>
      <c r="K6" s="182"/>
      <c r="L6" s="182"/>
      <c r="M6" s="183"/>
    </row>
    <row r="7" spans="1:13" ht="13.5" customHeight="1">
      <c r="A7" s="268"/>
      <c r="B7" s="269"/>
      <c r="C7" s="375" t="s">
        <v>167</v>
      </c>
      <c r="D7" s="375"/>
      <c r="E7" s="281" t="s">
        <v>168</v>
      </c>
      <c r="F7" s="281"/>
      <c r="G7" s="281"/>
      <c r="H7" s="182"/>
      <c r="I7" s="182"/>
      <c r="J7" s="182"/>
      <c r="K7" s="182"/>
      <c r="L7" s="182"/>
      <c r="M7" s="183"/>
    </row>
    <row r="8" spans="1:13" ht="12.75">
      <c r="A8" s="270"/>
      <c r="B8" s="271"/>
      <c r="C8" s="376"/>
      <c r="D8" s="376"/>
      <c r="E8" s="303" t="s">
        <v>169</v>
      </c>
      <c r="F8" s="303"/>
      <c r="G8" s="303"/>
      <c r="H8" s="184"/>
      <c r="I8" s="184"/>
      <c r="J8" s="184"/>
      <c r="K8" s="184"/>
      <c r="L8" s="184"/>
      <c r="M8" s="185"/>
    </row>
    <row r="9" spans="1:13" ht="12.75">
      <c r="A9" s="381" t="s">
        <v>117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</row>
    <row r="10" spans="1:13" ht="13.5" thickBo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3.5" thickBot="1">
      <c r="A11" s="377"/>
      <c r="B11" s="379" t="s">
        <v>26</v>
      </c>
      <c r="C11" s="371" t="s">
        <v>140</v>
      </c>
      <c r="D11" s="372"/>
      <c r="E11" s="372"/>
      <c r="F11" s="372"/>
      <c r="G11" s="372"/>
      <c r="H11" s="372"/>
      <c r="I11" s="372"/>
      <c r="J11" s="372"/>
      <c r="K11" s="373"/>
      <c r="L11" s="373"/>
      <c r="M11" s="374"/>
    </row>
    <row r="12" spans="1:13" ht="13.5" thickBot="1">
      <c r="A12" s="378"/>
      <c r="B12" s="380"/>
      <c r="C12" s="232" t="s">
        <v>141</v>
      </c>
      <c r="D12" s="232" t="s">
        <v>142</v>
      </c>
      <c r="E12" s="232" t="s">
        <v>143</v>
      </c>
      <c r="F12" s="232" t="s">
        <v>144</v>
      </c>
      <c r="G12" s="232" t="s">
        <v>145</v>
      </c>
      <c r="H12" s="186" t="s">
        <v>146</v>
      </c>
      <c r="I12" s="186" t="s">
        <v>205</v>
      </c>
      <c r="J12" s="186" t="s">
        <v>206</v>
      </c>
      <c r="K12" s="264" t="s">
        <v>241</v>
      </c>
      <c r="L12" s="264" t="s">
        <v>242</v>
      </c>
      <c r="M12" s="263" t="s">
        <v>29</v>
      </c>
    </row>
    <row r="13" spans="1:13" ht="12.75">
      <c r="A13" s="28">
        <v>1000</v>
      </c>
      <c r="B13" s="29" t="s">
        <v>64</v>
      </c>
      <c r="C13" s="30">
        <f>+C14+C15</f>
        <v>4856007.05</v>
      </c>
      <c r="D13" s="30">
        <f>+D14+D15</f>
        <v>4856007.05</v>
      </c>
      <c r="E13" s="30">
        <f>+E14+E15</f>
        <v>4856007.05</v>
      </c>
      <c r="F13" s="30">
        <f>+F14+F15</f>
        <v>8635882.05</v>
      </c>
      <c r="G13" s="30">
        <f>+G14+G15</f>
        <v>1076132.0499999998</v>
      </c>
      <c r="H13" s="30">
        <f>+H14+H15</f>
        <v>4856007.05</v>
      </c>
      <c r="I13" s="30">
        <f>+I14+I15</f>
        <v>3057895.05</v>
      </c>
      <c r="J13" s="30">
        <f>+J14+J15</f>
        <v>6076132.05</v>
      </c>
      <c r="K13" s="30">
        <f>+K14+K15</f>
        <v>5433994.05</v>
      </c>
      <c r="L13" s="30">
        <f>+L14+L15</f>
        <v>4856007.05</v>
      </c>
      <c r="M13" s="30">
        <v>48560070.5</v>
      </c>
    </row>
    <row r="14" spans="1:13" ht="12.75">
      <c r="A14" s="20">
        <v>1001</v>
      </c>
      <c r="B14" s="20" t="s">
        <v>65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f>SUM(C14:L14)</f>
        <v>0</v>
      </c>
    </row>
    <row r="15" spans="1:13" ht="12.75">
      <c r="A15" s="20">
        <v>1002</v>
      </c>
      <c r="B15" s="20" t="s">
        <v>66</v>
      </c>
      <c r="C15" s="26">
        <f>+M15/10</f>
        <v>4856007.05</v>
      </c>
      <c r="D15" s="26">
        <f>+M15/10</f>
        <v>4856007.05</v>
      </c>
      <c r="E15" s="26">
        <f>+M15/10</f>
        <v>4856007.05</v>
      </c>
      <c r="F15" s="26">
        <f>+M15/10+3779875</f>
        <v>8635882.05</v>
      </c>
      <c r="G15" s="26">
        <f>+M15/10-3779875</f>
        <v>1076132.0499999998</v>
      </c>
      <c r="H15" s="26">
        <f>+M15/10</f>
        <v>4856007.05</v>
      </c>
      <c r="I15" s="26">
        <f>+M15/10-1220125-577987</f>
        <v>3057895.05</v>
      </c>
      <c r="J15" s="26">
        <f>+M15/10+1220125</f>
        <v>6076132.05</v>
      </c>
      <c r="K15" s="26">
        <f>+M15/10+577987</f>
        <v>5433994.05</v>
      </c>
      <c r="L15" s="26">
        <f>+M15/10</f>
        <v>4856007.05</v>
      </c>
      <c r="M15" s="26">
        <v>48560070.5</v>
      </c>
    </row>
    <row r="16" spans="1:13" ht="12.75">
      <c r="A16" s="22">
        <v>2000</v>
      </c>
      <c r="B16" s="20" t="s">
        <v>67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>
        <f>SUM(C16:J16)</f>
        <v>0</v>
      </c>
    </row>
    <row r="17" spans="1:13" ht="12.75">
      <c r="A17" s="20">
        <v>2001</v>
      </c>
      <c r="B17" s="20" t="s">
        <v>68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4"/>
    </row>
    <row r="18" spans="1:15" ht="12.75">
      <c r="A18" s="20">
        <v>2002</v>
      </c>
      <c r="B18" s="20" t="s">
        <v>139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SUM(C18:J18)</f>
        <v>0</v>
      </c>
      <c r="O18" s="233">
        <f>+M18-10534000</f>
        <v>-10534000</v>
      </c>
    </row>
    <row r="19" spans="1:15" ht="12.75">
      <c r="A19" s="20" t="s">
        <v>70</v>
      </c>
      <c r="B19" s="20" t="s">
        <v>71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4"/>
      <c r="O19" s="233">
        <f>+C18-O18</f>
        <v>10534000</v>
      </c>
    </row>
    <row r="20" spans="1:13" ht="12.75">
      <c r="A20" s="20" t="s">
        <v>72</v>
      </c>
      <c r="B20" s="20" t="s">
        <v>73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4"/>
    </row>
    <row r="21" spans="1:15" ht="12.75">
      <c r="A21" s="20" t="s">
        <v>74</v>
      </c>
      <c r="B21" s="20" t="s">
        <v>75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4"/>
      <c r="O21" s="233"/>
    </row>
    <row r="22" spans="1:13" ht="12.75">
      <c r="A22" s="20">
        <v>2003</v>
      </c>
      <c r="B22" s="27" t="s">
        <v>76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4"/>
    </row>
    <row r="23" spans="1:13" ht="12.75">
      <c r="A23" s="20">
        <v>2004</v>
      </c>
      <c r="B23" s="20" t="s">
        <v>77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4"/>
    </row>
    <row r="24" spans="1:13" ht="12.75">
      <c r="A24" s="20" t="s">
        <v>78</v>
      </c>
      <c r="B24" s="20" t="s">
        <v>79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4"/>
    </row>
    <row r="25" spans="1:15" ht="12.75">
      <c r="A25" s="20" t="s">
        <v>80</v>
      </c>
      <c r="B25" s="20" t="s">
        <v>81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4"/>
      <c r="O25" s="233"/>
    </row>
    <row r="26" spans="1:13" ht="12.75">
      <c r="A26" s="20" t="s">
        <v>82</v>
      </c>
      <c r="B26" s="20" t="s">
        <v>83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4"/>
    </row>
    <row r="27" spans="1:15" ht="12.75">
      <c r="A27" s="20">
        <v>2005</v>
      </c>
      <c r="B27" s="20" t="s">
        <v>84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4"/>
      <c r="O27" s="233"/>
    </row>
    <row r="28" spans="1:13" ht="12.75">
      <c r="A28" s="20" t="s">
        <v>85</v>
      </c>
      <c r="B28" s="20" t="s">
        <v>86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4"/>
    </row>
    <row r="29" spans="1:13" ht="12.75">
      <c r="A29" s="20" t="s">
        <v>87</v>
      </c>
      <c r="B29" s="20" t="s">
        <v>88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4"/>
    </row>
    <row r="30" spans="1:13" ht="12.75">
      <c r="A30" s="20">
        <v>2006</v>
      </c>
      <c r="B30" s="20" t="s">
        <v>89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f>SUM(C30:J30)</f>
        <v>0</v>
      </c>
    </row>
    <row r="31" spans="1:13" ht="12.75">
      <c r="A31" s="20" t="s">
        <v>90</v>
      </c>
      <c r="B31" s="20" t="s">
        <v>91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4"/>
    </row>
    <row r="32" spans="1:15" ht="21.75">
      <c r="A32" s="20" t="s">
        <v>92</v>
      </c>
      <c r="B32" s="27" t="s">
        <v>133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4"/>
      <c r="O32" s="233"/>
    </row>
    <row r="33" spans="1:15" ht="12.75">
      <c r="A33" s="20" t="s">
        <v>93</v>
      </c>
      <c r="B33" s="20" t="s">
        <v>94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4"/>
      <c r="O33" s="233"/>
    </row>
    <row r="34" spans="1:13" ht="12.75">
      <c r="A34" s="20">
        <v>2007</v>
      </c>
      <c r="B34" s="27" t="s">
        <v>138</v>
      </c>
      <c r="C34" s="26"/>
      <c r="D34" s="44"/>
      <c r="E34" s="26"/>
      <c r="F34" s="26"/>
      <c r="G34" s="26"/>
      <c r="H34" s="26"/>
      <c r="I34" s="26"/>
      <c r="J34" s="26"/>
      <c r="K34" s="26"/>
      <c r="L34" s="26"/>
      <c r="M34" s="24"/>
    </row>
    <row r="35" spans="1:15" ht="21.75">
      <c r="A35" s="20">
        <v>2008</v>
      </c>
      <c r="B35" s="27" t="s">
        <v>96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4"/>
      <c r="O35" s="233"/>
    </row>
    <row r="36" spans="1:13" ht="12.75">
      <c r="A36" s="20">
        <v>2009</v>
      </c>
      <c r="B36" s="20" t="s">
        <v>97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4"/>
    </row>
    <row r="37" spans="1:13" ht="12.75">
      <c r="A37" s="20">
        <v>2010</v>
      </c>
      <c r="B37" s="27" t="s">
        <v>98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4"/>
    </row>
    <row r="38" spans="1:13" ht="12.75">
      <c r="A38" s="20">
        <v>2011</v>
      </c>
      <c r="B38" s="20" t="s">
        <v>99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f>SUM(C38:J38)</f>
        <v>0</v>
      </c>
    </row>
    <row r="39" spans="1:13" ht="12.75">
      <c r="A39" s="20">
        <v>2012</v>
      </c>
      <c r="B39" s="27" t="s">
        <v>100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4"/>
    </row>
    <row r="40" spans="1:13" ht="12.75">
      <c r="A40" s="20">
        <v>2013</v>
      </c>
      <c r="B40" s="20" t="s">
        <v>101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4"/>
    </row>
    <row r="41" spans="1:13" ht="12.75">
      <c r="A41" s="20">
        <v>2014</v>
      </c>
      <c r="B41" s="20" t="s">
        <v>102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4"/>
    </row>
    <row r="42" spans="1:13" ht="12.75">
      <c r="A42" s="20">
        <v>2015</v>
      </c>
      <c r="B42" s="20" t="s">
        <v>103</v>
      </c>
      <c r="C42" s="3"/>
      <c r="D42" s="26"/>
      <c r="E42" s="26"/>
      <c r="F42" s="43"/>
      <c r="G42" s="26"/>
      <c r="H42" s="26"/>
      <c r="I42" s="26"/>
      <c r="J42" s="26"/>
      <c r="K42" s="26"/>
      <c r="L42" s="26"/>
      <c r="M42" s="26">
        <f>SUM(C42:J42)</f>
        <v>0</v>
      </c>
    </row>
    <row r="43" spans="1:13" ht="12.75">
      <c r="A43" s="20" t="s">
        <v>104</v>
      </c>
      <c r="B43" s="20" t="s">
        <v>105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4"/>
    </row>
    <row r="44" spans="1:13" ht="12.75">
      <c r="A44" s="20" t="s">
        <v>106</v>
      </c>
      <c r="B44" s="20" t="s">
        <v>107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4"/>
    </row>
    <row r="45" spans="1:13" ht="12.75">
      <c r="A45" s="20">
        <v>2016</v>
      </c>
      <c r="B45" s="20" t="s">
        <v>108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4"/>
    </row>
    <row r="46" spans="1:13" ht="12.75">
      <c r="A46" s="20">
        <v>2017</v>
      </c>
      <c r="B46" s="20" t="s">
        <v>109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4"/>
    </row>
    <row r="47" spans="1:13" ht="12.75">
      <c r="A47" s="22">
        <v>3000</v>
      </c>
      <c r="B47" s="20" t="s">
        <v>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22">
        <v>4000</v>
      </c>
      <c r="B48" s="20" t="s">
        <v>111</v>
      </c>
      <c r="C48" s="14">
        <f>18000000+6220125</f>
        <v>24220125</v>
      </c>
      <c r="D48" s="56">
        <f>19000000+5220125</f>
        <v>24220125</v>
      </c>
      <c r="E48" s="26">
        <f>18706288+5513837</f>
        <v>24220125</v>
      </c>
      <c r="F48" s="26">
        <v>20440250</v>
      </c>
      <c r="G48" s="26">
        <v>28000000</v>
      </c>
      <c r="H48" s="26">
        <f>20000000+4220125</f>
        <v>24220125</v>
      </c>
      <c r="I48" s="26">
        <v>26018237</v>
      </c>
      <c r="J48" s="26"/>
      <c r="K48" s="26"/>
      <c r="L48" s="26"/>
      <c r="M48" s="24">
        <f>SUM(C48:L48)</f>
        <v>171338987</v>
      </c>
    </row>
    <row r="49" spans="1:13" ht="12.75">
      <c r="A49" s="22">
        <v>5000</v>
      </c>
      <c r="B49" s="20" t="s">
        <v>112</v>
      </c>
      <c r="C49" s="26"/>
      <c r="D49" s="26"/>
      <c r="E49" s="24"/>
      <c r="F49" s="24"/>
      <c r="G49" s="24"/>
      <c r="H49" s="24"/>
      <c r="I49" s="24"/>
      <c r="J49" s="26">
        <v>23000000</v>
      </c>
      <c r="K49" s="26">
        <f>23018238+623900</f>
        <v>23642138</v>
      </c>
      <c r="L49" s="26">
        <f>46018237-21798112</f>
        <v>24220125</v>
      </c>
      <c r="M49" s="24">
        <f>SUM(C49:L49)</f>
        <v>70862263</v>
      </c>
    </row>
    <row r="50" spans="1:13" ht="12.75">
      <c r="A50" s="22">
        <v>6000</v>
      </c>
      <c r="B50" s="20" t="s">
        <v>113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.75">
      <c r="A51" s="22">
        <v>7000</v>
      </c>
      <c r="B51" s="20" t="s">
        <v>114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34"/>
      <c r="B52" s="34" t="s">
        <v>29</v>
      </c>
      <c r="C52" s="23">
        <f>SUM(C15:C51)</f>
        <v>29076132.05</v>
      </c>
      <c r="D52" s="23">
        <f>SUM(D15:D51)</f>
        <v>29076132.05</v>
      </c>
      <c r="E52" s="23">
        <f>SUM(E15:E51)</f>
        <v>29076132.05</v>
      </c>
      <c r="F52" s="23">
        <f>SUM(F15:F51)</f>
        <v>29076132.05</v>
      </c>
      <c r="G52" s="23">
        <f>SUM(G15:G51)</f>
        <v>29076132.05</v>
      </c>
      <c r="H52" s="23">
        <f>SUM(H15:H51)</f>
        <v>29076132.05</v>
      </c>
      <c r="I52" s="23">
        <f>SUM(I15:I51)</f>
        <v>29076132.05</v>
      </c>
      <c r="J52" s="23">
        <f>SUM(J15:J51)</f>
        <v>29076132.05</v>
      </c>
      <c r="K52" s="23">
        <f>SUM(K15:K51)</f>
        <v>29076132.05</v>
      </c>
      <c r="L52" s="23">
        <f>SUM(L15:L51)</f>
        <v>29076132.05</v>
      </c>
      <c r="M52" s="23">
        <f>+M49+M48+M13</f>
        <v>290761320.5</v>
      </c>
    </row>
    <row r="53" spans="1:13" ht="12.75">
      <c r="A53" s="15"/>
      <c r="B53" s="15"/>
      <c r="C53" s="15">
        <v>9</v>
      </c>
      <c r="D53" s="15">
        <v>7</v>
      </c>
      <c r="E53" s="15">
        <v>8</v>
      </c>
      <c r="F53" s="15">
        <v>9</v>
      </c>
      <c r="G53" s="15">
        <v>10</v>
      </c>
      <c r="H53" s="15">
        <v>10</v>
      </c>
      <c r="I53" s="15">
        <v>10</v>
      </c>
      <c r="J53" s="15">
        <v>9</v>
      </c>
      <c r="K53" s="15">
        <v>9</v>
      </c>
      <c r="L53" s="15">
        <v>10</v>
      </c>
      <c r="M53" s="17">
        <f>+C52+D52+E52+F52+G52+H52+I52+J52+K52+L52</f>
        <v>290761320.50000006</v>
      </c>
    </row>
    <row r="54" spans="1:13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12.75">
      <c r="B55">
        <v>10350250</v>
      </c>
    </row>
    <row r="56" spans="1:13" ht="12.75">
      <c r="A56" s="233">
        <v>55895467</v>
      </c>
      <c r="B56" s="233">
        <v>29076132.1</v>
      </c>
      <c r="C56" s="233">
        <f>+B56-C52</f>
        <v>0.05000000074505806</v>
      </c>
      <c r="M56" s="233">
        <f>+M48+M49</f>
        <v>242201250</v>
      </c>
    </row>
    <row r="57" spans="1:4" ht="12.75">
      <c r="A57" s="233">
        <v>52500000</v>
      </c>
      <c r="B57" s="233">
        <v>29076132.1</v>
      </c>
      <c r="D57" s="233">
        <f>+B57-D52</f>
        <v>0.05000000074505806</v>
      </c>
    </row>
    <row r="58" spans="1:13" ht="12.75">
      <c r="A58" s="233"/>
      <c r="B58" s="233">
        <v>29076132.1</v>
      </c>
      <c r="E58" s="233">
        <f>+B58-E52</f>
        <v>0.05000000074505806</v>
      </c>
      <c r="M58" s="233">
        <f>+M48-'POA-05'!C22</f>
        <v>0</v>
      </c>
    </row>
    <row r="59" spans="1:6" ht="12.75">
      <c r="A59" s="233">
        <v>108395467</v>
      </c>
      <c r="B59" s="233">
        <v>29076132.1</v>
      </c>
      <c r="F59" s="233">
        <f>+B59-F52</f>
        <v>0.05000000074505806</v>
      </c>
    </row>
    <row r="60" spans="2:7" ht="12.75">
      <c r="B60" s="233">
        <v>29076132.1</v>
      </c>
      <c r="G60" s="233">
        <f>+B60-G52</f>
        <v>0.05000000074505806</v>
      </c>
    </row>
    <row r="61" spans="2:8" ht="12.75">
      <c r="B61" s="233">
        <v>29076132.1</v>
      </c>
      <c r="H61" s="233">
        <f>+B61-H52</f>
        <v>0.05000000074505806</v>
      </c>
    </row>
    <row r="62" spans="2:9" ht="12.75">
      <c r="B62" s="233">
        <v>29076132.1</v>
      </c>
      <c r="I62" s="233">
        <f>+B62-I52</f>
        <v>0.05000000074505806</v>
      </c>
    </row>
    <row r="63" spans="2:12" ht="12.75">
      <c r="B63" s="233">
        <v>29076132.1</v>
      </c>
      <c r="J63" s="233">
        <f>+B63-J52</f>
        <v>0.05000000074505806</v>
      </c>
      <c r="K63" s="233"/>
      <c r="L63" s="233"/>
    </row>
    <row r="64" spans="2:11" ht="12.75">
      <c r="B64" s="233">
        <v>29076132.1</v>
      </c>
      <c r="D64" s="233"/>
      <c r="K64" s="233">
        <f>+B64-K52</f>
        <v>0.05000000074505806</v>
      </c>
    </row>
    <row r="65" spans="2:12" ht="12.75">
      <c r="B65" s="233">
        <v>29076132.1</v>
      </c>
      <c r="I65" s="233"/>
      <c r="L65" s="233">
        <f>+B65-L52</f>
        <v>0.05000000074505806</v>
      </c>
    </row>
    <row r="66" ht="12.75">
      <c r="B66" s="233">
        <v>290761321</v>
      </c>
    </row>
    <row r="67" spans="2:4" ht="12.75">
      <c r="B67" s="233"/>
      <c r="C67" s="233"/>
      <c r="D67" s="233"/>
    </row>
    <row r="70" ht="12.75">
      <c r="F70" s="233">
        <f>+C56+D57+E58+H61+K64</f>
        <v>0.2500000037252903</v>
      </c>
    </row>
  </sheetData>
  <sheetProtection/>
  <mergeCells count="11">
    <mergeCell ref="A11:A12"/>
    <mergeCell ref="B11:B12"/>
    <mergeCell ref="A9:M9"/>
    <mergeCell ref="C6:D6"/>
    <mergeCell ref="A1:B8"/>
    <mergeCell ref="C11:M11"/>
    <mergeCell ref="C7:D8"/>
    <mergeCell ref="C1:G5"/>
    <mergeCell ref="E6:G6"/>
    <mergeCell ref="E7:G7"/>
    <mergeCell ref="E8:G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JORGE</cp:lastModifiedBy>
  <cp:lastPrinted>2011-11-08T21:27:17Z</cp:lastPrinted>
  <dcterms:created xsi:type="dcterms:W3CDTF">2004-12-29T19:49:42Z</dcterms:created>
  <dcterms:modified xsi:type="dcterms:W3CDTF">2013-05-09T04:49:16Z</dcterms:modified>
  <cp:category/>
  <cp:version/>
  <cp:contentType/>
  <cp:contentStatus/>
</cp:coreProperties>
</file>