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435" windowHeight="4170" tabRatio="771"/>
  </bookViews>
  <sheets>
    <sheet name="Anexo 5-1 Ingresos" sheetId="12" r:id="rId1"/>
    <sheet name="Anexo 5-2 Gastos" sheetId="13" r:id="rId2"/>
    <sheet name="Interpretacion de Resultados" sheetId="15" state="hidden" r:id="rId3"/>
    <sheet name="Hoja1" sheetId="16" r:id="rId4"/>
    <sheet name="Hoja2" sheetId="17" r:id="rId5"/>
  </sheets>
  <definedNames>
    <definedName name="_xlnm.Print_Area" localSheetId="0">'Anexo 5-1 Ingresos'!$A$1:$D$62</definedName>
    <definedName name="_xlnm.Print_Area" localSheetId="1">'Anexo 5-2 Gastos'!$A$1:$G$50</definedName>
    <definedName name="_xlnm.Print_Titles" localSheetId="0">'Anexo 5-1 Ingresos'!$1:$6</definedName>
    <definedName name="_xlnm.Print_Titles" localSheetId="1">'Anexo 5-2 Gastos'!$1:$6</definedName>
  </definedNames>
  <calcPr calcId="145621"/>
</workbook>
</file>

<file path=xl/calcChain.xml><?xml version="1.0" encoding="utf-8"?>
<calcChain xmlns="http://schemas.openxmlformats.org/spreadsheetml/2006/main">
  <c r="B20" i="13" l="1"/>
  <c r="B10" i="13"/>
  <c r="D56" i="12"/>
  <c r="D21" i="17" s="1"/>
  <c r="C56" i="12"/>
  <c r="B21" i="17" s="1"/>
  <c r="B45" i="13" l="1"/>
  <c r="B40" i="13"/>
  <c r="B39" i="13"/>
  <c r="B38" i="13"/>
  <c r="A2" i="16" l="1"/>
  <c r="A1" i="16"/>
  <c r="B37" i="13" l="1"/>
  <c r="B8" i="13" l="1"/>
  <c r="C47" i="12" l="1"/>
  <c r="D45" i="12"/>
  <c r="D33" i="12" l="1"/>
  <c r="C51" i="12"/>
  <c r="D31" i="12"/>
  <c r="C31" i="12"/>
  <c r="C33" i="12"/>
  <c r="C45" i="12" l="1"/>
  <c r="E32" i="12"/>
  <c r="E29" i="12"/>
  <c r="C12" i="13" l="1"/>
  <c r="B12" i="13"/>
  <c r="C19" i="13"/>
  <c r="C18" i="13" s="1"/>
  <c r="B19" i="13"/>
  <c r="B18" i="13" s="1"/>
  <c r="C41" i="13"/>
  <c r="E8" i="13"/>
  <c r="E23" i="13" s="1"/>
  <c r="D23" i="12"/>
  <c r="C23" i="12"/>
  <c r="C8" i="13" l="1"/>
  <c r="D8" i="13"/>
  <c r="D13" i="12"/>
  <c r="C13" i="12"/>
  <c r="D8" i="12"/>
  <c r="C8" i="12"/>
  <c r="B18" i="17" s="1"/>
  <c r="D19" i="12"/>
  <c r="D12" i="12" s="1"/>
  <c r="K49" i="12"/>
  <c r="C19" i="12"/>
  <c r="C12" i="12" s="1"/>
  <c r="I49" i="12"/>
  <c r="E18" i="12" l="1"/>
  <c r="B19" i="17"/>
  <c r="B17" i="17" s="1"/>
  <c r="F24" i="12"/>
  <c r="D19" i="17"/>
  <c r="K46" i="12"/>
  <c r="D18" i="17"/>
  <c r="D17" i="17" s="1"/>
  <c r="E7" i="15"/>
  <c r="C26" i="13"/>
  <c r="B30" i="13"/>
  <c r="B26" i="13"/>
  <c r="B41" i="13"/>
  <c r="C37" i="13"/>
  <c r="C33" i="13"/>
  <c r="B33" i="13"/>
  <c r="E26" i="12" l="1"/>
  <c r="E24" i="12"/>
  <c r="B44" i="13"/>
  <c r="D41" i="12"/>
  <c r="G14" i="13"/>
  <c r="G20" i="13"/>
  <c r="D38" i="12"/>
  <c r="D37" i="12" s="1"/>
  <c r="D20" i="17" s="1"/>
  <c r="D16" i="17" s="1"/>
  <c r="C30" i="13"/>
  <c r="C25" i="13" s="1"/>
  <c r="C44" i="13"/>
  <c r="G44" i="13" s="1"/>
  <c r="G47" i="13"/>
  <c r="E41" i="13"/>
  <c r="G41" i="13" s="1"/>
  <c r="G42" i="13"/>
  <c r="G43" i="13"/>
  <c r="G45" i="13"/>
  <c r="G46" i="13"/>
  <c r="G34" i="13"/>
  <c r="G35" i="13"/>
  <c r="G38" i="13"/>
  <c r="G39" i="13"/>
  <c r="C15" i="13"/>
  <c r="C11" i="13" s="1"/>
  <c r="C23" i="13" s="1"/>
  <c r="D19" i="13"/>
  <c r="D18" i="13" s="1"/>
  <c r="F18" i="13" s="1"/>
  <c r="D15" i="13"/>
  <c r="D12" i="13"/>
  <c r="E19" i="13"/>
  <c r="E18" i="13" s="1"/>
  <c r="E15" i="13"/>
  <c r="E12" i="13"/>
  <c r="B15" i="13"/>
  <c r="B11" i="13" s="1"/>
  <c r="D41" i="13"/>
  <c r="D37" i="13"/>
  <c r="D33" i="13"/>
  <c r="D30" i="13"/>
  <c r="E37" i="13"/>
  <c r="G37" i="13" s="1"/>
  <c r="E33" i="13"/>
  <c r="E30" i="13"/>
  <c r="F35" i="13"/>
  <c r="F38" i="13"/>
  <c r="F39" i="13"/>
  <c r="F42" i="13"/>
  <c r="F43" i="13"/>
  <c r="D26" i="13"/>
  <c r="E26" i="13"/>
  <c r="G32" i="13"/>
  <c r="G31" i="13"/>
  <c r="G28" i="13"/>
  <c r="G27" i="13"/>
  <c r="G22" i="13"/>
  <c r="G17" i="13"/>
  <c r="G16" i="13"/>
  <c r="G13" i="13"/>
  <c r="G21" i="13"/>
  <c r="G10" i="13"/>
  <c r="G9" i="13"/>
  <c r="G7" i="13"/>
  <c r="F46" i="13"/>
  <c r="F32" i="13"/>
  <c r="F31" i="13"/>
  <c r="F22" i="13"/>
  <c r="F20" i="13"/>
  <c r="F17" i="13"/>
  <c r="F16" i="13"/>
  <c r="F14" i="13"/>
  <c r="F13" i="13"/>
  <c r="F21" i="13"/>
  <c r="F10" i="13"/>
  <c r="F7" i="13"/>
  <c r="C41" i="12"/>
  <c r="C38" i="12"/>
  <c r="C37" i="12" s="1"/>
  <c r="F37" i="13"/>
  <c r="F27" i="13"/>
  <c r="F34" i="13"/>
  <c r="D22" i="17" l="1"/>
  <c r="E21" i="17" s="1"/>
  <c r="B23" i="13"/>
  <c r="J32" i="13" s="1"/>
  <c r="F15" i="13"/>
  <c r="E46" i="12"/>
  <c r="B20" i="17"/>
  <c r="B16" i="17" s="1"/>
  <c r="B25" i="13"/>
  <c r="F25" i="13" s="1"/>
  <c r="I48" i="12"/>
  <c r="K48" i="12"/>
  <c r="I35" i="13"/>
  <c r="E11" i="13"/>
  <c r="D11" i="13"/>
  <c r="D23" i="13" s="1"/>
  <c r="D48" i="13" s="1"/>
  <c r="G15" i="13"/>
  <c r="G23" i="13"/>
  <c r="C7" i="12"/>
  <c r="I47" i="12"/>
  <c r="G19" i="13"/>
  <c r="F44" i="13"/>
  <c r="G30" i="13"/>
  <c r="G18" i="13"/>
  <c r="F19" i="13"/>
  <c r="F12" i="13"/>
  <c r="F41" i="13"/>
  <c r="E8" i="12"/>
  <c r="G33" i="13"/>
  <c r="G26" i="13"/>
  <c r="E56" i="12"/>
  <c r="F33" i="13"/>
  <c r="F30" i="13"/>
  <c r="G12" i="13"/>
  <c r="G8" i="13"/>
  <c r="F8" i="13"/>
  <c r="F26" i="13"/>
  <c r="E48" i="13"/>
  <c r="F9" i="13"/>
  <c r="F28" i="13"/>
  <c r="F45" i="13"/>
  <c r="B22" i="17" l="1"/>
  <c r="C21" i="17" s="1"/>
  <c r="C16" i="17"/>
  <c r="F11" i="13"/>
  <c r="E16" i="17"/>
  <c r="C6" i="12"/>
  <c r="G11" i="13"/>
  <c r="F23" i="13"/>
  <c r="E37" i="12"/>
  <c r="D7" i="12"/>
  <c r="K47" i="12"/>
  <c r="I45" i="12"/>
  <c r="J47" i="12" s="1"/>
  <c r="G25" i="13"/>
  <c r="L7" i="13"/>
  <c r="B48" i="13"/>
  <c r="L6" i="13"/>
  <c r="E12" i="12"/>
  <c r="I25" i="13" l="1"/>
  <c r="K42" i="13"/>
  <c r="K6" i="13"/>
  <c r="M6" i="13" s="1"/>
  <c r="F48" i="13"/>
  <c r="K8" i="13" s="1"/>
  <c r="K7" i="13"/>
  <c r="M7" i="13" s="1"/>
  <c r="K45" i="12"/>
  <c r="D6" i="12"/>
  <c r="D60" i="12" s="1"/>
  <c r="B2" i="16" s="1"/>
  <c r="I44" i="12"/>
  <c r="J45" i="12" s="1"/>
  <c r="C60" i="12"/>
  <c r="J46" i="12"/>
  <c r="C48" i="13"/>
  <c r="E7" i="12"/>
  <c r="L46" i="12" l="1"/>
  <c r="L47" i="12"/>
  <c r="I50" i="12"/>
  <c r="B4" i="15" s="1"/>
  <c r="B1" i="16"/>
  <c r="G48" i="13"/>
  <c r="L8" i="13" s="1"/>
  <c r="M8" i="13" s="1"/>
  <c r="K44" i="12"/>
  <c r="L48" i="12" s="1"/>
  <c r="J49" i="12"/>
  <c r="J48" i="12"/>
  <c r="E6" i="12"/>
  <c r="I23" i="13"/>
  <c r="J44" i="12" l="1"/>
  <c r="H4" i="12"/>
  <c r="L45" i="12"/>
  <c r="J56" i="12" s="1"/>
  <c r="I48" i="13"/>
  <c r="K50" i="12"/>
  <c r="J50" i="12"/>
  <c r="D4" i="15"/>
  <c r="E4" i="15" s="1"/>
  <c r="F7" i="15" s="1"/>
  <c r="I4" i="12"/>
  <c r="E60" i="12"/>
  <c r="L50" i="12" l="1"/>
  <c r="L44" i="12"/>
  <c r="I55" i="12" s="1"/>
  <c r="L49" i="12"/>
  <c r="I58" i="12" s="1"/>
  <c r="I59" i="12" l="1"/>
</calcChain>
</file>

<file path=xl/sharedStrings.xml><?xml version="1.0" encoding="utf-8"?>
<sst xmlns="http://schemas.openxmlformats.org/spreadsheetml/2006/main" count="188" uniqueCount="150">
  <si>
    <t>PRESUPUESTADO</t>
  </si>
  <si>
    <t xml:space="preserve">INFORME DE EJECUCION PRESUPUESTAL DE GASTOS </t>
  </si>
  <si>
    <t>NIVEL RENTISTICO</t>
  </si>
  <si>
    <t>INGRESOS PROPIOS</t>
  </si>
  <si>
    <t>INGRESOS CORRIENTES</t>
  </si>
  <si>
    <t>Tributarios</t>
  </si>
  <si>
    <t>Participación Ambiental Municipios</t>
  </si>
  <si>
    <t>Otros</t>
  </si>
  <si>
    <t>No Tributarios</t>
  </si>
  <si>
    <t>Venta de Bienes y Servicios</t>
  </si>
  <si>
    <t>Licencias, permisos y tramites ambientales</t>
  </si>
  <si>
    <t>Operaciones Comerciales</t>
  </si>
  <si>
    <t>Aportes Patronales</t>
  </si>
  <si>
    <t>Aportes de Afiliados</t>
  </si>
  <si>
    <t>Aportes de otras entidades</t>
  </si>
  <si>
    <t>Transferencias Sector Electrico</t>
  </si>
  <si>
    <t>Otros Aportes de Otras Entidades</t>
  </si>
  <si>
    <t>Otros Ingresos</t>
  </si>
  <si>
    <t>Tasa Material de Arrastre</t>
  </si>
  <si>
    <t>Tasa por Uso del Agua</t>
  </si>
  <si>
    <t>RECURSOS DE CAPITAL</t>
  </si>
  <si>
    <t>Crédito externo</t>
  </si>
  <si>
    <t>Perfeccionado</t>
  </si>
  <si>
    <t>Autorizado</t>
  </si>
  <si>
    <t>Crédito Interno</t>
  </si>
  <si>
    <t>Rendimientos Financieros</t>
  </si>
  <si>
    <t>Recursos del Balance</t>
  </si>
  <si>
    <t>Venta de Activos</t>
  </si>
  <si>
    <t>Excedentes Financieros</t>
  </si>
  <si>
    <t>Cancelación de Reservas</t>
  </si>
  <si>
    <t>Recuperación de Cartera</t>
  </si>
  <si>
    <t>Otros Recursos del Balance</t>
  </si>
  <si>
    <t>Donaciones</t>
  </si>
  <si>
    <t>APORTES DE LA NACION</t>
  </si>
  <si>
    <t>Funcionamiento</t>
  </si>
  <si>
    <t>TOTAL INGRESOS VIGENCIA</t>
  </si>
  <si>
    <t>CONCEPTO</t>
  </si>
  <si>
    <t>RECURSOS PROPIOS
$</t>
  </si>
  <si>
    <t>RECURSOS DE LA NACION 
$</t>
  </si>
  <si>
    <t>TOTAL RECURSOS 
(PROPIOS -NACION)
$</t>
  </si>
  <si>
    <t>GASTOS DE PERSONAL</t>
  </si>
  <si>
    <t>GASTOS GENERALES</t>
  </si>
  <si>
    <t>Impuestos y Multas</t>
  </si>
  <si>
    <t>TRANSFERENCIAS CORRIENTES</t>
  </si>
  <si>
    <t>ADMINISTRACION PUBLICA CENTRAL</t>
  </si>
  <si>
    <t>Cuota de Auditaje Contaloria Nacional</t>
  </si>
  <si>
    <t>Fondo de Compensación Ambiental</t>
  </si>
  <si>
    <t xml:space="preserve">TRANSFERENCIAS PREVISION Y SEGURIDAD SOCIAL </t>
  </si>
  <si>
    <t>Mesadas Pensionales</t>
  </si>
  <si>
    <t>Bonos pensionales</t>
  </si>
  <si>
    <t>OTRAS TRANSFERENCIAS</t>
  </si>
  <si>
    <t>SENTENCIAS Y CONCILIACIONES</t>
  </si>
  <si>
    <t>Sentencias y Conciliaciones</t>
  </si>
  <si>
    <t>TOTAL GASTOS DE FUNCIONAMIENTO</t>
  </si>
  <si>
    <t>TOTAL INVERSION</t>
  </si>
  <si>
    <t xml:space="preserve">TOTAL PRESUPUESTO  </t>
  </si>
  <si>
    <t>ANEXO 5-2</t>
  </si>
  <si>
    <t>ANEXO 5-1</t>
  </si>
  <si>
    <t xml:space="preserve">INFORME DE EJECUCION PRESUPUESTAL DE INGRESOS </t>
  </si>
  <si>
    <t>Adquisición de Bienes y servicios</t>
  </si>
  <si>
    <t>Sobretasa o Porcentaje Ambiental</t>
  </si>
  <si>
    <t>APROPIADO</t>
  </si>
  <si>
    <t>RECAUDADO</t>
  </si>
  <si>
    <t>COMPROMETIDO</t>
  </si>
  <si>
    <t>Movilización ilegal de Madera</t>
  </si>
  <si>
    <t>Multas y sanciones por infracciones ambientales</t>
  </si>
  <si>
    <t xml:space="preserve">Otros por Venta de Bienes y Servicios </t>
  </si>
  <si>
    <t>Evaluación y Seguimiento</t>
  </si>
  <si>
    <t>Convenios con Otras Entidades</t>
  </si>
  <si>
    <t>CORPORACION AUTONOMA REGIONAL DE LA GUAJIRA</t>
  </si>
  <si>
    <t>Indemnizaciones</t>
  </si>
  <si>
    <t>Tasa Retributiva y Compensatoria</t>
  </si>
  <si>
    <t>OTRAS (ASOCARS)</t>
  </si>
  <si>
    <t xml:space="preserve">TOTAL PRESUPUESTO </t>
  </si>
  <si>
    <t>TOTAL GASTOS DE FUNCI.</t>
  </si>
  <si>
    <t>TOTAL GASTOS DE INVER.</t>
  </si>
  <si>
    <t xml:space="preserve">APROPIADO </t>
  </si>
  <si>
    <t xml:space="preserve">RECAUDADO </t>
  </si>
  <si>
    <t>Programa 1. Ordenamiento Ambiental Territorial</t>
  </si>
  <si>
    <t>Proyecto 1.1. Planificación, Ordenamiento e Información Ambiental Territorial</t>
  </si>
  <si>
    <t>Proyecto 1.2. Gestión del Riesgo y adaptación al Cambio Climático.</t>
  </si>
  <si>
    <t>Proyecto 1.3. Gestión del conocimiento y Cooperación Internacional.</t>
  </si>
  <si>
    <t>Programa 2. Gestión Integral del Recurso Hídrico</t>
  </si>
  <si>
    <t>Proyecto 2.1.Administración de la oferta y demanda del recurso hídrico. (Superficiales y subterráneas).</t>
  </si>
  <si>
    <t>Proyecto 2.2. .  Monitoreo de la calidad del recurso hídrico.</t>
  </si>
  <si>
    <t>Programa 3. Bosques, Biodiversidad y Servicios Ecosistémicos.</t>
  </si>
  <si>
    <t>Proyecto 3.1. Ecosistemas estratégicos continentales y marinos</t>
  </si>
  <si>
    <t>Proyecto 3.2. Protección y conservación de la biodiversidad.</t>
  </si>
  <si>
    <t>Proyecto 3.3.Negocios verdes y sostenibles.</t>
  </si>
  <si>
    <t>Progrma 4. Gestión Ambiental Sectorial y Urbana</t>
  </si>
  <si>
    <t>Proyecto 4.1. Gestión Ambiental Urbana</t>
  </si>
  <si>
    <t>Proyecto 4.2. Gestión Ambiental Sectorial</t>
  </si>
  <si>
    <t>Proyecto 4.3. Calidad del aire</t>
  </si>
  <si>
    <t>Programa 5. Educación Ambiental</t>
  </si>
  <si>
    <t>Proyecto 5.1. Cultura Ambiental</t>
  </si>
  <si>
    <t>Proyecto 5.2.Participación Comunitaria</t>
  </si>
  <si>
    <t>Programa 6. Calidad Ambiental</t>
  </si>
  <si>
    <t>Proyecto 6.1. Monitoreo y evaluación de la calidad de los recursos naturales y la biodiversidad.</t>
  </si>
  <si>
    <t>%</t>
  </si>
  <si>
    <t xml:space="preserve">Apropiado </t>
  </si>
  <si>
    <t xml:space="preserve">Recaudado </t>
  </si>
  <si>
    <t>TASAS</t>
  </si>
  <si>
    <t xml:space="preserve">Multas </t>
  </si>
  <si>
    <t>1800-010302</t>
  </si>
  <si>
    <t>1800-01030203</t>
  </si>
  <si>
    <t>1800-0104</t>
  </si>
  <si>
    <t>18-010301010101-07</t>
  </si>
  <si>
    <t>1800-01030102</t>
  </si>
  <si>
    <t>1800-0103010201</t>
  </si>
  <si>
    <t>1800-010301020101-05</t>
  </si>
  <si>
    <t>1800-010301020103-12</t>
  </si>
  <si>
    <t>1800-010301020104-12</t>
  </si>
  <si>
    <t>1800-010301020201-12</t>
  </si>
  <si>
    <t>1800-0103010208</t>
  </si>
  <si>
    <t xml:space="preserve">Tasa Aprovechamiento Forestal </t>
  </si>
  <si>
    <t xml:space="preserve">Movilización Materia Vegetal </t>
  </si>
  <si>
    <t xml:space="preserve">Recurperacion de Cartera </t>
  </si>
  <si>
    <t>Recuperacion de Cartera Tasa Retributivas y Compensaciones</t>
  </si>
  <si>
    <t>Recuperacion de Cartera Mutas</t>
  </si>
  <si>
    <t>1800-0103</t>
  </si>
  <si>
    <t>1800-010301</t>
  </si>
  <si>
    <t>1800-01030101</t>
  </si>
  <si>
    <t>1800-010301020102-11</t>
  </si>
  <si>
    <t>1800-010301020105-12</t>
  </si>
  <si>
    <t>1800-010301020102-02</t>
  </si>
  <si>
    <t>1800-01030205</t>
  </si>
  <si>
    <t>1800-010302050402-12</t>
  </si>
  <si>
    <t>1800-010302050401-12</t>
  </si>
  <si>
    <t>1800-01040000</t>
  </si>
  <si>
    <t>1800-010301020202</t>
  </si>
  <si>
    <t>1800-010301020805-02</t>
  </si>
  <si>
    <t>Recuperacion de Cartera por Utilizacion del Recurso Hidrico</t>
  </si>
  <si>
    <t>1800-010302050407-11</t>
  </si>
  <si>
    <t>RECURSOS VIGENCIA 2015. MARZO 30</t>
  </si>
  <si>
    <t xml:space="preserve">Recuperacion Incapacidad y Licencia de Maternidad </t>
  </si>
  <si>
    <t>1800-0103010206010445-04</t>
  </si>
  <si>
    <t>Identificacion Presupuestal</t>
  </si>
  <si>
    <t>1800-010301020810-30</t>
  </si>
  <si>
    <t>1800-01030102080-12</t>
  </si>
  <si>
    <t>FCA Funcionamiento</t>
  </si>
  <si>
    <t xml:space="preserve">FCA </t>
  </si>
  <si>
    <t>Inversión. FCA</t>
  </si>
  <si>
    <t>Ingresos Propios</t>
  </si>
  <si>
    <t>Ingresos Corrientes</t>
  </si>
  <si>
    <t>Recursos de Capital</t>
  </si>
  <si>
    <t>Aportes de La Nacion</t>
  </si>
  <si>
    <t>Apropiado</t>
  </si>
  <si>
    <t>Recaudado</t>
  </si>
  <si>
    <t>Total Ingresos Vigencia</t>
  </si>
  <si>
    <t xml:space="preserve">RECURSOS VIGENCIA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</si>
</sst>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69" formatCode="[$$-240A]\ #,##0"/>
    <numFmt numFmtId="170" formatCode="0.0%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Univers"/>
      <family val="2"/>
    </font>
    <font>
      <b/>
      <sz val="9"/>
      <name val="Univers"/>
      <family val="2"/>
    </font>
    <font>
      <b/>
      <sz val="8"/>
      <name val="Univers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Univers"/>
      <family val="2"/>
    </font>
    <font>
      <sz val="8"/>
      <name val="Arial"/>
      <family val="2"/>
    </font>
    <font>
      <b/>
      <vertAlign val="superscript"/>
      <sz val="9"/>
      <name val="Univers"/>
      <family val="2"/>
    </font>
    <font>
      <b/>
      <vertAlign val="superscript"/>
      <sz val="8"/>
      <color indexed="10"/>
      <name val="Univers"/>
      <family val="2"/>
    </font>
    <font>
      <b/>
      <sz val="8"/>
      <color indexed="10"/>
      <name val="Univers"/>
      <family val="2"/>
    </font>
    <font>
      <b/>
      <sz val="10"/>
      <name val="Univers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9"/>
      <name val="Univers"/>
    </font>
    <font>
      <sz val="16"/>
      <color rgb="FF444444"/>
      <name val="Segoe UI Light"/>
      <family val="2"/>
    </font>
    <font>
      <b/>
      <sz val="8"/>
      <name val="Univers"/>
    </font>
    <font>
      <b/>
      <sz val="7"/>
      <name val="Univers"/>
      <family val="2"/>
    </font>
    <font>
      <sz val="7"/>
      <name val="Univers"/>
      <family val="2"/>
    </font>
    <font>
      <sz val="7"/>
      <name val="Arial"/>
      <family val="2"/>
    </font>
    <font>
      <b/>
      <sz val="7"/>
      <name val="Univers"/>
    </font>
    <font>
      <sz val="9"/>
      <name val="Univers"/>
    </font>
    <font>
      <sz val="8"/>
      <name val="Univers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2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5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5" fillId="0" borderId="5" xfId="0" applyFont="1" applyFill="1" applyBorder="1" applyProtection="1"/>
    <xf numFmtId="0" fontId="5" fillId="0" borderId="6" xfId="0" applyFont="1" applyFill="1" applyBorder="1" applyProtection="1"/>
    <xf numFmtId="0" fontId="5" fillId="0" borderId="5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Protection="1"/>
    <xf numFmtId="0" fontId="4" fillId="3" borderId="8" xfId="0" applyFont="1" applyFill="1" applyBorder="1" applyProtection="1"/>
    <xf numFmtId="0" fontId="4" fillId="4" borderId="8" xfId="0" applyFont="1" applyFill="1" applyBorder="1" applyProtection="1"/>
    <xf numFmtId="0" fontId="3" fillId="0" borderId="8" xfId="0" applyFont="1" applyFill="1" applyBorder="1" applyProtection="1"/>
    <xf numFmtId="0" fontId="5" fillId="0" borderId="8" xfId="0" applyFont="1" applyFill="1" applyBorder="1" applyProtection="1"/>
    <xf numFmtId="0" fontId="4" fillId="0" borderId="8" xfId="0" applyFont="1" applyBorder="1" applyProtection="1"/>
    <xf numFmtId="1" fontId="4" fillId="2" borderId="8" xfId="0" applyNumberFormat="1" applyFont="1" applyFill="1" applyBorder="1" applyProtection="1"/>
    <xf numFmtId="166" fontId="4" fillId="2" borderId="10" xfId="1" applyNumberFormat="1" applyFont="1" applyFill="1" applyBorder="1" applyProtection="1"/>
    <xf numFmtId="166" fontId="4" fillId="3" borderId="11" xfId="1" applyNumberFormat="1" applyFont="1" applyFill="1" applyBorder="1" applyProtection="1"/>
    <xf numFmtId="166" fontId="4" fillId="4" borderId="11" xfId="1" applyNumberFormat="1" applyFont="1" applyFill="1" applyBorder="1" applyProtection="1"/>
    <xf numFmtId="166" fontId="5" fillId="0" borderId="11" xfId="1" applyNumberFormat="1" applyFont="1" applyFill="1" applyBorder="1" applyProtection="1"/>
    <xf numFmtId="166" fontId="4" fillId="0" borderId="11" xfId="1" applyNumberFormat="1" applyFont="1" applyBorder="1" applyProtection="1"/>
    <xf numFmtId="166" fontId="4" fillId="2" borderId="11" xfId="1" applyNumberFormat="1" applyFont="1" applyFill="1" applyBorder="1" applyProtection="1"/>
    <xf numFmtId="166" fontId="3" fillId="0" borderId="11" xfId="1" applyNumberFormat="1" applyFont="1" applyFill="1" applyBorder="1" applyProtection="1">
      <protection locked="0"/>
    </xf>
    <xf numFmtId="166" fontId="5" fillId="0" borderId="11" xfId="1" applyNumberFormat="1" applyFont="1" applyFill="1" applyBorder="1" applyProtection="1">
      <protection locked="0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5" fillId="0" borderId="14" xfId="0" applyFont="1" applyFill="1" applyBorder="1" applyProtection="1"/>
    <xf numFmtId="0" fontId="3" fillId="0" borderId="0" xfId="0" applyFont="1" applyBorder="1" applyProtection="1"/>
    <xf numFmtId="0" fontId="8" fillId="0" borderId="0" xfId="0" applyFont="1" applyBorder="1" applyProtection="1"/>
    <xf numFmtId="0" fontId="5" fillId="0" borderId="15" xfId="0" applyFont="1" applyFill="1" applyBorder="1" applyAlignment="1" applyProtection="1">
      <alignment wrapText="1"/>
      <protection locked="0"/>
    </xf>
    <xf numFmtId="166" fontId="5" fillId="0" borderId="16" xfId="1" applyFont="1" applyFill="1" applyBorder="1" applyProtection="1"/>
    <xf numFmtId="166" fontId="5" fillId="0" borderId="17" xfId="1" applyFont="1" applyFill="1" applyBorder="1" applyProtection="1"/>
    <xf numFmtId="166" fontId="5" fillId="0" borderId="10" xfId="1" applyFont="1" applyFill="1" applyBorder="1" applyProtection="1"/>
    <xf numFmtId="166" fontId="5" fillId="0" borderId="18" xfId="1" applyFont="1" applyFill="1" applyBorder="1" applyProtection="1"/>
    <xf numFmtId="166" fontId="3" fillId="0" borderId="11" xfId="1" applyFont="1" applyFill="1" applyBorder="1" applyProtection="1"/>
    <xf numFmtId="166" fontId="3" fillId="0" borderId="19" xfId="1" applyFont="1" applyFill="1" applyBorder="1" applyProtection="1"/>
    <xf numFmtId="166" fontId="3" fillId="0" borderId="20" xfId="1" applyFont="1" applyFill="1" applyBorder="1" applyProtection="1"/>
    <xf numFmtId="166" fontId="3" fillId="0" borderId="21" xfId="1" applyFont="1" applyFill="1" applyBorder="1" applyProtection="1"/>
    <xf numFmtId="166" fontId="5" fillId="0" borderId="11" xfId="1" applyFont="1" applyFill="1" applyBorder="1" applyProtection="1"/>
    <xf numFmtId="166" fontId="5" fillId="0" borderId="19" xfId="1" applyFont="1" applyFill="1" applyBorder="1" applyProtection="1"/>
    <xf numFmtId="166" fontId="3" fillId="0" borderId="0" xfId="1" applyFont="1" applyBorder="1" applyProtection="1"/>
    <xf numFmtId="166" fontId="3" fillId="0" borderId="0" xfId="1" applyFont="1" applyFill="1" applyBorder="1" applyProtection="1"/>
    <xf numFmtId="166" fontId="8" fillId="0" borderId="0" xfId="1" applyFont="1" applyBorder="1" applyProtection="1"/>
    <xf numFmtId="166" fontId="5" fillId="0" borderId="16" xfId="1" applyFont="1" applyFill="1" applyBorder="1" applyProtection="1">
      <protection locked="0"/>
    </xf>
    <xf numFmtId="166" fontId="3" fillId="0" borderId="11" xfId="1" applyFont="1" applyFill="1" applyBorder="1" applyProtection="1">
      <protection locked="0"/>
    </xf>
    <xf numFmtId="166" fontId="3" fillId="0" borderId="20" xfId="1" applyFont="1" applyFill="1" applyBorder="1" applyProtection="1">
      <protection locked="0"/>
    </xf>
    <xf numFmtId="166" fontId="14" fillId="0" borderId="11" xfId="1" applyFont="1" applyFill="1" applyBorder="1" applyAlignment="1" applyProtection="1">
      <alignment wrapText="1"/>
      <protection locked="0"/>
    </xf>
    <xf numFmtId="166" fontId="14" fillId="0" borderId="11" xfId="1" applyFont="1" applyFill="1" applyBorder="1" applyProtection="1"/>
    <xf numFmtId="166" fontId="14" fillId="0" borderId="19" xfId="1" applyFont="1" applyFill="1" applyBorder="1" applyProtection="1"/>
    <xf numFmtId="166" fontId="14" fillId="0" borderId="22" xfId="1" applyFont="1" applyFill="1" applyBorder="1" applyAlignment="1" applyProtection="1">
      <alignment wrapText="1"/>
      <protection locked="0"/>
    </xf>
    <xf numFmtId="166" fontId="14" fillId="0" borderId="20" xfId="1" applyFont="1" applyFill="1" applyBorder="1" applyProtection="1"/>
    <xf numFmtId="0" fontId="14" fillId="0" borderId="11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166" fontId="15" fillId="0" borderId="11" xfId="1" applyFont="1" applyFill="1" applyBorder="1" applyAlignment="1" applyProtection="1">
      <alignment wrapText="1"/>
      <protection locked="0"/>
    </xf>
    <xf numFmtId="166" fontId="15" fillId="0" borderId="22" xfId="1" applyFont="1" applyFill="1" applyBorder="1" applyAlignment="1" applyProtection="1">
      <alignment wrapText="1"/>
      <protection locked="0"/>
    </xf>
    <xf numFmtId="166" fontId="14" fillId="0" borderId="24" xfId="1" applyFont="1" applyFill="1" applyBorder="1" applyAlignment="1" applyProtection="1">
      <alignment wrapText="1"/>
      <protection locked="0"/>
    </xf>
    <xf numFmtId="0" fontId="5" fillId="0" borderId="1" xfId="0" applyFont="1" applyFill="1" applyBorder="1" applyProtection="1"/>
    <xf numFmtId="0" fontId="14" fillId="0" borderId="11" xfId="0" applyFont="1" applyFill="1" applyBorder="1" applyAlignment="1" applyProtection="1">
      <alignment horizontal="justify" wrapText="1"/>
      <protection locked="0"/>
    </xf>
    <xf numFmtId="0" fontId="3" fillId="0" borderId="8" xfId="0" applyFont="1" applyFill="1" applyBorder="1" applyAlignment="1" applyProtection="1">
      <alignment wrapText="1"/>
    </xf>
    <xf numFmtId="166" fontId="4" fillId="0" borderId="11" xfId="1" applyFont="1" applyBorder="1" applyProtection="1">
      <protection locked="0"/>
    </xf>
    <xf numFmtId="166" fontId="14" fillId="0" borderId="11" xfId="1" applyFont="1" applyFill="1" applyBorder="1" applyProtection="1">
      <protection locked="0"/>
    </xf>
    <xf numFmtId="166" fontId="14" fillId="0" borderId="20" xfId="1" applyFont="1" applyFill="1" applyBorder="1" applyProtection="1">
      <protection locked="0"/>
    </xf>
    <xf numFmtId="166" fontId="5" fillId="0" borderId="16" xfId="1" applyFont="1" applyFill="1" applyBorder="1" applyAlignment="1" applyProtection="1"/>
    <xf numFmtId="166" fontId="15" fillId="0" borderId="27" xfId="1" applyFont="1" applyFill="1" applyBorder="1" applyAlignment="1" applyProtection="1">
      <alignment wrapText="1"/>
      <protection locked="0"/>
    </xf>
    <xf numFmtId="166" fontId="14" fillId="0" borderId="27" xfId="1" applyFont="1" applyFill="1" applyBorder="1" applyAlignment="1" applyProtection="1">
      <alignment wrapText="1"/>
      <protection locked="0"/>
    </xf>
    <xf numFmtId="166" fontId="14" fillId="0" borderId="27" xfId="1" applyFont="1" applyFill="1" applyBorder="1" applyAlignment="1" applyProtection="1"/>
    <xf numFmtId="166" fontId="14" fillId="0" borderId="11" xfId="1" applyFont="1" applyFill="1" applyBorder="1" applyAlignment="1" applyProtection="1"/>
    <xf numFmtId="166" fontId="5" fillId="0" borderId="17" xfId="1" applyFont="1" applyFill="1" applyBorder="1" applyAlignment="1" applyProtection="1"/>
    <xf numFmtId="166" fontId="15" fillId="0" borderId="22" xfId="1" applyFont="1" applyFill="1" applyBorder="1" applyAlignment="1" applyProtection="1"/>
    <xf numFmtId="166" fontId="15" fillId="0" borderId="28" xfId="1" applyFont="1" applyFill="1" applyBorder="1" applyAlignment="1" applyProtection="1"/>
    <xf numFmtId="166" fontId="14" fillId="0" borderId="19" xfId="1" applyFont="1" applyFill="1" applyBorder="1" applyAlignment="1" applyProtection="1"/>
    <xf numFmtId="166" fontId="15" fillId="0" borderId="11" xfId="1" applyFont="1" applyFill="1" applyBorder="1" applyAlignment="1" applyProtection="1"/>
    <xf numFmtId="166" fontId="15" fillId="0" borderId="19" xfId="1" applyFont="1" applyFill="1" applyBorder="1" applyAlignment="1" applyProtection="1"/>
    <xf numFmtId="166" fontId="3" fillId="0" borderId="0" xfId="1" applyFont="1" applyFill="1" applyBorder="1" applyAlignment="1" applyProtection="1"/>
    <xf numFmtId="0" fontId="4" fillId="0" borderId="11" xfId="0" applyFont="1" applyBorder="1" applyAlignment="1" applyProtection="1">
      <alignment horizontal="center" vertical="top"/>
    </xf>
    <xf numFmtId="166" fontId="0" fillId="0" borderId="0" xfId="0" applyNumberFormat="1"/>
    <xf numFmtId="0" fontId="4" fillId="0" borderId="8" xfId="0" applyFont="1" applyFill="1" applyBorder="1" applyProtection="1"/>
    <xf numFmtId="166" fontId="4" fillId="0" borderId="11" xfId="1" applyNumberFormat="1" applyFont="1" applyFill="1" applyBorder="1" applyProtection="1">
      <protection locked="0"/>
    </xf>
    <xf numFmtId="0" fontId="14" fillId="0" borderId="5" xfId="0" applyFont="1" applyFill="1" applyBorder="1" applyAlignment="1" applyProtection="1">
      <alignment horizontal="justify" wrapText="1"/>
      <protection locked="0"/>
    </xf>
    <xf numFmtId="0" fontId="14" fillId="0" borderId="5" xfId="0" applyFont="1" applyFill="1" applyBorder="1" applyAlignment="1" applyProtection="1">
      <alignment wrapText="1"/>
      <protection locked="0"/>
    </xf>
    <xf numFmtId="10" fontId="0" fillId="0" borderId="0" xfId="0" applyNumberFormat="1"/>
    <xf numFmtId="10" fontId="0" fillId="0" borderId="11" xfId="0" applyNumberFormat="1" applyBorder="1" applyProtection="1"/>
    <xf numFmtId="166" fontId="14" fillId="0" borderId="0" xfId="1" applyFont="1" applyFill="1"/>
    <xf numFmtId="166" fontId="14" fillId="0" borderId="11" xfId="1" applyFont="1" applyFill="1" applyBorder="1" applyAlignment="1" applyProtection="1">
      <alignment horizontal="center" vertical="center" wrapText="1"/>
      <protection locked="0"/>
    </xf>
    <xf numFmtId="166" fontId="14" fillId="0" borderId="22" xfId="1" applyFont="1" applyFill="1" applyBorder="1" applyAlignment="1" applyProtection="1">
      <alignment horizontal="center" vertical="center" wrapText="1"/>
      <protection locked="0"/>
    </xf>
    <xf numFmtId="166" fontId="14" fillId="0" borderId="27" xfId="1" applyFont="1" applyFill="1" applyBorder="1" applyAlignment="1" applyProtection="1">
      <alignment horizontal="center" vertical="center" wrapText="1"/>
      <protection locked="0"/>
    </xf>
    <xf numFmtId="1" fontId="5" fillId="2" borderId="32" xfId="0" applyNumberFormat="1" applyFont="1" applyFill="1" applyBorder="1" applyProtection="1"/>
    <xf numFmtId="166" fontId="13" fillId="2" borderId="16" xfId="1" applyNumberFormat="1" applyFont="1" applyFill="1" applyBorder="1" applyProtection="1"/>
    <xf numFmtId="166" fontId="13" fillId="2" borderId="17" xfId="1" applyNumberFormat="1" applyFont="1" applyFill="1" applyBorder="1" applyProtection="1"/>
    <xf numFmtId="0" fontId="4" fillId="6" borderId="8" xfId="0" applyFont="1" applyFill="1" applyBorder="1" applyProtection="1"/>
    <xf numFmtId="166" fontId="4" fillId="6" borderId="11" xfId="1" applyNumberFormat="1" applyFont="1" applyFill="1" applyBorder="1" applyProtection="1"/>
    <xf numFmtId="0" fontId="14" fillId="0" borderId="27" xfId="0" applyFont="1" applyFill="1" applyBorder="1" applyAlignment="1" applyProtection="1">
      <alignment wrapText="1"/>
      <protection locked="0"/>
    </xf>
    <xf numFmtId="166" fontId="14" fillId="0" borderId="33" xfId="1" applyFont="1" applyFill="1" applyBorder="1" applyAlignment="1" applyProtection="1"/>
    <xf numFmtId="0" fontId="5" fillId="0" borderId="10" xfId="0" applyFont="1" applyFill="1" applyBorder="1" applyAlignment="1" applyProtection="1">
      <alignment wrapText="1"/>
      <protection locked="0"/>
    </xf>
    <xf numFmtId="166" fontId="15" fillId="0" borderId="34" xfId="1" applyFont="1" applyFill="1" applyBorder="1" applyAlignment="1" applyProtection="1">
      <alignment wrapText="1"/>
      <protection locked="0"/>
    </xf>
    <xf numFmtId="166" fontId="15" fillId="0" borderId="10" xfId="1" applyFont="1" applyFill="1" applyBorder="1" applyAlignment="1" applyProtection="1">
      <alignment wrapText="1"/>
      <protection locked="0"/>
    </xf>
    <xf numFmtId="166" fontId="15" fillId="0" borderId="10" xfId="1" applyFont="1" applyFill="1" applyBorder="1" applyAlignment="1" applyProtection="1"/>
    <xf numFmtId="166" fontId="15" fillId="0" borderId="18" xfId="1" applyFont="1" applyFill="1" applyBorder="1" applyAlignment="1" applyProtection="1"/>
    <xf numFmtId="0" fontId="3" fillId="0" borderId="8" xfId="0" applyFont="1" applyFill="1" applyBorder="1" applyAlignment="1" applyProtection="1">
      <alignment horizontal="justify" vertical="top" wrapText="1"/>
    </xf>
    <xf numFmtId="166" fontId="3" fillId="0" borderId="11" xfId="1" applyNumberFormat="1" applyFont="1" applyFill="1" applyBorder="1" applyAlignment="1" applyProtection="1">
      <alignment horizontal="center" vertical="center"/>
      <protection locked="0"/>
    </xf>
    <xf numFmtId="17" fontId="0" fillId="0" borderId="2" xfId="0" applyNumberFormat="1" applyBorder="1" applyProtection="1"/>
    <xf numFmtId="9" fontId="0" fillId="0" borderId="0" xfId="2" applyFont="1"/>
    <xf numFmtId="0" fontId="16" fillId="0" borderId="0" xfId="0" applyFont="1"/>
    <xf numFmtId="10" fontId="16" fillId="0" borderId="0" xfId="0" applyNumberFormat="1" applyFont="1"/>
    <xf numFmtId="0" fontId="4" fillId="0" borderId="11" xfId="0" applyFont="1" applyFill="1" applyBorder="1" applyProtection="1"/>
    <xf numFmtId="1" fontId="4" fillId="0" borderId="11" xfId="0" applyNumberFormat="1" applyFont="1" applyFill="1" applyBorder="1" applyProtection="1"/>
    <xf numFmtId="168" fontId="4" fillId="0" borderId="11" xfId="1" applyNumberFormat="1" applyFont="1" applyFill="1" applyBorder="1" applyProtection="1"/>
    <xf numFmtId="0" fontId="2" fillId="0" borderId="11" xfId="0" applyFont="1" applyFill="1" applyBorder="1"/>
    <xf numFmtId="0" fontId="17" fillId="0" borderId="11" xfId="0" applyFont="1" applyFill="1" applyBorder="1" applyAlignment="1" applyProtection="1">
      <alignment horizontal="center" vertical="top"/>
    </xf>
    <xf numFmtId="0" fontId="2" fillId="0" borderId="0" xfId="0" applyFont="1" applyAlignment="1">
      <alignment horizontal="center" vertical="center"/>
    </xf>
    <xf numFmtId="168" fontId="0" fillId="0" borderId="0" xfId="0" applyNumberFormat="1"/>
    <xf numFmtId="0" fontId="14" fillId="0" borderId="5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justify" wrapText="1"/>
      <protection locked="0"/>
    </xf>
    <xf numFmtId="166" fontId="14" fillId="0" borderId="10" xfId="1" applyFont="1" applyFill="1" applyBorder="1" applyAlignment="1" applyProtection="1">
      <alignment horizontal="center" vertical="center" wrapText="1"/>
      <protection locked="0"/>
    </xf>
    <xf numFmtId="166" fontId="14" fillId="0" borderId="10" xfId="1" applyFont="1" applyFill="1" applyBorder="1" applyAlignment="1" applyProtection="1">
      <alignment wrapText="1"/>
      <protection locked="0"/>
    </xf>
    <xf numFmtId="166" fontId="14" fillId="0" borderId="10" xfId="1" applyFont="1" applyFill="1" applyBorder="1" applyAlignment="1" applyProtection="1"/>
    <xf numFmtId="166" fontId="14" fillId="0" borderId="43" xfId="1" applyFont="1" applyFill="1" applyBorder="1" applyAlignment="1" applyProtection="1"/>
    <xf numFmtId="166" fontId="4" fillId="0" borderId="11" xfId="1" applyNumberFormat="1" applyFont="1" applyFill="1" applyBorder="1" applyProtection="1"/>
    <xf numFmtId="166" fontId="4" fillId="0" borderId="11" xfId="1" applyFont="1" applyFill="1" applyBorder="1" applyProtection="1"/>
    <xf numFmtId="2" fontId="0" fillId="0" borderId="0" xfId="0" applyNumberFormat="1"/>
    <xf numFmtId="164" fontId="4" fillId="0" borderId="11" xfId="3" applyFont="1" applyFill="1" applyBorder="1" applyProtection="1"/>
    <xf numFmtId="166" fontId="5" fillId="0" borderId="16" xfId="1" applyNumberFormat="1" applyFont="1" applyFill="1" applyBorder="1" applyProtection="1">
      <protection locked="0"/>
    </xf>
    <xf numFmtId="166" fontId="3" fillId="0" borderId="11" xfId="1" applyNumberFormat="1" applyFont="1" applyFill="1" applyBorder="1" applyAlignment="1" applyProtection="1">
      <alignment horizontal="right"/>
      <protection locked="0"/>
    </xf>
    <xf numFmtId="166" fontId="5" fillId="0" borderId="11" xfId="1" applyNumberFormat="1" applyFont="1" applyFill="1" applyBorder="1" applyAlignment="1" applyProtection="1">
      <alignment horizontal="right"/>
      <protection locked="0"/>
    </xf>
    <xf numFmtId="2" fontId="0" fillId="0" borderId="11" xfId="0" applyNumberFormat="1" applyBorder="1"/>
    <xf numFmtId="165" fontId="0" fillId="0" borderId="0" xfId="0" applyNumberFormat="1"/>
    <xf numFmtId="166" fontId="0" fillId="0" borderId="0" xfId="1" applyFont="1"/>
    <xf numFmtId="165" fontId="0" fillId="0" borderId="0" xfId="0" applyNumberFormat="1" applyProtection="1"/>
    <xf numFmtId="166" fontId="0" fillId="0" borderId="0" xfId="1" applyFont="1" applyProtection="1"/>
    <xf numFmtId="166" fontId="3" fillId="0" borderId="11" xfId="1" applyNumberFormat="1" applyFont="1" applyFill="1" applyBorder="1" applyProtection="1"/>
    <xf numFmtId="0" fontId="18" fillId="0" borderId="0" xfId="0" applyFont="1" applyAlignment="1">
      <alignment horizontal="left" wrapText="1"/>
    </xf>
    <xf numFmtId="1" fontId="4" fillId="0" borderId="0" xfId="0" applyNumberFormat="1" applyFont="1" applyFill="1" applyBorder="1" applyProtection="1"/>
    <xf numFmtId="168" fontId="4" fillId="0" borderId="0" xfId="1" applyNumberFormat="1" applyFont="1" applyFill="1" applyBorder="1" applyProtection="1"/>
    <xf numFmtId="2" fontId="0" fillId="0" borderId="0" xfId="0" applyNumberFormat="1" applyBorder="1"/>
    <xf numFmtId="166" fontId="19" fillId="0" borderId="11" xfId="1" applyFont="1" applyFill="1" applyBorder="1" applyProtection="1">
      <protection locked="0"/>
    </xf>
    <xf numFmtId="43" fontId="0" fillId="0" borderId="0" xfId="0" applyNumberFormat="1"/>
    <xf numFmtId="166" fontId="3" fillId="0" borderId="11" xfId="1" applyNumberFormat="1" applyFont="1" applyFill="1" applyBorder="1" applyAlignment="1" applyProtection="1">
      <alignment vertical="center"/>
      <protection locked="0"/>
    </xf>
    <xf numFmtId="0" fontId="21" fillId="0" borderId="8" xfId="0" applyFont="1" applyFill="1" applyBorder="1" applyProtection="1"/>
    <xf numFmtId="1" fontId="20" fillId="0" borderId="9" xfId="4" applyNumberFormat="1" applyFont="1" applyBorder="1" applyAlignment="1" applyProtection="1">
      <alignment horizontal="left"/>
    </xf>
    <xf numFmtId="1" fontId="20" fillId="2" borderId="29" xfId="0" applyNumberFormat="1" applyFont="1" applyFill="1" applyBorder="1" applyAlignment="1" applyProtection="1">
      <alignment horizontal="left"/>
    </xf>
    <xf numFmtId="1" fontId="20" fillId="3" borderId="9" xfId="0" applyNumberFormat="1" applyFont="1" applyFill="1" applyBorder="1" applyAlignment="1" applyProtection="1">
      <alignment horizontal="left"/>
    </xf>
    <xf numFmtId="1" fontId="20" fillId="4" borderId="9" xfId="0" applyNumberFormat="1" applyFont="1" applyFill="1" applyBorder="1" applyAlignment="1" applyProtection="1">
      <alignment horizontal="left"/>
    </xf>
    <xf numFmtId="0" fontId="22" fillId="0" borderId="0" xfId="0" applyFont="1" applyAlignment="1">
      <alignment horizontal="left"/>
    </xf>
    <xf numFmtId="1" fontId="20" fillId="4" borderId="9" xfId="4" applyNumberFormat="1" applyFont="1" applyFill="1" applyBorder="1" applyAlignment="1" applyProtection="1">
      <alignment horizontal="left"/>
    </xf>
    <xf numFmtId="1" fontId="20" fillId="0" borderId="9" xfId="4" applyNumberFormat="1" applyFont="1" applyBorder="1" applyAlignment="1" applyProtection="1">
      <alignment horizontal="left" vertical="center"/>
    </xf>
    <xf numFmtId="1" fontId="20" fillId="3" borderId="9" xfId="4" applyNumberFormat="1" applyFont="1" applyFill="1" applyBorder="1" applyAlignment="1" applyProtection="1">
      <alignment horizontal="left"/>
    </xf>
    <xf numFmtId="1" fontId="21" fillId="0" borderId="9" xfId="4" applyNumberFormat="1" applyFont="1" applyBorder="1" applyAlignment="1" applyProtection="1">
      <alignment horizontal="left"/>
    </xf>
    <xf numFmtId="1" fontId="23" fillId="0" borderId="9" xfId="4" applyNumberFormat="1" applyFont="1" applyBorder="1" applyAlignment="1" applyProtection="1">
      <alignment horizontal="left"/>
    </xf>
    <xf numFmtId="1" fontId="20" fillId="2" borderId="9" xfId="4" applyNumberFormat="1" applyFont="1" applyFill="1" applyBorder="1" applyAlignment="1" applyProtection="1">
      <alignment horizontal="left"/>
    </xf>
    <xf numFmtId="1" fontId="20" fillId="5" borderId="9" xfId="4" applyNumberFormat="1" applyFont="1" applyFill="1" applyBorder="1" applyAlignment="1" applyProtection="1">
      <alignment horizontal="left"/>
    </xf>
    <xf numFmtId="1" fontId="20" fillId="5" borderId="23" xfId="4" applyNumberFormat="1" applyFont="1" applyFill="1" applyBorder="1" applyAlignment="1" applyProtection="1">
      <alignment horizontal="left"/>
    </xf>
    <xf numFmtId="1" fontId="20" fillId="2" borderId="31" xfId="4" applyNumberFormat="1" applyFont="1" applyFill="1" applyBorder="1" applyAlignment="1" applyProtection="1">
      <alignment horizontal="left"/>
    </xf>
    <xf numFmtId="1" fontId="20" fillId="5" borderId="9" xfId="0" applyNumberFormat="1" applyFont="1" applyFill="1" applyBorder="1" applyAlignment="1" applyProtection="1">
      <alignment horizontal="left"/>
    </xf>
    <xf numFmtId="1" fontId="20" fillId="5" borderId="23" xfId="0" applyNumberFormat="1" applyFont="1" applyFill="1" applyBorder="1" applyAlignment="1" applyProtection="1">
      <alignment horizontal="left"/>
    </xf>
    <xf numFmtId="1" fontId="20" fillId="2" borderId="31" xfId="0" applyNumberFormat="1" applyFont="1" applyFill="1" applyBorder="1" applyAlignment="1" applyProtection="1">
      <alignment horizontal="left"/>
    </xf>
    <xf numFmtId="0" fontId="23" fillId="0" borderId="11" xfId="0" applyFont="1" applyBorder="1" applyProtection="1"/>
    <xf numFmtId="1" fontId="24" fillId="0" borderId="8" xfId="0" applyNumberFormat="1" applyFont="1" applyFill="1" applyBorder="1" applyProtection="1"/>
    <xf numFmtId="1" fontId="24" fillId="5" borderId="8" xfId="0" applyNumberFormat="1" applyFont="1" applyFill="1" applyBorder="1" applyProtection="1"/>
    <xf numFmtId="1" fontId="24" fillId="5" borderId="30" xfId="0" applyNumberFormat="1" applyFont="1" applyFill="1" applyBorder="1" applyProtection="1"/>
    <xf numFmtId="166" fontId="24" fillId="7" borderId="11" xfId="1" applyNumberFormat="1" applyFont="1" applyFill="1" applyBorder="1" applyProtection="1"/>
    <xf numFmtId="166" fontId="24" fillId="5" borderId="11" xfId="1" applyNumberFormat="1" applyFont="1" applyFill="1" applyBorder="1" applyProtection="1">
      <protection locked="0"/>
    </xf>
    <xf numFmtId="166" fontId="24" fillId="5" borderId="27" xfId="1" applyNumberFormat="1" applyFont="1" applyFill="1" applyBorder="1" applyProtection="1">
      <protection locked="0"/>
    </xf>
    <xf numFmtId="2" fontId="0" fillId="0" borderId="11" xfId="2" applyNumberFormat="1" applyFont="1" applyBorder="1"/>
    <xf numFmtId="2" fontId="0" fillId="0" borderId="44" xfId="2" applyNumberFormat="1" applyFont="1" applyBorder="1"/>
    <xf numFmtId="9" fontId="0" fillId="0" borderId="44" xfId="2" applyFont="1" applyBorder="1"/>
    <xf numFmtId="0" fontId="0" fillId="0" borderId="11" xfId="0" applyBorder="1"/>
    <xf numFmtId="167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22" xfId="1" applyNumberFormat="1" applyFont="1" applyFill="1" applyBorder="1" applyAlignment="1" applyProtection="1">
      <alignment horizontal="right" vertical="center" wrapText="1"/>
      <protection locked="0"/>
    </xf>
    <xf numFmtId="166" fontId="14" fillId="0" borderId="22" xfId="1" applyFont="1" applyFill="1" applyBorder="1" applyAlignment="1" applyProtection="1">
      <alignment horizontal="right" vertical="center" wrapText="1"/>
      <protection locked="0"/>
    </xf>
    <xf numFmtId="166" fontId="14" fillId="0" borderId="11" xfId="1" applyFont="1" applyFill="1" applyBorder="1" applyAlignment="1" applyProtection="1">
      <alignment horizontal="right" vertical="center"/>
    </xf>
    <xf numFmtId="166" fontId="14" fillId="0" borderId="19" xfId="1" applyFont="1" applyFill="1" applyBorder="1" applyAlignment="1" applyProtection="1">
      <alignment horizontal="right" vertical="center"/>
    </xf>
    <xf numFmtId="166" fontId="25" fillId="0" borderId="25" xfId="1" applyFont="1" applyFill="1" applyBorder="1" applyAlignment="1" applyProtection="1"/>
    <xf numFmtId="166" fontId="25" fillId="0" borderId="11" xfId="1" applyFont="1" applyFill="1" applyBorder="1" applyAlignment="1" applyProtection="1"/>
    <xf numFmtId="43" fontId="9" fillId="0" borderId="0" xfId="0" applyNumberFormat="1" applyFont="1"/>
    <xf numFmtId="169" fontId="0" fillId="0" borderId="11" xfId="0" applyNumberFormat="1" applyBorder="1"/>
    <xf numFmtId="0" fontId="5" fillId="0" borderId="35" xfId="0" applyFont="1" applyFill="1" applyBorder="1" applyProtection="1"/>
    <xf numFmtId="0" fontId="16" fillId="0" borderId="11" xfId="0" applyFont="1" applyBorder="1"/>
    <xf numFmtId="0" fontId="7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6" fontId="0" fillId="0" borderId="11" xfId="1" applyFont="1" applyBorder="1"/>
    <xf numFmtId="166" fontId="0" fillId="0" borderId="11" xfId="0" applyNumberForma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/>
    <xf numFmtId="43" fontId="0" fillId="0" borderId="11" xfId="0" applyNumberFormat="1" applyBorder="1"/>
    <xf numFmtId="166" fontId="1" fillId="0" borderId="11" xfId="1" applyFont="1" applyBorder="1"/>
    <xf numFmtId="9" fontId="0" fillId="0" borderId="11" xfId="0" applyNumberFormat="1" applyBorder="1"/>
    <xf numFmtId="170" fontId="0" fillId="0" borderId="11" xfId="0" applyNumberFormat="1" applyBorder="1"/>
    <xf numFmtId="166" fontId="25" fillId="0" borderId="25" xfId="1" applyFont="1" applyFill="1" applyBorder="1" applyProtection="1"/>
    <xf numFmtId="166" fontId="25" fillId="0" borderId="11" xfId="1" applyFont="1" applyFill="1" applyBorder="1" applyProtection="1"/>
    <xf numFmtId="0" fontId="2" fillId="0" borderId="0" xfId="0" applyFont="1" applyAlignment="1">
      <alignment horizontal="center"/>
    </xf>
    <xf numFmtId="1" fontId="10" fillId="5" borderId="0" xfId="0" applyNumberFormat="1" applyFont="1" applyFill="1" applyBorder="1" applyAlignment="1" applyProtection="1">
      <alignment horizontal="left" vertical="top" wrapText="1"/>
    </xf>
    <xf numFmtId="1" fontId="3" fillId="5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1" fontId="5" fillId="5" borderId="0" xfId="0" applyNumberFormat="1" applyFont="1" applyFill="1" applyBorder="1" applyAlignment="1" applyProtection="1">
      <alignment horizontal="left" vertical="top" wrapText="1"/>
    </xf>
    <xf numFmtId="0" fontId="2" fillId="0" borderId="3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 vertical="top" wrapText="1"/>
    </xf>
    <xf numFmtId="0" fontId="6" fillId="0" borderId="37" xfId="0" applyFont="1" applyBorder="1" applyAlignment="1" applyProtection="1">
      <alignment horizontal="center" vertical="top"/>
    </xf>
    <xf numFmtId="0" fontId="6" fillId="0" borderId="39" xfId="0" applyFont="1" applyBorder="1" applyAlignment="1" applyProtection="1">
      <alignment horizontal="center" vertical="top" wrapText="1"/>
    </xf>
    <xf numFmtId="0" fontId="6" fillId="0" borderId="39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 wrapText="1"/>
    </xf>
    <xf numFmtId="0" fontId="6" fillId="0" borderId="40" xfId="0" applyFont="1" applyBorder="1" applyAlignment="1" applyProtection="1">
      <alignment horizontal="center" vertical="top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</cellXfs>
  <cellStyles count="8">
    <cellStyle name="Millares" xfId="1" builtinId="3"/>
    <cellStyle name="Millares 2" xfId="5"/>
    <cellStyle name="Moneda" xfId="3" builtinId="4"/>
    <cellStyle name="Moneda 2" xfId="7"/>
    <cellStyle name="Normal" xfId="0" builtinId="0"/>
    <cellStyle name="Normal 2" xfId="4"/>
    <cellStyle name="Porcentaje" xfId="2" builtin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('Anexo 5-1 Ingresos'!$B$6:$B$8,'Anexo 5-1 Ingresos'!$B$12,'Anexo 5-1 Ingresos'!$B$37,'Anexo 5-1 Ingresos'!$B$56)</c:f>
              <c:strCache>
                <c:ptCount val="6"/>
                <c:pt idx="0">
                  <c:v>INGRESOS PROPIOS</c:v>
                </c:pt>
                <c:pt idx="1">
                  <c:v>INGRESOS CORRIENTES</c:v>
                </c:pt>
                <c:pt idx="2">
                  <c:v>Tributarios</c:v>
                </c:pt>
                <c:pt idx="3">
                  <c:v>No Tributarios</c:v>
                </c:pt>
                <c:pt idx="4">
                  <c:v>RECURSOS DE CAPITAL</c:v>
                </c:pt>
                <c:pt idx="5">
                  <c:v>APORTES DE LA NACION</c:v>
                </c:pt>
              </c:strCache>
            </c:strRef>
          </c:cat>
          <c:val>
            <c:numRef>
              <c:f>('Anexo 5-1 Ingresos'!$C$6:$C$8,'Anexo 5-1 Ingresos'!$C$12,'Anexo 5-1 Ingresos'!$C$37,'Anexo 5-1 Ingresos'!$C$56)</c:f>
              <c:numCache>
                <c:formatCode>_ * #,##0.00_ ;_ * \-#,##0.00_ ;_ * "-"??_ ;_ @_ </c:formatCode>
                <c:ptCount val="6"/>
                <c:pt idx="0">
                  <c:v>12696667793</c:v>
                </c:pt>
                <c:pt idx="1">
                  <c:v>6959400000</c:v>
                </c:pt>
                <c:pt idx="2">
                  <c:v>2535000000</c:v>
                </c:pt>
                <c:pt idx="3">
                  <c:v>4424400000</c:v>
                </c:pt>
                <c:pt idx="4">
                  <c:v>5737267793</c:v>
                </c:pt>
                <c:pt idx="5">
                  <c:v>4017114385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('Anexo 5-1 Ingresos'!$B$6:$B$8,'Anexo 5-1 Ingresos'!$B$12,'Anexo 5-1 Ingresos'!$B$37,'Anexo 5-1 Ingresos'!$B$56)</c:f>
              <c:strCache>
                <c:ptCount val="6"/>
                <c:pt idx="0">
                  <c:v>INGRESOS PROPIOS</c:v>
                </c:pt>
                <c:pt idx="1">
                  <c:v>INGRESOS CORRIENTES</c:v>
                </c:pt>
                <c:pt idx="2">
                  <c:v>Tributarios</c:v>
                </c:pt>
                <c:pt idx="3">
                  <c:v>No Tributarios</c:v>
                </c:pt>
                <c:pt idx="4">
                  <c:v>RECURSOS DE CAPITAL</c:v>
                </c:pt>
                <c:pt idx="5">
                  <c:v>APORTES DE LA NACION</c:v>
                </c:pt>
              </c:strCache>
            </c:strRef>
          </c:cat>
          <c:val>
            <c:numRef>
              <c:f>('Anexo 5-1 Ingresos'!$D$6:$D$8,'Anexo 5-1 Ingresos'!$D$12,'Anexo 5-1 Ingresos'!$D$37,'Anexo 5-1 Ingresos'!$D$56)</c:f>
              <c:numCache>
                <c:formatCode>_ * #,##0.00_ ;_ * \-#,##0.00_ ;_ * "-"??_ ;_ @_ </c:formatCode>
                <c:ptCount val="6"/>
                <c:pt idx="0">
                  <c:v>7807903883</c:v>
                </c:pt>
                <c:pt idx="1">
                  <c:v>3637314860</c:v>
                </c:pt>
                <c:pt idx="2">
                  <c:v>1720691026</c:v>
                </c:pt>
                <c:pt idx="3">
                  <c:v>1916623834</c:v>
                </c:pt>
                <c:pt idx="4">
                  <c:v>4170589023</c:v>
                </c:pt>
                <c:pt idx="5">
                  <c:v>2016534821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'Anexo 5-1 Ingresos'!$H$3:$I$3</c:f>
              <c:strCache>
                <c:ptCount val="2"/>
                <c:pt idx="0">
                  <c:v>APROPIADO </c:v>
                </c:pt>
                <c:pt idx="1">
                  <c:v>RECAUDADO </c:v>
                </c:pt>
              </c:strCache>
            </c:strRef>
          </c:cat>
          <c:val>
            <c:numRef>
              <c:f>'Anexo 5-1 Ingresos'!$H$4:$I$4</c:f>
              <c:numCache>
                <c:formatCode>_ * #,##0_ ;_ * \-#,##0_ ;_ * "-"??_ ;_ @_ </c:formatCode>
                <c:ptCount val="2"/>
                <c:pt idx="0">
                  <c:v>16713782178</c:v>
                </c:pt>
                <c:pt idx="1">
                  <c:v>9824438704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'Anexo 5-1 Ingresos'!$H$55:$H$59</c:f>
              <c:strCache>
                <c:ptCount val="5"/>
                <c:pt idx="0">
                  <c:v>INGRESOS PROPIOS</c:v>
                </c:pt>
                <c:pt idx="1">
                  <c:v>INGRESOS CORRIENTES</c:v>
                </c:pt>
                <c:pt idx="2">
                  <c:v>RECURSOS DE CAPITAL</c:v>
                </c:pt>
                <c:pt idx="3">
                  <c:v>APORTES DE LA NACION</c:v>
                </c:pt>
                <c:pt idx="4">
                  <c:v>TOTAL INGRESOS VIGENCIA</c:v>
                </c:pt>
              </c:strCache>
            </c:strRef>
          </c:cat>
          <c:val>
            <c:numRef>
              <c:f>'Anexo 5-1 Ingresos'!$I$55:$I$59</c:f>
              <c:numCache>
                <c:formatCode>0.00</c:formatCode>
                <c:ptCount val="5"/>
                <c:pt idx="0">
                  <c:v>0.7947429993960905</c:v>
                </c:pt>
                <c:pt idx="3" formatCode="0%">
                  <c:v>0.2052570006039095</c:v>
                </c:pt>
                <c:pt idx="4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19968"/>
        <c:axId val="59221504"/>
        <c:axId val="0"/>
      </c:bar3DChart>
      <c:catAx>
        <c:axId val="5921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59221504"/>
        <c:crosses val="autoZero"/>
        <c:auto val="1"/>
        <c:lblAlgn val="ctr"/>
        <c:lblOffset val="100"/>
        <c:noMultiLvlLbl val="0"/>
      </c:catAx>
      <c:valAx>
        <c:axId val="59221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21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91722604142863"/>
          <c:y val="4.0763706620005932E-2"/>
          <c:w val="0.77579575280363211"/>
          <c:h val="0.684468139399241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'Anexo 5-2 Gastos'!$K$5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'Anexo 5-2 Gastos'!$J$6:$J$8</c:f>
              <c:strCache>
                <c:ptCount val="3"/>
                <c:pt idx="0">
                  <c:v>TOTAL GASTOS DE FUNCI.</c:v>
                </c:pt>
                <c:pt idx="1">
                  <c:v>TOTAL GASTOS DE INVER.</c:v>
                </c:pt>
                <c:pt idx="2">
                  <c:v>TOTAL PRESUPUESTO </c:v>
                </c:pt>
              </c:strCache>
            </c:strRef>
          </c:cat>
          <c:val>
            <c:numRef>
              <c:f>'Anexo 5-2 Gastos'!$K$6:$K$8</c:f>
              <c:numCache>
                <c:formatCode>[$$-240A]\ #,##0</c:formatCode>
                <c:ptCount val="3"/>
                <c:pt idx="0">
                  <c:v>7922127575</c:v>
                </c:pt>
                <c:pt idx="1">
                  <c:v>8791834605</c:v>
                </c:pt>
                <c:pt idx="2">
                  <c:v>16713962180</c:v>
                </c:pt>
              </c:numCache>
            </c:numRef>
          </c:val>
        </c:ser>
        <c:ser>
          <c:idx val="1"/>
          <c:order val="1"/>
          <c:tx>
            <c:strRef>
              <c:f>'Anexo 5-2 Gastos'!$L$5</c:f>
              <c:strCache>
                <c:ptCount val="1"/>
                <c:pt idx="0">
                  <c:v>COMPROMETIDO</c:v>
                </c:pt>
              </c:strCache>
            </c:strRef>
          </c:tx>
          <c:invertIfNegative val="0"/>
          <c:cat>
            <c:strRef>
              <c:f>'Anexo 5-2 Gastos'!$J$6:$J$8</c:f>
              <c:strCache>
                <c:ptCount val="3"/>
                <c:pt idx="0">
                  <c:v>TOTAL GASTOS DE FUNCI.</c:v>
                </c:pt>
                <c:pt idx="1">
                  <c:v>TOTAL GASTOS DE INVER.</c:v>
                </c:pt>
                <c:pt idx="2">
                  <c:v>TOTAL PRESUPUESTO </c:v>
                </c:pt>
              </c:strCache>
            </c:strRef>
          </c:cat>
          <c:val>
            <c:numRef>
              <c:f>'Anexo 5-2 Gastos'!$L$6:$L$8</c:f>
              <c:numCache>
                <c:formatCode>[$$-240A]\ #,##0</c:formatCode>
                <c:ptCount val="3"/>
                <c:pt idx="0">
                  <c:v>4296759954</c:v>
                </c:pt>
                <c:pt idx="1">
                  <c:v>4485833595</c:v>
                </c:pt>
                <c:pt idx="2">
                  <c:v>8782593549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294080"/>
        <c:axId val="59295616"/>
        <c:axId val="0"/>
      </c:bar3DChart>
      <c:catAx>
        <c:axId val="59294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crossAx val="59295616"/>
        <c:crosses val="autoZero"/>
        <c:auto val="1"/>
        <c:lblAlgn val="ctr"/>
        <c:lblOffset val="100"/>
        <c:noMultiLvlLbl val="0"/>
      </c:catAx>
      <c:valAx>
        <c:axId val="59295616"/>
        <c:scaling>
          <c:orientation val="minMax"/>
        </c:scaling>
        <c:delete val="0"/>
        <c:axPos val="l"/>
        <c:majorGridlines/>
        <c:numFmt formatCode="#,##0;[Red]#,##0" sourceLinked="0"/>
        <c:majorTickMark val="none"/>
        <c:minorTickMark val="none"/>
        <c:tickLblPos val="nextTo"/>
        <c:crossAx val="59294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s-CO"/>
          </a:p>
        </c:txPr>
      </c:dTable>
    </c:plotArea>
    <c:plotVisOnly val="1"/>
    <c:dispBlanksAs val="gap"/>
    <c:showDLblsOverMax val="0"/>
  </c:chart>
  <c:txPr>
    <a:bodyPr/>
    <a:lstStyle/>
    <a:p>
      <a:pPr>
        <a:defRPr sz="1050"/>
      </a:pPr>
      <a:endParaRPr lang="es-CO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'Interpretacion de Resultados'!$B$4</c:f>
              <c:strCache>
                <c:ptCount val="1"/>
                <c:pt idx="0">
                  <c:v> $ 16.713.782.178,00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numRef>
              <c:f>'Interpretacion de Resultados'!$E$7:$F$7</c:f>
              <c:numCache>
                <c:formatCode>0.00</c:formatCode>
                <c:ptCount val="2"/>
                <c:pt idx="0" formatCode="_ * #,##0_ ;_ * \-#,##0_ ;_ * &quot;-&quot;??_ ;_ @_ ">
                  <c:v>100</c:v>
                </c:pt>
                <c:pt idx="1">
                  <c:v>58.780463927139735</c:v>
                </c:pt>
              </c:numCache>
            </c:numRef>
          </c:cat>
          <c:val>
            <c:numRef>
              <c:f>'Interpretacion de Resultados'!$E$7:$F$7</c:f>
              <c:numCache>
                <c:formatCode>0.00</c:formatCode>
                <c:ptCount val="2"/>
                <c:pt idx="0" formatCode="_ * #,##0_ ;_ * \-#,##0_ ;_ * &quot;-&quot;??_ ;_ @_ ">
                  <c:v>100</c:v>
                </c:pt>
                <c:pt idx="1">
                  <c:v>58.780463927139735</c:v>
                </c:pt>
              </c:numCache>
            </c:numRef>
          </c:val>
        </c:ser>
        <c:ser>
          <c:idx val="1"/>
          <c:order val="1"/>
          <c:tx>
            <c:strRef>
              <c:f>'Interpretacion de Resultados'!$D$4</c:f>
              <c:strCache>
                <c:ptCount val="1"/>
                <c:pt idx="0">
                  <c:v> $ 9.824.438.704,00 </c:v>
                </c:pt>
              </c:strCache>
            </c:strRef>
          </c:tx>
          <c:invertIfNegative val="0"/>
          <c:cat>
            <c:numRef>
              <c:f>'Interpretacion de Resultados'!$E$7:$F$7</c:f>
              <c:numCache>
                <c:formatCode>0.00</c:formatCode>
                <c:ptCount val="2"/>
                <c:pt idx="0" formatCode="_ * #,##0_ ;_ * \-#,##0_ ;_ * &quot;-&quot;??_ ;_ @_ ">
                  <c:v>100</c:v>
                </c:pt>
                <c:pt idx="1">
                  <c:v>58.780463927139735</c:v>
                </c:pt>
              </c:numCache>
            </c:numRef>
          </c:cat>
          <c:val>
            <c:numRef>
              <c:f>'Interpretacion de Resultados'!$E$8:$F$8</c:f>
              <c:numCache>
                <c:formatCode>_ * #,##0_ ;_ * \-#,##0_ ;_ * "-"??_ ;_ @_ 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0515072"/>
        <c:axId val="60516608"/>
        <c:axId val="0"/>
      </c:bar3DChart>
      <c:catAx>
        <c:axId val="60515072"/>
        <c:scaling>
          <c:orientation val="minMax"/>
        </c:scaling>
        <c:delete val="0"/>
        <c:axPos val="b"/>
        <c:numFmt formatCode="_ * #,##0_ ;_ * \-#,##0_ ;_ * &quot;-&quot;??_ ;_ @_ " sourceLinked="1"/>
        <c:majorTickMark val="out"/>
        <c:minorTickMark val="none"/>
        <c:tickLblPos val="nextTo"/>
        <c:crossAx val="60516608"/>
        <c:crosses val="autoZero"/>
        <c:auto val="1"/>
        <c:lblAlgn val="ctr"/>
        <c:lblOffset val="100"/>
        <c:noMultiLvlLbl val="0"/>
      </c:catAx>
      <c:valAx>
        <c:axId val="60516608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6051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Hoja1!$A$1:$A$2</c:f>
              <c:strCache>
                <c:ptCount val="2"/>
                <c:pt idx="0">
                  <c:v>APROPIADO</c:v>
                </c:pt>
                <c:pt idx="1">
                  <c:v>RECAUDADO</c:v>
                </c:pt>
              </c:strCache>
            </c:strRef>
          </c:cat>
          <c:val>
            <c:numRef>
              <c:f>Hoja1!$B$1:$B$2</c:f>
              <c:numCache>
                <c:formatCode>_ * #,##0.00_ ;_ * \-#,##0.00_ ;_ * "-"??_ ;_ @_ </c:formatCode>
                <c:ptCount val="2"/>
                <c:pt idx="0">
                  <c:v>16713782178</c:v>
                </c:pt>
                <c:pt idx="1">
                  <c:v>9824438704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47904"/>
        <c:axId val="58749696"/>
        <c:axId val="0"/>
      </c:bar3DChart>
      <c:catAx>
        <c:axId val="5874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58749696"/>
        <c:crosses val="autoZero"/>
        <c:auto val="1"/>
        <c:lblAlgn val="ctr"/>
        <c:lblOffset val="100"/>
        <c:noMultiLvlLbl val="0"/>
      </c:catAx>
      <c:valAx>
        <c:axId val="58749696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5874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21</xdr:row>
      <xdr:rowOff>123825</xdr:rowOff>
    </xdr:from>
    <xdr:to>
      <xdr:col>10</xdr:col>
      <xdr:colOff>1447800</xdr:colOff>
      <xdr:row>41</xdr:row>
      <xdr:rowOff>47625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5</xdr:row>
      <xdr:rowOff>19050</xdr:rowOff>
    </xdr:from>
    <xdr:to>
      <xdr:col>10</xdr:col>
      <xdr:colOff>914400</xdr:colOff>
      <xdr:row>20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973964</xdr:colOff>
      <xdr:row>61</xdr:row>
      <xdr:rowOff>37027</xdr:rowOff>
    </xdr:from>
    <xdr:to>
      <xdr:col>11</xdr:col>
      <xdr:colOff>583573</xdr:colOff>
      <xdr:row>77</xdr:row>
      <xdr:rowOff>30051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</xdr:row>
      <xdr:rowOff>85725</xdr:rowOff>
    </xdr:from>
    <xdr:to>
      <xdr:col>14</xdr:col>
      <xdr:colOff>714375</xdr:colOff>
      <xdr:row>30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9</xdr:row>
      <xdr:rowOff>9525</xdr:rowOff>
    </xdr:from>
    <xdr:to>
      <xdr:col>6</xdr:col>
      <xdr:colOff>685800</xdr:colOff>
      <xdr:row>26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16</xdr:row>
      <xdr:rowOff>28575</xdr:rowOff>
    </xdr:from>
    <xdr:to>
      <xdr:col>15</xdr:col>
      <xdr:colOff>19050</xdr:colOff>
      <xdr:row>33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13" zoomScale="142" zoomScaleNormal="142" zoomScaleSheetLayoutView="115" workbookViewId="0">
      <selection activeCell="C21" sqref="C21"/>
    </sheetView>
  </sheetViews>
  <sheetFormatPr baseColWidth="10" defaultRowHeight="12.75"/>
  <cols>
    <col min="1" max="1" width="18" customWidth="1"/>
    <col min="2" max="2" width="26.5703125" customWidth="1"/>
    <col min="3" max="3" width="19.28515625" customWidth="1"/>
    <col min="4" max="4" width="18.7109375" customWidth="1"/>
    <col min="5" max="5" width="21.7109375" customWidth="1"/>
    <col min="6" max="6" width="17.7109375" customWidth="1"/>
    <col min="8" max="8" width="26.7109375" bestFit="1" customWidth="1"/>
    <col min="9" max="9" width="19.85546875" bestFit="1" customWidth="1"/>
    <col min="10" max="10" width="11.85546875" customWidth="1"/>
    <col min="11" max="11" width="23.7109375" bestFit="1" customWidth="1"/>
    <col min="12" max="12" width="11" customWidth="1"/>
  </cols>
  <sheetData>
    <row r="1" spans="1:12">
      <c r="A1" s="192" t="s">
        <v>57</v>
      </c>
      <c r="B1" s="192"/>
      <c r="C1" s="192"/>
      <c r="D1" s="192"/>
    </row>
    <row r="2" spans="1:12">
      <c r="A2" s="195" t="s">
        <v>58</v>
      </c>
      <c r="B2" s="195"/>
      <c r="C2" s="195"/>
      <c r="D2" s="195"/>
      <c r="E2" s="1"/>
      <c r="F2" s="1"/>
      <c r="G2" s="1"/>
    </row>
    <row r="3" spans="1:12">
      <c r="A3" s="195" t="s">
        <v>69</v>
      </c>
      <c r="B3" s="195"/>
      <c r="C3" s="195"/>
      <c r="D3" s="195"/>
      <c r="E3" s="1"/>
      <c r="F3" s="1"/>
      <c r="G3" s="1"/>
      <c r="H3" s="112" t="s">
        <v>76</v>
      </c>
      <c r="I3" s="112" t="s">
        <v>77</v>
      </c>
      <c r="J3" s="112"/>
    </row>
    <row r="4" spans="1:12">
      <c r="A4" s="195" t="s">
        <v>133</v>
      </c>
      <c r="B4" s="195"/>
      <c r="C4" s="195"/>
      <c r="D4" s="195"/>
      <c r="E4" s="2"/>
      <c r="F4" s="2"/>
      <c r="G4" s="2"/>
      <c r="H4" s="113">
        <f>I50</f>
        <v>16713782178</v>
      </c>
      <c r="I4" s="113">
        <f>D60</f>
        <v>9824438704</v>
      </c>
      <c r="J4" s="113"/>
    </row>
    <row r="5" spans="1:12">
      <c r="A5" s="158" t="s">
        <v>136</v>
      </c>
      <c r="B5" s="77" t="s">
        <v>2</v>
      </c>
      <c r="C5" s="77" t="s">
        <v>61</v>
      </c>
      <c r="D5" s="77" t="s">
        <v>62</v>
      </c>
    </row>
    <row r="6" spans="1:12">
      <c r="A6" s="142" t="s">
        <v>119</v>
      </c>
      <c r="B6" s="12" t="s">
        <v>3</v>
      </c>
      <c r="C6" s="19">
        <f>C7+C37</f>
        <v>12696667793</v>
      </c>
      <c r="D6" s="19">
        <f>D7+D37</f>
        <v>7807903883</v>
      </c>
      <c r="E6" s="83">
        <f>(D6/C6)</f>
        <v>0.61495693281860131</v>
      </c>
      <c r="I6" s="78"/>
      <c r="J6" s="78"/>
      <c r="K6" s="78"/>
      <c r="L6" s="83"/>
    </row>
    <row r="7" spans="1:12">
      <c r="A7" s="143" t="s">
        <v>120</v>
      </c>
      <c r="B7" s="13" t="s">
        <v>4</v>
      </c>
      <c r="C7" s="20">
        <f>C8+C12</f>
        <v>6959400000</v>
      </c>
      <c r="D7" s="20">
        <f>D8+D12</f>
        <v>3637314860</v>
      </c>
      <c r="E7" s="83">
        <f>(D7/C7)</f>
        <v>0.52264776561197801</v>
      </c>
      <c r="I7" s="78"/>
      <c r="J7" s="78"/>
      <c r="K7" s="78"/>
      <c r="L7" s="83"/>
    </row>
    <row r="8" spans="1:12">
      <c r="A8" s="144" t="s">
        <v>121</v>
      </c>
      <c r="B8" s="14" t="s">
        <v>5</v>
      </c>
      <c r="C8" s="21">
        <f>SUM(C9:C11)</f>
        <v>2535000000</v>
      </c>
      <c r="D8" s="21">
        <f>SUM(D9:D11)</f>
        <v>1720691026</v>
      </c>
      <c r="E8" s="83">
        <f>(D8/C8)</f>
        <v>0.6787735802761341</v>
      </c>
      <c r="I8" s="78"/>
      <c r="J8" s="78"/>
      <c r="K8" s="78"/>
      <c r="L8" s="83"/>
    </row>
    <row r="9" spans="1:12">
      <c r="A9" s="145"/>
      <c r="B9" s="15" t="s">
        <v>6</v>
      </c>
      <c r="C9" s="25">
        <v>0</v>
      </c>
      <c r="D9" s="25"/>
    </row>
    <row r="10" spans="1:12">
      <c r="A10" s="141" t="s">
        <v>106</v>
      </c>
      <c r="B10" s="15" t="s">
        <v>60</v>
      </c>
      <c r="C10" s="25">
        <v>2535000000</v>
      </c>
      <c r="D10" s="25">
        <v>1720691026</v>
      </c>
    </row>
    <row r="11" spans="1:12">
      <c r="A11" s="141"/>
      <c r="B11" s="15" t="s">
        <v>7</v>
      </c>
      <c r="C11" s="25">
        <v>0</v>
      </c>
      <c r="D11" s="25"/>
    </row>
    <row r="12" spans="1:12">
      <c r="A12" s="146" t="s">
        <v>107</v>
      </c>
      <c r="B12" s="14" t="s">
        <v>8</v>
      </c>
      <c r="C12" s="21">
        <f>C19+C23+C31+C33</f>
        <v>4424400000</v>
      </c>
      <c r="D12" s="21">
        <f>D19+D23+D31+D33</f>
        <v>1916623834</v>
      </c>
      <c r="E12" s="83">
        <f>(D12/C12)</f>
        <v>0.4331940678962119</v>
      </c>
    </row>
    <row r="13" spans="1:12">
      <c r="A13" s="141"/>
      <c r="B13" s="16" t="s">
        <v>9</v>
      </c>
      <c r="C13" s="22">
        <f>SUM(C14:C15)</f>
        <v>0</v>
      </c>
      <c r="D13" s="22">
        <f>SUM(D14:D15)</f>
        <v>0</v>
      </c>
    </row>
    <row r="14" spans="1:12">
      <c r="A14" s="141"/>
      <c r="B14" s="15" t="s">
        <v>9</v>
      </c>
      <c r="C14" s="25">
        <v>0</v>
      </c>
      <c r="D14" s="25"/>
    </row>
    <row r="15" spans="1:12" ht="12.75" customHeight="1">
      <c r="A15" s="141"/>
      <c r="B15" s="61" t="s">
        <v>66</v>
      </c>
      <c r="C15" s="25">
        <v>0</v>
      </c>
      <c r="D15" s="25">
        <v>0</v>
      </c>
    </row>
    <row r="16" spans="1:12">
      <c r="A16" s="141"/>
      <c r="B16" s="16" t="s">
        <v>11</v>
      </c>
      <c r="C16" s="26">
        <v>0</v>
      </c>
      <c r="D16" s="26"/>
    </row>
    <row r="17" spans="1:12">
      <c r="A17" s="141"/>
      <c r="B17" s="16" t="s">
        <v>12</v>
      </c>
      <c r="C17" s="26">
        <v>0</v>
      </c>
      <c r="D17" s="26"/>
      <c r="E17">
        <v>4513200000</v>
      </c>
    </row>
    <row r="18" spans="1:12">
      <c r="A18" s="141"/>
      <c r="B18" s="16" t="s">
        <v>13</v>
      </c>
      <c r="C18" s="26">
        <v>0</v>
      </c>
      <c r="D18" s="26"/>
      <c r="E18" s="138">
        <f>C12-E17</f>
        <v>-88800000</v>
      </c>
    </row>
    <row r="19" spans="1:12">
      <c r="A19" s="141"/>
      <c r="B19" s="16" t="s">
        <v>14</v>
      </c>
      <c r="C19" s="22">
        <f>SUM(C20:C22)</f>
        <v>2988400000</v>
      </c>
      <c r="D19" s="26">
        <f>SUM(D20:D22)</f>
        <v>876116160</v>
      </c>
    </row>
    <row r="20" spans="1:12">
      <c r="A20" s="141" t="s">
        <v>124</v>
      </c>
      <c r="B20" s="15" t="s">
        <v>15</v>
      </c>
      <c r="C20" s="132">
        <v>2800000000</v>
      </c>
      <c r="D20" s="25">
        <v>876116160</v>
      </c>
    </row>
    <row r="21" spans="1:12">
      <c r="A21" s="141" t="s">
        <v>135</v>
      </c>
      <c r="B21" s="15" t="s">
        <v>68</v>
      </c>
      <c r="C21" s="25">
        <v>188400000</v>
      </c>
      <c r="D21" s="25"/>
    </row>
    <row r="22" spans="1:12">
      <c r="A22" s="141"/>
      <c r="B22" s="15" t="s">
        <v>16</v>
      </c>
      <c r="C22" s="25">
        <v>0</v>
      </c>
      <c r="D22" s="25"/>
    </row>
    <row r="23" spans="1:12">
      <c r="A23" s="141" t="s">
        <v>108</v>
      </c>
      <c r="B23" s="16" t="s">
        <v>101</v>
      </c>
      <c r="C23" s="22">
        <f>SUM(C24:C30)</f>
        <v>910000000</v>
      </c>
      <c r="D23" s="22">
        <f>SUM(D24:D30)</f>
        <v>604102243</v>
      </c>
    </row>
    <row r="24" spans="1:12">
      <c r="A24" s="141" t="s">
        <v>109</v>
      </c>
      <c r="B24" s="15" t="s">
        <v>71</v>
      </c>
      <c r="C24" s="25">
        <v>246000000</v>
      </c>
      <c r="D24" s="25">
        <v>49015618</v>
      </c>
      <c r="E24" s="104">
        <f>D24/C24</f>
        <v>0.19925047967479675</v>
      </c>
      <c r="F24" s="138">
        <f>826870760-D12</f>
        <v>-1089753074</v>
      </c>
    </row>
    <row r="25" spans="1:12">
      <c r="A25" s="141"/>
      <c r="B25" s="15" t="s">
        <v>18</v>
      </c>
      <c r="C25" s="25"/>
      <c r="D25" s="25">
        <v>0</v>
      </c>
    </row>
    <row r="26" spans="1:12">
      <c r="A26" s="141" t="s">
        <v>122</v>
      </c>
      <c r="B26" s="15" t="s">
        <v>19</v>
      </c>
      <c r="C26" s="25">
        <v>100000000</v>
      </c>
      <c r="D26" s="25">
        <v>132091794</v>
      </c>
      <c r="E26" s="104">
        <f>D26/C26</f>
        <v>1.32091794</v>
      </c>
    </row>
    <row r="27" spans="1:12">
      <c r="A27" s="141" t="s">
        <v>110</v>
      </c>
      <c r="B27" s="15" t="s">
        <v>64</v>
      </c>
      <c r="C27" s="25">
        <v>0</v>
      </c>
      <c r="D27" s="25"/>
      <c r="E27" s="104"/>
    </row>
    <row r="28" spans="1:12">
      <c r="A28" s="141" t="s">
        <v>111</v>
      </c>
      <c r="B28" s="140" t="s">
        <v>10</v>
      </c>
      <c r="C28" s="25">
        <v>313000000</v>
      </c>
      <c r="D28" s="25">
        <v>240756141</v>
      </c>
      <c r="E28" s="104"/>
    </row>
    <row r="29" spans="1:12">
      <c r="A29" s="147" t="s">
        <v>123</v>
      </c>
      <c r="B29" s="101" t="s">
        <v>114</v>
      </c>
      <c r="C29" s="102">
        <v>31000000</v>
      </c>
      <c r="D29" s="102">
        <v>181774772</v>
      </c>
      <c r="E29" s="104">
        <f>D29/C29</f>
        <v>5.8637023225806448</v>
      </c>
      <c r="G29" s="104"/>
    </row>
    <row r="30" spans="1:12">
      <c r="A30" s="141"/>
      <c r="B30" s="101" t="s">
        <v>115</v>
      </c>
      <c r="C30" s="102">
        <v>220000000</v>
      </c>
      <c r="D30" s="102">
        <v>463918</v>
      </c>
      <c r="E30" s="104"/>
      <c r="G30" s="104"/>
    </row>
    <row r="31" spans="1:12">
      <c r="A31" s="141" t="s">
        <v>129</v>
      </c>
      <c r="B31" s="16" t="s">
        <v>102</v>
      </c>
      <c r="C31" s="26">
        <f>C32</f>
        <v>300000000</v>
      </c>
      <c r="D31" s="26">
        <f>D32</f>
        <v>426866977</v>
      </c>
      <c r="E31" s="104"/>
      <c r="I31" s="105"/>
      <c r="J31" s="105"/>
      <c r="K31" s="105"/>
      <c r="L31" s="105"/>
    </row>
    <row r="32" spans="1:12" ht="22.5">
      <c r="A32" s="147" t="s">
        <v>112</v>
      </c>
      <c r="B32" s="61" t="s">
        <v>65</v>
      </c>
      <c r="C32" s="25">
        <v>300000000</v>
      </c>
      <c r="D32" s="25">
        <v>426866977</v>
      </c>
      <c r="E32" s="104">
        <f>D32/C32</f>
        <v>1.4228899233333334</v>
      </c>
      <c r="H32" s="105"/>
    </row>
    <row r="33" spans="1:12">
      <c r="A33" s="141" t="s">
        <v>113</v>
      </c>
      <c r="B33" s="16" t="s">
        <v>17</v>
      </c>
      <c r="C33" s="126">
        <f>C34+C36</f>
        <v>226000000</v>
      </c>
      <c r="D33" s="26">
        <f>D34+D35+D36</f>
        <v>9538454</v>
      </c>
      <c r="H33" s="105"/>
    </row>
    <row r="34" spans="1:12">
      <c r="A34" s="141" t="s">
        <v>130</v>
      </c>
      <c r="B34" s="15" t="s">
        <v>67</v>
      </c>
      <c r="C34" s="125">
        <v>216000000</v>
      </c>
      <c r="D34" s="25">
        <v>4735981</v>
      </c>
      <c r="H34" s="105"/>
    </row>
    <row r="35" spans="1:12" ht="22.5">
      <c r="A35" s="141" t="s">
        <v>137</v>
      </c>
      <c r="B35" s="61" t="s">
        <v>134</v>
      </c>
      <c r="C35" s="125">
        <v>0</v>
      </c>
      <c r="D35" s="139">
        <v>3253293</v>
      </c>
      <c r="H35" s="105"/>
    </row>
    <row r="36" spans="1:12">
      <c r="A36" s="141" t="s">
        <v>138</v>
      </c>
      <c r="B36" s="15" t="s">
        <v>17</v>
      </c>
      <c r="C36" s="125">
        <v>10000000</v>
      </c>
      <c r="D36" s="25">
        <v>1549180</v>
      </c>
      <c r="H36" s="105"/>
    </row>
    <row r="37" spans="1:12">
      <c r="A37" s="148" t="s">
        <v>103</v>
      </c>
      <c r="B37" s="92" t="s">
        <v>20</v>
      </c>
      <c r="C37" s="93">
        <f>+C38+C41+C44+C55+C47+C51</f>
        <v>5737267793</v>
      </c>
      <c r="D37" s="93">
        <f>+D38+D41+D44+D55+D47+D51</f>
        <v>4170589023</v>
      </c>
      <c r="E37" s="83">
        <f>(D37/C37)</f>
        <v>0.7269294677317496</v>
      </c>
      <c r="H37" s="105"/>
      <c r="I37" s="106"/>
      <c r="J37" s="106"/>
      <c r="K37" s="106"/>
      <c r="L37" s="106"/>
    </row>
    <row r="38" spans="1:12">
      <c r="A38" s="149"/>
      <c r="B38" s="17" t="s">
        <v>21</v>
      </c>
      <c r="C38" s="23">
        <f>SUM(C39:C40)</f>
        <v>0</v>
      </c>
      <c r="D38" s="23">
        <f>SUM(D39:D40)</f>
        <v>0</v>
      </c>
    </row>
    <row r="39" spans="1:12">
      <c r="A39" s="149"/>
      <c r="B39" s="15" t="s">
        <v>22</v>
      </c>
      <c r="C39" s="25">
        <v>0</v>
      </c>
      <c r="D39" s="25"/>
    </row>
    <row r="40" spans="1:12">
      <c r="A40" s="141"/>
      <c r="B40" s="15" t="s">
        <v>23</v>
      </c>
      <c r="C40" s="25">
        <v>0</v>
      </c>
      <c r="D40" s="25"/>
    </row>
    <row r="41" spans="1:12">
      <c r="A41" s="149"/>
      <c r="B41" s="17" t="s">
        <v>24</v>
      </c>
      <c r="C41" s="23">
        <f>SUM(C42:C43)</f>
        <v>0</v>
      </c>
      <c r="D41" s="23">
        <f>SUM(D42:D43)</f>
        <v>0</v>
      </c>
    </row>
    <row r="42" spans="1:12">
      <c r="A42" s="149"/>
      <c r="B42" s="15" t="s">
        <v>22</v>
      </c>
      <c r="C42" s="25">
        <v>0</v>
      </c>
      <c r="D42" s="25"/>
    </row>
    <row r="43" spans="1:12">
      <c r="A43" s="141"/>
      <c r="B43" s="15" t="s">
        <v>23</v>
      </c>
      <c r="C43" s="25">
        <v>0</v>
      </c>
      <c r="D43" s="25"/>
      <c r="H43" s="110"/>
      <c r="I43" s="111" t="s">
        <v>61</v>
      </c>
      <c r="J43" s="111" t="s">
        <v>98</v>
      </c>
      <c r="K43" s="111" t="s">
        <v>62</v>
      </c>
      <c r="L43" s="111" t="s">
        <v>98</v>
      </c>
    </row>
    <row r="44" spans="1:12">
      <c r="A44" s="141" t="s">
        <v>104</v>
      </c>
      <c r="B44" s="79" t="s">
        <v>25</v>
      </c>
      <c r="C44" s="80">
        <v>66450000</v>
      </c>
      <c r="D44" s="80">
        <v>16048806</v>
      </c>
      <c r="H44" s="107" t="s">
        <v>3</v>
      </c>
      <c r="I44" s="109">
        <f>C6</f>
        <v>12696667793</v>
      </c>
      <c r="J44" s="120">
        <f>I44/I50*100</f>
        <v>75.965258238870419</v>
      </c>
      <c r="K44" s="109">
        <f>D6</f>
        <v>7807903883</v>
      </c>
      <c r="L44" s="127">
        <f>K44/K50</f>
        <v>0.7947429993960905</v>
      </c>
    </row>
    <row r="45" spans="1:12">
      <c r="A45" s="150" t="s">
        <v>125</v>
      </c>
      <c r="B45" s="17" t="s">
        <v>26</v>
      </c>
      <c r="C45" s="23">
        <f>C46+C47+C48+C49+C50+C520+C51</f>
        <v>5670817793</v>
      </c>
      <c r="D45" s="23">
        <f>D46+D47+D48+D49+D50+D520+D51</f>
        <v>4154540217</v>
      </c>
      <c r="H45" s="107" t="s">
        <v>4</v>
      </c>
      <c r="I45" s="109">
        <f>C7</f>
        <v>6959400000</v>
      </c>
      <c r="J45" s="120">
        <f>I45/I44*100</f>
        <v>54.812806899121171</v>
      </c>
      <c r="K45" s="109">
        <f>D7</f>
        <v>3637314860</v>
      </c>
      <c r="L45" s="127">
        <f>K45/K44</f>
        <v>0.46585036323506185</v>
      </c>
    </row>
    <row r="46" spans="1:12">
      <c r="A46" s="149"/>
      <c r="B46" s="15" t="s">
        <v>27</v>
      </c>
      <c r="C46" s="47">
        <v>0</v>
      </c>
      <c r="D46" s="47"/>
      <c r="E46" s="138">
        <f>5737267793-C37</f>
        <v>0</v>
      </c>
      <c r="H46" s="107" t="s">
        <v>5</v>
      </c>
      <c r="I46" s="109">
        <v>2300000000</v>
      </c>
      <c r="J46" s="120">
        <f>I46/I45*100</f>
        <v>33.048826048222544</v>
      </c>
      <c r="K46" s="109">
        <f>D8</f>
        <v>1720691026</v>
      </c>
      <c r="L46" s="127">
        <f>K46/K45</f>
        <v>0.47306628439639675</v>
      </c>
    </row>
    <row r="47" spans="1:12">
      <c r="A47" s="149"/>
      <c r="B47" s="15" t="s">
        <v>28</v>
      </c>
      <c r="C47" s="47">
        <f>0+3755217793</f>
        <v>3755217793</v>
      </c>
      <c r="D47" s="47">
        <v>3755217793</v>
      </c>
      <c r="H47" s="107" t="s">
        <v>8</v>
      </c>
      <c r="I47" s="109">
        <f>C12</f>
        <v>4424400000</v>
      </c>
      <c r="J47" s="120">
        <f>I47/I45*100</f>
        <v>63.57444607293732</v>
      </c>
      <c r="K47" s="109">
        <f>D12</f>
        <v>1916623834</v>
      </c>
      <c r="L47" s="127">
        <f>K47/K45</f>
        <v>0.52693371560360325</v>
      </c>
    </row>
    <row r="48" spans="1:12">
      <c r="A48" s="149"/>
      <c r="B48" s="15" t="s">
        <v>29</v>
      </c>
      <c r="C48" s="47">
        <v>0</v>
      </c>
      <c r="D48" s="47"/>
      <c r="H48" s="107" t="s">
        <v>20</v>
      </c>
      <c r="I48" s="109">
        <f>C37</f>
        <v>5737267793</v>
      </c>
      <c r="J48" s="121">
        <f>I48/I44*100</f>
        <v>45.187193100878822</v>
      </c>
      <c r="K48" s="109">
        <f>D37</f>
        <v>4170589023</v>
      </c>
      <c r="L48" s="127">
        <f>K48/K44</f>
        <v>0.5341496367649381</v>
      </c>
    </row>
    <row r="49" spans="1:12">
      <c r="A49" s="149"/>
      <c r="B49" s="15" t="s">
        <v>30</v>
      </c>
      <c r="C49" s="47">
        <v>0</v>
      </c>
      <c r="D49" s="47"/>
      <c r="H49" s="108" t="s">
        <v>33</v>
      </c>
      <c r="I49" s="109">
        <f>C56</f>
        <v>4017114385</v>
      </c>
      <c r="J49" s="120">
        <f>I49/I50*100</f>
        <v>24.034741761129585</v>
      </c>
      <c r="K49" s="109">
        <f>D56</f>
        <v>2016534821</v>
      </c>
      <c r="L49" s="127">
        <f>K49/K50</f>
        <v>0.2052570006039095</v>
      </c>
    </row>
    <row r="50" spans="1:12">
      <c r="A50" s="141"/>
      <c r="B50" s="15" t="s">
        <v>31</v>
      </c>
      <c r="C50" s="47">
        <v>0</v>
      </c>
      <c r="D50" s="47"/>
      <c r="H50" s="108" t="s">
        <v>35</v>
      </c>
      <c r="I50" s="109">
        <f>C60</f>
        <v>16713782178</v>
      </c>
      <c r="J50" s="109">
        <f>J44+J49</f>
        <v>100</v>
      </c>
      <c r="K50" s="109">
        <f>K44+K49</f>
        <v>9824438704</v>
      </c>
      <c r="L50" s="127">
        <f>K50/I50*100</f>
        <v>58.780463927139735</v>
      </c>
    </row>
    <row r="51" spans="1:12">
      <c r="A51" s="151" t="s">
        <v>125</v>
      </c>
      <c r="B51" s="79" t="s">
        <v>116</v>
      </c>
      <c r="C51" s="137">
        <f>C52+C53+C54</f>
        <v>1915600000</v>
      </c>
      <c r="D51" s="137">
        <v>399322424</v>
      </c>
      <c r="H51" s="134"/>
      <c r="I51" s="135"/>
      <c r="J51" s="135"/>
      <c r="K51" s="135"/>
      <c r="L51" s="136"/>
    </row>
    <row r="52" spans="1:12" ht="22.5">
      <c r="A52" s="152" t="s">
        <v>127</v>
      </c>
      <c r="B52" s="61" t="s">
        <v>117</v>
      </c>
      <c r="C52" s="47">
        <v>795600000</v>
      </c>
      <c r="D52" s="47">
        <v>83886464</v>
      </c>
      <c r="H52" s="134"/>
      <c r="I52" s="135"/>
      <c r="J52" s="135"/>
      <c r="K52" s="135"/>
      <c r="L52" s="136"/>
    </row>
    <row r="53" spans="1:12">
      <c r="A53" s="152" t="s">
        <v>126</v>
      </c>
      <c r="B53" s="15" t="s">
        <v>118</v>
      </c>
      <c r="C53" s="47">
        <v>1000000000</v>
      </c>
      <c r="D53" s="47">
        <v>315435778</v>
      </c>
      <c r="I53" s="111" t="s">
        <v>62</v>
      </c>
      <c r="J53" s="135"/>
      <c r="K53" s="135"/>
      <c r="L53" s="136"/>
    </row>
    <row r="54" spans="1:12" ht="22.5">
      <c r="A54" s="153" t="s">
        <v>132</v>
      </c>
      <c r="B54" s="61" t="s">
        <v>131</v>
      </c>
      <c r="C54" s="47">
        <v>120000000</v>
      </c>
      <c r="D54" s="47">
        <v>0</v>
      </c>
      <c r="H54" s="110"/>
      <c r="J54" s="135"/>
      <c r="K54" s="135"/>
      <c r="L54" s="136"/>
    </row>
    <row r="55" spans="1:12" ht="13.5" thickBot="1">
      <c r="A55" s="153"/>
      <c r="B55" s="17" t="s">
        <v>32</v>
      </c>
      <c r="C55" s="62">
        <v>0</v>
      </c>
      <c r="D55" s="62"/>
      <c r="H55" s="107" t="s">
        <v>3</v>
      </c>
      <c r="I55" s="166">
        <f>L44</f>
        <v>0.7947429993960905</v>
      </c>
      <c r="J55" s="168"/>
    </row>
    <row r="56" spans="1:12" ht="13.5" thickBot="1">
      <c r="A56" s="154" t="s">
        <v>105</v>
      </c>
      <c r="B56" s="18" t="s">
        <v>33</v>
      </c>
      <c r="C56" s="24">
        <f>SUM(C57:C58)</f>
        <v>4017114385</v>
      </c>
      <c r="D56" s="24">
        <f>SUM(D57:D58)</f>
        <v>2016534821</v>
      </c>
      <c r="E56" s="83">
        <f>(D56/C56)</f>
        <v>0.50198591021699279</v>
      </c>
      <c r="H56" s="107" t="s">
        <v>4</v>
      </c>
      <c r="I56" s="166"/>
      <c r="J56" s="165">
        <f>L45</f>
        <v>0.46585036323506185</v>
      </c>
    </row>
    <row r="57" spans="1:12">
      <c r="A57" s="155" t="s">
        <v>128</v>
      </c>
      <c r="B57" s="159" t="s">
        <v>34</v>
      </c>
      <c r="C57" s="162">
        <v>2936749000</v>
      </c>
      <c r="D57" s="162">
        <v>1136944440</v>
      </c>
      <c r="H57" s="107" t="s">
        <v>20</v>
      </c>
      <c r="I57" s="167"/>
      <c r="J57" s="168"/>
    </row>
    <row r="58" spans="1:12">
      <c r="A58" s="155"/>
      <c r="B58" s="160" t="s">
        <v>139</v>
      </c>
      <c r="C58" s="163">
        <v>1080365385</v>
      </c>
      <c r="D58" s="163">
        <v>879590381</v>
      </c>
      <c r="H58" s="108" t="s">
        <v>33</v>
      </c>
      <c r="I58" s="167">
        <f>L49</f>
        <v>0.2052570006039095</v>
      </c>
      <c r="J58" s="168"/>
    </row>
    <row r="59" spans="1:12" ht="13.5" thickBot="1">
      <c r="A59" s="156"/>
      <c r="B59" s="161" t="s">
        <v>141</v>
      </c>
      <c r="C59" s="164">
        <v>706118000</v>
      </c>
      <c r="D59" s="164">
        <v>706118000</v>
      </c>
      <c r="H59" s="108" t="s">
        <v>35</v>
      </c>
      <c r="I59" s="104">
        <f>I55+I58</f>
        <v>1</v>
      </c>
      <c r="J59" s="168"/>
    </row>
    <row r="60" spans="1:12" ht="13.5" thickBot="1">
      <c r="A60" s="157"/>
      <c r="B60" s="89" t="s">
        <v>35</v>
      </c>
      <c r="C60" s="90">
        <f>+C6+C56</f>
        <v>16713782178</v>
      </c>
      <c r="D60" s="91">
        <f>+D6+D56</f>
        <v>9824438704</v>
      </c>
      <c r="E60" s="83">
        <f>(D60/C60)</f>
        <v>0.58780463927139737</v>
      </c>
    </row>
    <row r="61" spans="1:12" ht="13.5" customHeight="1">
      <c r="A61" s="193"/>
      <c r="B61" s="193"/>
      <c r="C61" s="193"/>
      <c r="D61" s="193"/>
      <c r="F61" s="83"/>
    </row>
    <row r="62" spans="1:12" ht="13.5" customHeight="1">
      <c r="A62" s="194"/>
      <c r="B62" s="194"/>
      <c r="C62" s="194"/>
      <c r="D62" s="194"/>
      <c r="H62" s="78"/>
    </row>
    <row r="63" spans="1:12">
      <c r="A63" s="2"/>
      <c r="B63" s="2"/>
      <c r="C63" s="2"/>
      <c r="D63" s="2"/>
    </row>
    <row r="64" spans="1:12">
      <c r="A64" s="2"/>
      <c r="B64" s="2"/>
      <c r="C64" s="2"/>
      <c r="D64" s="2"/>
    </row>
    <row r="65" spans="1:5">
      <c r="A65" s="2"/>
      <c r="B65" s="2"/>
      <c r="C65" s="131"/>
      <c r="D65" s="131"/>
      <c r="E65" s="129"/>
    </row>
    <row r="66" spans="1:5">
      <c r="A66" s="2"/>
      <c r="B66" s="2"/>
      <c r="C66" s="2"/>
      <c r="D66" s="2"/>
    </row>
    <row r="67" spans="1:5" ht="25.5">
      <c r="A67" s="2"/>
      <c r="B67" s="2"/>
      <c r="C67" s="2"/>
      <c r="D67" s="133"/>
    </row>
    <row r="68" spans="1:5">
      <c r="A68" s="2"/>
      <c r="B68" s="2"/>
      <c r="C68" s="2"/>
      <c r="D68" s="2"/>
    </row>
  </sheetData>
  <mergeCells count="6">
    <mergeCell ref="A1:D1"/>
    <mergeCell ref="A61:D61"/>
    <mergeCell ref="A62:D62"/>
    <mergeCell ref="A2:D2"/>
    <mergeCell ref="A3:D3"/>
    <mergeCell ref="A4:D4"/>
  </mergeCells>
  <phoneticPr fontId="9" type="noConversion"/>
  <printOptions horizontalCentered="1" verticalCentered="1"/>
  <pageMargins left="0.98425196850393704" right="0.98425196850393704" top="0.98425196850393704" bottom="0.98425196850393704" header="0" footer="0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4" zoomScaleNormal="100" zoomScaleSheetLayoutView="100" workbookViewId="0">
      <selection activeCell="B31" sqref="B31"/>
    </sheetView>
  </sheetViews>
  <sheetFormatPr baseColWidth="10" defaultRowHeight="12.75"/>
  <cols>
    <col min="1" max="1" width="42" customWidth="1"/>
    <col min="2" max="2" width="17.140625" customWidth="1"/>
    <col min="3" max="3" width="18.28515625" customWidth="1"/>
    <col min="4" max="4" width="16.7109375" customWidth="1"/>
    <col min="5" max="5" width="19.140625" customWidth="1"/>
    <col min="6" max="6" width="18" customWidth="1"/>
    <col min="7" max="7" width="17.85546875" customWidth="1"/>
    <col min="9" max="9" width="20.7109375" customWidth="1"/>
    <col min="10" max="10" width="23.5703125" customWidth="1"/>
    <col min="11" max="11" width="15.28515625" customWidth="1"/>
    <col min="12" max="12" width="17.42578125" customWidth="1"/>
    <col min="13" max="13" width="9.42578125" customWidth="1"/>
  </cols>
  <sheetData>
    <row r="1" spans="1:13" ht="13.5" thickBot="1">
      <c r="A1" s="196" t="s">
        <v>56</v>
      </c>
      <c r="B1" s="196"/>
      <c r="C1" s="196"/>
      <c r="D1" s="196"/>
      <c r="E1" s="196"/>
      <c r="F1" s="196"/>
      <c r="G1" s="196"/>
    </row>
    <row r="2" spans="1:13">
      <c r="A2" s="198" t="s">
        <v>1</v>
      </c>
      <c r="B2" s="199"/>
      <c r="C2" s="199"/>
      <c r="D2" s="199"/>
      <c r="E2" s="199"/>
      <c r="F2" s="199"/>
      <c r="G2" s="200"/>
    </row>
    <row r="3" spans="1:13">
      <c r="A3" s="201" t="s">
        <v>69</v>
      </c>
      <c r="B3" s="195"/>
      <c r="C3" s="195"/>
      <c r="D3" s="195"/>
      <c r="E3" s="195"/>
      <c r="F3" s="195"/>
      <c r="G3" s="202"/>
    </row>
    <row r="4" spans="1:13" ht="13.5" thickBot="1">
      <c r="A4" s="3" t="s">
        <v>149</v>
      </c>
      <c r="B4" s="4"/>
      <c r="C4" s="103">
        <v>42093</v>
      </c>
      <c r="D4" s="4"/>
      <c r="E4" s="4"/>
      <c r="F4" s="4"/>
      <c r="G4" s="5"/>
    </row>
    <row r="5" spans="1:13" ht="33" customHeight="1" thickBot="1">
      <c r="A5" s="209" t="s">
        <v>36</v>
      </c>
      <c r="B5" s="203" t="s">
        <v>37</v>
      </c>
      <c r="C5" s="204"/>
      <c r="D5" s="205" t="s">
        <v>38</v>
      </c>
      <c r="E5" s="206"/>
      <c r="F5" s="207" t="s">
        <v>39</v>
      </c>
      <c r="G5" s="208"/>
      <c r="K5" s="180" t="s">
        <v>0</v>
      </c>
      <c r="L5" s="180" t="s">
        <v>63</v>
      </c>
      <c r="M5" s="181" t="s">
        <v>98</v>
      </c>
    </row>
    <row r="6" spans="1:13" ht="21.75" customHeight="1" thickBot="1">
      <c r="A6" s="210"/>
      <c r="B6" s="27" t="s">
        <v>0</v>
      </c>
      <c r="C6" s="28" t="s">
        <v>63</v>
      </c>
      <c r="D6" s="27" t="s">
        <v>0</v>
      </c>
      <c r="E6" s="28" t="s">
        <v>63</v>
      </c>
      <c r="F6" s="27" t="s">
        <v>0</v>
      </c>
      <c r="G6" s="28" t="s">
        <v>63</v>
      </c>
      <c r="J6" s="6" t="s">
        <v>74</v>
      </c>
      <c r="K6" s="177">
        <f>F23</f>
        <v>7922127575</v>
      </c>
      <c r="L6" s="177">
        <f>G23</f>
        <v>4296759954</v>
      </c>
      <c r="M6" s="127">
        <f>L6/K6*100</f>
        <v>54.237449641171679</v>
      </c>
    </row>
    <row r="7" spans="1:13" ht="13.5" thickBot="1">
      <c r="A7" s="6" t="s">
        <v>40</v>
      </c>
      <c r="B7" s="46">
        <v>888471007</v>
      </c>
      <c r="C7" s="46">
        <v>474833814</v>
      </c>
      <c r="D7" s="46">
        <v>2558189000</v>
      </c>
      <c r="E7" s="124">
        <v>1210296939</v>
      </c>
      <c r="F7" s="33">
        <f>+B7+D7</f>
        <v>3446660007</v>
      </c>
      <c r="G7" s="34">
        <f>+C7+E7</f>
        <v>1685130753</v>
      </c>
      <c r="I7" s="83"/>
      <c r="J7" s="178" t="s">
        <v>75</v>
      </c>
      <c r="K7" s="177">
        <f>F25</f>
        <v>8791834605</v>
      </c>
      <c r="L7" s="177">
        <f>C25</f>
        <v>4485833595</v>
      </c>
      <c r="M7" s="127">
        <f>L7/K7*100</f>
        <v>51.02272502315801</v>
      </c>
    </row>
    <row r="8" spans="1:13">
      <c r="A8" s="29" t="s">
        <v>41</v>
      </c>
      <c r="B8" s="35">
        <f>B9+B10</f>
        <v>1994513860</v>
      </c>
      <c r="C8" s="35">
        <f>C9+C10</f>
        <v>1019876986</v>
      </c>
      <c r="D8" s="35">
        <f>SUM(D9:D10)</f>
        <v>378560000</v>
      </c>
      <c r="E8" s="35">
        <f>E9+E10</f>
        <v>366007115</v>
      </c>
      <c r="F8" s="35">
        <f t="shared" ref="F8:F46" si="0">+B8+D8</f>
        <v>2373073860</v>
      </c>
      <c r="G8" s="36">
        <f t="shared" ref="G8:G47" si="1">+C8+E8</f>
        <v>1385884101</v>
      </c>
      <c r="J8" s="179" t="s">
        <v>73</v>
      </c>
      <c r="K8" s="177">
        <f>F48</f>
        <v>16713962180</v>
      </c>
      <c r="L8" s="177">
        <f>G48</f>
        <v>8782593549</v>
      </c>
      <c r="M8" s="127">
        <f>L8/K8*100</f>
        <v>52.546448618325158</v>
      </c>
    </row>
    <row r="9" spans="1:13" ht="13.5">
      <c r="A9" s="7" t="s">
        <v>59</v>
      </c>
      <c r="B9" s="63">
        <v>1956304745</v>
      </c>
      <c r="C9" s="63">
        <v>1019876986</v>
      </c>
      <c r="D9" s="63">
        <v>327798000</v>
      </c>
      <c r="E9" s="63">
        <v>327798000</v>
      </c>
      <c r="F9" s="50">
        <f t="shared" si="0"/>
        <v>2284102745</v>
      </c>
      <c r="G9" s="38">
        <f t="shared" si="1"/>
        <v>1347674986</v>
      </c>
    </row>
    <row r="10" spans="1:13" ht="14.25" thickBot="1">
      <c r="A10" s="8" t="s">
        <v>42</v>
      </c>
      <c r="B10" s="63">
        <f>10000000+28209115</f>
        <v>38209115</v>
      </c>
      <c r="C10" s="64">
        <v>0</v>
      </c>
      <c r="D10" s="63">
        <v>50762000</v>
      </c>
      <c r="E10" s="64">
        <v>38209115</v>
      </c>
      <c r="F10" s="53">
        <f t="shared" si="0"/>
        <v>88971115</v>
      </c>
      <c r="G10" s="40">
        <f t="shared" si="1"/>
        <v>38209115</v>
      </c>
    </row>
    <row r="11" spans="1:13">
      <c r="A11" s="29" t="s">
        <v>43</v>
      </c>
      <c r="B11" s="35">
        <f>+B12+B15+B18</f>
        <v>2102393708</v>
      </c>
      <c r="C11" s="35">
        <f>+C12+C15</f>
        <v>319214806</v>
      </c>
      <c r="D11" s="35">
        <f>+D12+D15+D18</f>
        <v>0</v>
      </c>
      <c r="E11" s="35">
        <f>+E12+E15+E18</f>
        <v>0</v>
      </c>
      <c r="F11" s="35">
        <f>+B11+D11</f>
        <v>2102393708</v>
      </c>
      <c r="G11" s="36">
        <f t="shared" si="1"/>
        <v>319214806</v>
      </c>
    </row>
    <row r="12" spans="1:13">
      <c r="A12" s="9" t="s">
        <v>44</v>
      </c>
      <c r="B12" s="41">
        <f>SUM(B13:B14)</f>
        <v>967864000</v>
      </c>
      <c r="C12" s="41">
        <f>SUM(C13+C14)</f>
        <v>319214806</v>
      </c>
      <c r="D12" s="41">
        <f>SUM(D13:D14)</f>
        <v>0</v>
      </c>
      <c r="E12" s="41">
        <f>SUM(E13:E14)</f>
        <v>0</v>
      </c>
      <c r="F12" s="41">
        <f t="shared" si="0"/>
        <v>967864000</v>
      </c>
      <c r="G12" s="42">
        <f t="shared" si="1"/>
        <v>319214806</v>
      </c>
    </row>
    <row r="13" spans="1:13" ht="13.5">
      <c r="A13" s="7" t="s">
        <v>46</v>
      </c>
      <c r="B13" s="63">
        <v>967864000</v>
      </c>
      <c r="C13" s="63">
        <v>319214806</v>
      </c>
      <c r="D13" s="63">
        <v>0</v>
      </c>
      <c r="E13" s="63">
        <v>0</v>
      </c>
      <c r="F13" s="50">
        <f t="shared" si="0"/>
        <v>967864000</v>
      </c>
      <c r="G13" s="38">
        <f t="shared" si="1"/>
        <v>319214806</v>
      </c>
    </row>
    <row r="14" spans="1:13" ht="13.5">
      <c r="A14" s="7" t="s">
        <v>70</v>
      </c>
      <c r="B14" s="63">
        <v>0</v>
      </c>
      <c r="C14" s="85">
        <v>0</v>
      </c>
      <c r="D14" s="63">
        <v>0</v>
      </c>
      <c r="E14" s="63">
        <v>0</v>
      </c>
      <c r="F14" s="50">
        <f t="shared" si="0"/>
        <v>0</v>
      </c>
      <c r="G14" s="51">
        <f>+C14+E14</f>
        <v>0</v>
      </c>
    </row>
    <row r="15" spans="1:13">
      <c r="A15" s="9" t="s">
        <v>47</v>
      </c>
      <c r="B15" s="41">
        <f>SUM(B16:B17)</f>
        <v>0</v>
      </c>
      <c r="C15" s="41">
        <f>SUM(C16:C17)</f>
        <v>0</v>
      </c>
      <c r="D15" s="41">
        <f>SUM(D16:D17)</f>
        <v>0</v>
      </c>
      <c r="E15" s="41">
        <f>SUM(E16:E17)</f>
        <v>0</v>
      </c>
      <c r="F15" s="41">
        <f t="shared" si="0"/>
        <v>0</v>
      </c>
      <c r="G15" s="42">
        <f t="shared" si="1"/>
        <v>0</v>
      </c>
    </row>
    <row r="16" spans="1:13">
      <c r="A16" s="7" t="s">
        <v>48</v>
      </c>
      <c r="B16" s="47">
        <v>0</v>
      </c>
      <c r="C16" s="47">
        <v>0</v>
      </c>
      <c r="D16" s="47">
        <v>0</v>
      </c>
      <c r="E16" s="47">
        <v>0</v>
      </c>
      <c r="F16" s="37">
        <f t="shared" si="0"/>
        <v>0</v>
      </c>
      <c r="G16" s="38">
        <f t="shared" si="1"/>
        <v>0</v>
      </c>
    </row>
    <row r="17" spans="1:10">
      <c r="A17" s="7" t="s">
        <v>49</v>
      </c>
      <c r="B17" s="47">
        <v>0</v>
      </c>
      <c r="C17" s="47">
        <v>0</v>
      </c>
      <c r="D17" s="47">
        <v>0</v>
      </c>
      <c r="E17" s="47">
        <v>0</v>
      </c>
      <c r="F17" s="37">
        <f t="shared" si="0"/>
        <v>0</v>
      </c>
      <c r="G17" s="38">
        <f t="shared" si="1"/>
        <v>0</v>
      </c>
    </row>
    <row r="18" spans="1:10">
      <c r="A18" s="9" t="s">
        <v>50</v>
      </c>
      <c r="B18" s="41">
        <f>B19+B21+B22</f>
        <v>1134529708</v>
      </c>
      <c r="C18" s="41">
        <f>+C19+C21+C22</f>
        <v>906530294</v>
      </c>
      <c r="D18" s="41">
        <f>+D19+D22</f>
        <v>0</v>
      </c>
      <c r="E18" s="41">
        <f>+E19+E22</f>
        <v>0</v>
      </c>
      <c r="F18" s="41">
        <f>+B18+D18</f>
        <v>1134529708</v>
      </c>
      <c r="G18" s="42">
        <f t="shared" si="1"/>
        <v>906530294</v>
      </c>
    </row>
    <row r="19" spans="1:10">
      <c r="A19" s="9" t="s">
        <v>51</v>
      </c>
      <c r="B19" s="41">
        <f>B20</f>
        <v>1111529708</v>
      </c>
      <c r="C19" s="41">
        <f>+C20</f>
        <v>894210294</v>
      </c>
      <c r="D19" s="41">
        <f>+D20</f>
        <v>0</v>
      </c>
      <c r="E19" s="41">
        <f>+E20</f>
        <v>0</v>
      </c>
      <c r="F19" s="41">
        <f t="shared" si="0"/>
        <v>1111529708</v>
      </c>
      <c r="G19" s="42">
        <f t="shared" si="1"/>
        <v>894210294</v>
      </c>
    </row>
    <row r="20" spans="1:10">
      <c r="A20" s="7" t="s">
        <v>52</v>
      </c>
      <c r="B20" s="47">
        <f>(297500000-265560675)+(365272029-165272029)+(2+879590381)</f>
        <v>1111529708</v>
      </c>
      <c r="C20" s="47">
        <v>894210294</v>
      </c>
      <c r="D20" s="47">
        <v>0</v>
      </c>
      <c r="E20" s="47">
        <v>0</v>
      </c>
      <c r="F20" s="37">
        <f>+B20+D20</f>
        <v>1111529708</v>
      </c>
      <c r="G20" s="37">
        <f>+C20+E20</f>
        <v>894210294</v>
      </c>
    </row>
    <row r="21" spans="1:10" ht="13.5">
      <c r="A21" s="7" t="s">
        <v>45</v>
      </c>
      <c r="B21" s="63">
        <v>10500000</v>
      </c>
      <c r="C21" s="63">
        <v>0</v>
      </c>
      <c r="D21" s="63">
        <v>0</v>
      </c>
      <c r="E21" s="63">
        <v>0</v>
      </c>
      <c r="F21" s="50">
        <f>+B21+D21</f>
        <v>10500000</v>
      </c>
      <c r="G21" s="38">
        <f>+C21+E21</f>
        <v>0</v>
      </c>
    </row>
    <row r="22" spans="1:10" ht="13.5" thickBot="1">
      <c r="A22" s="10" t="s">
        <v>72</v>
      </c>
      <c r="B22" s="48">
        <v>12500000</v>
      </c>
      <c r="C22" s="48">
        <v>12320000</v>
      </c>
      <c r="D22" s="48">
        <v>0</v>
      </c>
      <c r="E22" s="48">
        <v>0</v>
      </c>
      <c r="F22" s="39">
        <f t="shared" si="0"/>
        <v>12500000</v>
      </c>
      <c r="G22" s="40">
        <f t="shared" si="1"/>
        <v>12320000</v>
      </c>
    </row>
    <row r="23" spans="1:10" ht="13.5" thickBot="1">
      <c r="A23" s="6" t="s">
        <v>53</v>
      </c>
      <c r="B23" s="33">
        <f>B7+B8+B11</f>
        <v>4985378575</v>
      </c>
      <c r="C23" s="33">
        <f>+C7+C8+C11+C18</f>
        <v>2720455900</v>
      </c>
      <c r="D23" s="33">
        <f>+D7+D8+D11</f>
        <v>2936749000</v>
      </c>
      <c r="E23" s="33">
        <f>E7+E8</f>
        <v>1576304054</v>
      </c>
      <c r="F23" s="33">
        <f>+B23+D23</f>
        <v>7922127575</v>
      </c>
      <c r="G23" s="34">
        <f>E23+C23</f>
        <v>4296759954</v>
      </c>
      <c r="I23" s="83">
        <f>G23/F23</f>
        <v>0.54237449641171676</v>
      </c>
    </row>
    <row r="24" spans="1:10" ht="13.5" thickBot="1">
      <c r="A24" s="30"/>
      <c r="B24" s="43"/>
      <c r="C24" s="43"/>
      <c r="D24" s="43"/>
      <c r="E24" s="43"/>
      <c r="F24" s="44"/>
      <c r="G24" s="44"/>
    </row>
    <row r="25" spans="1:10" ht="13.5" thickBot="1">
      <c r="A25" s="6" t="s">
        <v>54</v>
      </c>
      <c r="B25" s="65">
        <f>B26+B30+B33+B37+B41+B44+B46</f>
        <v>8791834605</v>
      </c>
      <c r="C25" s="65">
        <f>C26+C30+C33+C37+C41+C44+C46</f>
        <v>4485833595</v>
      </c>
      <c r="D25" s="33"/>
      <c r="E25" s="33"/>
      <c r="F25" s="65">
        <f>+B25+D25</f>
        <v>8791834605</v>
      </c>
      <c r="G25" s="70">
        <f t="shared" si="1"/>
        <v>4485833595</v>
      </c>
      <c r="I25" s="83">
        <f>G25/F25</f>
        <v>0.51022725023158011</v>
      </c>
    </row>
    <row r="26" spans="1:10" ht="14.25" thickBot="1">
      <c r="A26" s="32" t="s">
        <v>78</v>
      </c>
      <c r="B26" s="57">
        <f>SUM(B27:B29)</f>
        <v>894729105</v>
      </c>
      <c r="C26" s="57">
        <f>SUM(C27:C29)</f>
        <v>275604520</v>
      </c>
      <c r="D26" s="57">
        <f>SUM(D27:D28)</f>
        <v>0</v>
      </c>
      <c r="E26" s="57">
        <f>SUM(E27:E28)</f>
        <v>0</v>
      </c>
      <c r="F26" s="71">
        <f t="shared" si="0"/>
        <v>894729105</v>
      </c>
      <c r="G26" s="72">
        <f t="shared" si="1"/>
        <v>275604520</v>
      </c>
    </row>
    <row r="27" spans="1:10" ht="26.25" thickBot="1">
      <c r="A27" s="81" t="s">
        <v>79</v>
      </c>
      <c r="B27" s="169">
        <v>326784376</v>
      </c>
      <c r="C27" s="170">
        <v>129717667</v>
      </c>
      <c r="D27" s="171">
        <v>0</v>
      </c>
      <c r="E27" s="171">
        <v>0</v>
      </c>
      <c r="F27" s="172">
        <f t="shared" si="0"/>
        <v>326784376</v>
      </c>
      <c r="G27" s="173">
        <f t="shared" si="1"/>
        <v>129717667</v>
      </c>
    </row>
    <row r="28" spans="1:10" ht="14.25" customHeight="1" thickBot="1">
      <c r="A28" s="82" t="s">
        <v>80</v>
      </c>
      <c r="B28" s="49">
        <v>348436427</v>
      </c>
      <c r="C28" s="52">
        <v>101555579</v>
      </c>
      <c r="D28" s="52">
        <v>0</v>
      </c>
      <c r="E28" s="52">
        <v>0</v>
      </c>
      <c r="F28" s="69">
        <f t="shared" si="0"/>
        <v>348436427</v>
      </c>
      <c r="G28" s="73">
        <f t="shared" si="1"/>
        <v>101555579</v>
      </c>
    </row>
    <row r="29" spans="1:10" ht="14.25" customHeight="1" thickBot="1">
      <c r="A29" s="114" t="s">
        <v>81</v>
      </c>
      <c r="B29" s="49">
        <v>219508302</v>
      </c>
      <c r="C29" s="52">
        <v>44331274</v>
      </c>
      <c r="D29" s="52"/>
      <c r="E29" s="52"/>
      <c r="F29" s="69"/>
      <c r="G29" s="73"/>
    </row>
    <row r="30" spans="1:10" ht="14.25" thickBot="1">
      <c r="A30" s="11" t="s">
        <v>82</v>
      </c>
      <c r="B30" s="56">
        <f>SUM(B31:B32)</f>
        <v>3604468324</v>
      </c>
      <c r="C30" s="57">
        <f>SUM(C31:C32)</f>
        <v>2061595541</v>
      </c>
      <c r="D30" s="57">
        <f>SUM(D31:D32)</f>
        <v>0</v>
      </c>
      <c r="E30" s="57">
        <f>SUM(E31:E32)</f>
        <v>0</v>
      </c>
      <c r="F30" s="74">
        <f t="shared" si="0"/>
        <v>3604468324</v>
      </c>
      <c r="G30" s="75">
        <f t="shared" si="1"/>
        <v>2061595541</v>
      </c>
    </row>
    <row r="31" spans="1:10" ht="26.25" thickBot="1">
      <c r="A31" s="82" t="s">
        <v>83</v>
      </c>
      <c r="B31" s="49">
        <v>1119228324</v>
      </c>
      <c r="C31" s="52">
        <v>196117699</v>
      </c>
      <c r="D31" s="52">
        <v>0</v>
      </c>
      <c r="E31" s="52">
        <v>0</v>
      </c>
      <c r="F31" s="69">
        <f t="shared" si="0"/>
        <v>1119228324</v>
      </c>
      <c r="G31" s="73">
        <f t="shared" si="1"/>
        <v>196117699</v>
      </c>
    </row>
    <row r="32" spans="1:10" ht="14.25" thickBot="1">
      <c r="A32" s="82" t="s">
        <v>84</v>
      </c>
      <c r="B32" s="49">
        <v>2485240000</v>
      </c>
      <c r="C32" s="52">
        <v>1865477842</v>
      </c>
      <c r="D32" s="52">
        <v>0</v>
      </c>
      <c r="E32" s="52">
        <v>0</v>
      </c>
      <c r="F32" s="69">
        <f t="shared" si="0"/>
        <v>2485240000</v>
      </c>
      <c r="G32" s="73">
        <f t="shared" si="1"/>
        <v>1865477842</v>
      </c>
      <c r="J32" s="138">
        <f>B23-3904833188</f>
        <v>1080545387</v>
      </c>
    </row>
    <row r="33" spans="1:11" ht="24" thickBot="1">
      <c r="A33" s="55" t="s">
        <v>85</v>
      </c>
      <c r="B33" s="66">
        <f>SUM(B34:B36)</f>
        <v>1704199183</v>
      </c>
      <c r="C33" s="57">
        <f>SUM(C34:C36)</f>
        <v>663578788</v>
      </c>
      <c r="D33" s="52">
        <f>SUM(D34:D35)</f>
        <v>0</v>
      </c>
      <c r="E33" s="52">
        <f>SUM(E34:E35)</f>
        <v>0</v>
      </c>
      <c r="F33" s="74">
        <f t="shared" si="0"/>
        <v>1704199183</v>
      </c>
      <c r="G33" s="75">
        <f t="shared" si="1"/>
        <v>663578788</v>
      </c>
      <c r="I33" s="129">
        <v>7529777751.9700003</v>
      </c>
    </row>
    <row r="34" spans="1:11" ht="14.25" thickBot="1">
      <c r="A34" s="54" t="s">
        <v>86</v>
      </c>
      <c r="B34" s="67">
        <v>864854220</v>
      </c>
      <c r="C34" s="52">
        <v>263016614</v>
      </c>
      <c r="D34" s="52">
        <v>0</v>
      </c>
      <c r="E34" s="52">
        <v>0</v>
      </c>
      <c r="F34" s="69">
        <f t="shared" si="0"/>
        <v>864854220</v>
      </c>
      <c r="G34" s="73">
        <f t="shared" si="1"/>
        <v>263016614</v>
      </c>
    </row>
    <row r="35" spans="1:11" ht="14.25" thickBot="1">
      <c r="A35" s="54" t="s">
        <v>87</v>
      </c>
      <c r="B35" s="67">
        <v>628784376</v>
      </c>
      <c r="C35" s="52">
        <v>315265404</v>
      </c>
      <c r="D35" s="52">
        <v>0</v>
      </c>
      <c r="E35" s="52">
        <v>0</v>
      </c>
      <c r="F35" s="69">
        <f t="shared" si="0"/>
        <v>628784376</v>
      </c>
      <c r="G35" s="73">
        <f t="shared" si="1"/>
        <v>315265404</v>
      </c>
      <c r="I35" s="128">
        <f>C25-I33</f>
        <v>-3043944156.9700003</v>
      </c>
    </row>
    <row r="36" spans="1:11" ht="14.25" thickBot="1">
      <c r="A36" s="54" t="s">
        <v>88</v>
      </c>
      <c r="B36" s="67">
        <v>210560587</v>
      </c>
      <c r="C36" s="52">
        <v>85296770</v>
      </c>
      <c r="D36" s="52"/>
      <c r="E36" s="52"/>
      <c r="F36" s="69"/>
      <c r="G36" s="73"/>
    </row>
    <row r="37" spans="1:11" ht="14.25" thickBot="1">
      <c r="A37" s="55" t="s">
        <v>89</v>
      </c>
      <c r="B37" s="66">
        <f>SUM(B38:B40)</f>
        <v>1319825002</v>
      </c>
      <c r="C37" s="57">
        <f>SUM(C38:C40)</f>
        <v>686025597</v>
      </c>
      <c r="D37" s="57">
        <f>SUM(D38:D39)</f>
        <v>0</v>
      </c>
      <c r="E37" s="57">
        <f>SUM(E38:E39)</f>
        <v>0</v>
      </c>
      <c r="F37" s="74">
        <f t="shared" si="0"/>
        <v>1319825002</v>
      </c>
      <c r="G37" s="75">
        <f>+C37+E37</f>
        <v>686025597</v>
      </c>
    </row>
    <row r="38" spans="1:11" ht="13.5">
      <c r="A38" s="94" t="s">
        <v>90</v>
      </c>
      <c r="B38" s="67">
        <f>326784376-18000000</f>
        <v>308784376</v>
      </c>
      <c r="C38" s="58">
        <v>213317522</v>
      </c>
      <c r="D38" s="58">
        <v>0</v>
      </c>
      <c r="E38" s="58">
        <v>0</v>
      </c>
      <c r="F38" s="68">
        <f t="shared" si="0"/>
        <v>308784376</v>
      </c>
      <c r="G38" s="95">
        <f t="shared" si="1"/>
        <v>213317522</v>
      </c>
    </row>
    <row r="39" spans="1:11" ht="13.5">
      <c r="A39" s="60" t="s">
        <v>91</v>
      </c>
      <c r="B39" s="86">
        <f>262320313+288400000</f>
        <v>550720313</v>
      </c>
      <c r="C39" s="86">
        <v>318273576</v>
      </c>
      <c r="D39" s="49">
        <v>0</v>
      </c>
      <c r="E39" s="49">
        <v>0</v>
      </c>
      <c r="F39" s="69">
        <f t="shared" si="0"/>
        <v>550720313</v>
      </c>
      <c r="G39" s="69">
        <f t="shared" si="1"/>
        <v>318273576</v>
      </c>
    </row>
    <row r="40" spans="1:11" ht="13.5">
      <c r="A40" s="115" t="s">
        <v>92</v>
      </c>
      <c r="B40" s="86">
        <f>262320313+180000000+18000000</f>
        <v>460320313</v>
      </c>
      <c r="C40" s="116">
        <v>154434499</v>
      </c>
      <c r="D40" s="117"/>
      <c r="E40" s="117"/>
      <c r="F40" s="118"/>
      <c r="G40" s="119"/>
    </row>
    <row r="41" spans="1:11" ht="14.25" thickBot="1">
      <c r="A41" s="96" t="s">
        <v>93</v>
      </c>
      <c r="B41" s="97">
        <f>SUM(B42:B43)</f>
        <v>524640626</v>
      </c>
      <c r="C41" s="98">
        <f>SUM(C42:C43)</f>
        <v>362076286</v>
      </c>
      <c r="D41" s="98">
        <f>SUM(D42:D43)</f>
        <v>0</v>
      </c>
      <c r="E41" s="98">
        <f>SUM(E42:E43)</f>
        <v>0</v>
      </c>
      <c r="F41" s="99">
        <f t="shared" si="0"/>
        <v>524640626</v>
      </c>
      <c r="G41" s="100">
        <f>+C41+E41</f>
        <v>362076286</v>
      </c>
    </row>
    <row r="42" spans="1:11" ht="14.25" thickBot="1">
      <c r="A42" s="54" t="s">
        <v>94</v>
      </c>
      <c r="B42" s="67">
        <v>262320313</v>
      </c>
      <c r="C42" s="52">
        <v>160062289</v>
      </c>
      <c r="D42" s="52">
        <v>0</v>
      </c>
      <c r="E42" s="52">
        <v>0</v>
      </c>
      <c r="F42" s="69">
        <f t="shared" si="0"/>
        <v>262320313</v>
      </c>
      <c r="G42" s="73">
        <f t="shared" si="1"/>
        <v>160062289</v>
      </c>
      <c r="K42" s="176">
        <f>983652939-G25</f>
        <v>-3502180656</v>
      </c>
    </row>
    <row r="43" spans="1:11" ht="14.25" thickBot="1">
      <c r="A43" s="60" t="s">
        <v>95</v>
      </c>
      <c r="B43" s="88">
        <v>262320313</v>
      </c>
      <c r="C43" s="87">
        <v>202013997</v>
      </c>
      <c r="D43" s="52">
        <v>0</v>
      </c>
      <c r="E43" s="52">
        <v>0</v>
      </c>
      <c r="F43" s="69">
        <f t="shared" si="0"/>
        <v>262320313</v>
      </c>
      <c r="G43" s="73">
        <f t="shared" si="1"/>
        <v>202013997</v>
      </c>
    </row>
    <row r="44" spans="1:11" ht="14.25" thickBot="1">
      <c r="A44" s="55" t="s">
        <v>96</v>
      </c>
      <c r="B44" s="66">
        <f>SUM(B45:B45)</f>
        <v>743972365</v>
      </c>
      <c r="C44" s="57">
        <f>SUM(C45:C45)</f>
        <v>436952863</v>
      </c>
      <c r="D44" s="57"/>
      <c r="E44" s="57"/>
      <c r="F44" s="69">
        <f t="shared" si="0"/>
        <v>743972365</v>
      </c>
      <c r="G44" s="73">
        <f t="shared" si="1"/>
        <v>436952863</v>
      </c>
    </row>
    <row r="45" spans="1:11" ht="25.5">
      <c r="A45" s="60" t="s">
        <v>97</v>
      </c>
      <c r="B45" s="86">
        <f>343972365+400000000</f>
        <v>743972365</v>
      </c>
      <c r="C45" s="87">
        <v>436952863</v>
      </c>
      <c r="D45" s="52">
        <v>0</v>
      </c>
      <c r="E45" s="52">
        <v>0</v>
      </c>
      <c r="F45" s="69">
        <f t="shared" si="0"/>
        <v>743972365</v>
      </c>
      <c r="G45" s="73">
        <f t="shared" si="1"/>
        <v>436952863</v>
      </c>
    </row>
    <row r="46" spans="1:11" ht="14.25" thickBot="1">
      <c r="A46" s="59" t="s">
        <v>140</v>
      </c>
      <c r="B46" s="174"/>
      <c r="C46" s="174"/>
      <c r="D46" s="190">
        <v>706118000</v>
      </c>
      <c r="E46" s="191">
        <v>706118000</v>
      </c>
      <c r="F46" s="175">
        <f t="shared" si="0"/>
        <v>706118000</v>
      </c>
      <c r="G46" s="73">
        <f t="shared" si="1"/>
        <v>706118000</v>
      </c>
    </row>
    <row r="47" spans="1:11" ht="14.25" thickBot="1">
      <c r="A47" s="31"/>
      <c r="B47" s="45"/>
      <c r="C47" s="45"/>
      <c r="D47" s="45"/>
      <c r="E47" s="45"/>
      <c r="F47" s="76"/>
      <c r="G47" s="73">
        <f t="shared" si="1"/>
        <v>0</v>
      </c>
    </row>
    <row r="48" spans="1:11" ht="13.5" thickBot="1">
      <c r="A48" s="6" t="s">
        <v>55</v>
      </c>
      <c r="B48" s="33">
        <f>B23+B25</f>
        <v>13777213180</v>
      </c>
      <c r="C48" s="33">
        <f>C23+C25</f>
        <v>7206289495</v>
      </c>
      <c r="D48" s="33">
        <f>D23+D25</f>
        <v>2936749000</v>
      </c>
      <c r="E48" s="33">
        <f>E23+E25</f>
        <v>1576304054</v>
      </c>
      <c r="F48" s="33">
        <f>F23+F25</f>
        <v>16713962180</v>
      </c>
      <c r="G48" s="42">
        <f>+C48+E48</f>
        <v>8782593549</v>
      </c>
      <c r="I48" s="84">
        <f>G48/F48</f>
        <v>0.52546448618325159</v>
      </c>
    </row>
    <row r="49" spans="1:7" ht="27.75" customHeight="1">
      <c r="A49" s="211"/>
      <c r="B49" s="212"/>
      <c r="C49" s="212"/>
      <c r="D49" s="212"/>
      <c r="E49" s="212"/>
      <c r="F49" s="212"/>
      <c r="G49" s="212"/>
    </row>
    <row r="50" spans="1:7" ht="32.25" customHeight="1">
      <c r="A50" s="197"/>
      <c r="B50" s="197"/>
      <c r="C50" s="197"/>
      <c r="D50" s="197"/>
      <c r="E50" s="197"/>
      <c r="F50" s="197"/>
      <c r="G50" s="197"/>
    </row>
    <row r="51" spans="1:7">
      <c r="A51" s="2"/>
      <c r="B51" s="2"/>
      <c r="C51" s="2"/>
      <c r="D51" s="130"/>
      <c r="E51" s="2"/>
      <c r="F51" s="2"/>
      <c r="G51" s="2"/>
    </row>
    <row r="52" spans="1:7">
      <c r="A52" s="2"/>
      <c r="B52" s="2"/>
      <c r="C52" s="131"/>
      <c r="D52" s="2"/>
      <c r="E52" s="131"/>
      <c r="G52" s="2"/>
    </row>
    <row r="53" spans="1:7">
      <c r="A53" s="2"/>
      <c r="B53" s="2"/>
      <c r="C53" s="2"/>
      <c r="D53" s="2"/>
      <c r="E53" s="2"/>
      <c r="F53" s="2"/>
      <c r="G53" s="2"/>
    </row>
    <row r="55" spans="1:7">
      <c r="E55" s="78"/>
    </row>
  </sheetData>
  <mergeCells count="9">
    <mergeCell ref="A1:G1"/>
    <mergeCell ref="A50:G50"/>
    <mergeCell ref="A2:G2"/>
    <mergeCell ref="A3:G3"/>
    <mergeCell ref="B5:C5"/>
    <mergeCell ref="D5:E5"/>
    <mergeCell ref="F5:G5"/>
    <mergeCell ref="A5:A6"/>
    <mergeCell ref="A49:G49"/>
  </mergeCells>
  <phoneticPr fontId="9" type="noConversion"/>
  <printOptions horizontalCentered="1" verticalCentered="1"/>
  <pageMargins left="0.78740157480314965" right="0.78740157480314965" top="0.98425196850393704" bottom="0.98425196850393704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F27" sqref="F27"/>
    </sheetView>
  </sheetViews>
  <sheetFormatPr baseColWidth="10" defaultRowHeight="12.75"/>
  <cols>
    <col min="2" max="2" width="19.7109375" customWidth="1"/>
    <col min="3" max="3" width="15.140625" customWidth="1"/>
    <col min="4" max="4" width="21.140625" customWidth="1"/>
    <col min="5" max="5" width="14.5703125" customWidth="1"/>
    <col min="6" max="6" width="13.85546875" bestFit="1" customWidth="1"/>
  </cols>
  <sheetData>
    <row r="3" spans="1:6">
      <c r="B3" t="s">
        <v>99</v>
      </c>
      <c r="C3" t="s">
        <v>98</v>
      </c>
      <c r="D3" t="s">
        <v>100</v>
      </c>
      <c r="E3" t="s">
        <v>98</v>
      </c>
    </row>
    <row r="4" spans="1:6">
      <c r="A4" s="108" t="s">
        <v>35</v>
      </c>
      <c r="B4" s="123">
        <f>'Anexo 5-1 Ingresos'!I50</f>
        <v>16713782178</v>
      </c>
      <c r="C4" s="109">
        <v>100</v>
      </c>
      <c r="D4" s="123">
        <f>'Anexo 5-1 Ingresos'!D60</f>
        <v>9824438704</v>
      </c>
      <c r="E4" s="122">
        <f>D4/B4*100</f>
        <v>58.780463927139735</v>
      </c>
    </row>
    <row r="6" spans="1:6">
      <c r="E6" t="s">
        <v>99</v>
      </c>
      <c r="F6" t="s">
        <v>100</v>
      </c>
    </row>
    <row r="7" spans="1:6">
      <c r="D7" s="113"/>
      <c r="E7" s="113">
        <f>C4</f>
        <v>100</v>
      </c>
      <c r="F7" s="122">
        <f>E4</f>
        <v>58.780463927139735</v>
      </c>
    </row>
    <row r="8" spans="1:6">
      <c r="E8" s="113"/>
      <c r="F8" s="1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baseColWidth="10" defaultRowHeight="12.75"/>
  <cols>
    <col min="1" max="1" width="17.28515625" customWidth="1"/>
    <col min="2" max="2" width="17.5703125" bestFit="1" customWidth="1"/>
  </cols>
  <sheetData>
    <row r="1" spans="1:2">
      <c r="A1" t="str">
        <f>'Anexo 5-1 Ingresos'!C5</f>
        <v>APROPIADO</v>
      </c>
      <c r="B1" s="129">
        <f>'Anexo 5-1 Ingresos'!C60</f>
        <v>16713782178</v>
      </c>
    </row>
    <row r="2" spans="1:2">
      <c r="A2" t="str">
        <f>'Anexo 5-1 Ingresos'!D5</f>
        <v>RECAUDADO</v>
      </c>
      <c r="B2" s="129">
        <f>'Anexo 5-1 Ingresos'!D60</f>
        <v>9824438704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E22"/>
  <sheetViews>
    <sheetView topLeftCell="A10" workbookViewId="0">
      <selection activeCell="G27" sqref="G27"/>
    </sheetView>
  </sheetViews>
  <sheetFormatPr baseColWidth="10" defaultRowHeight="12.75"/>
  <cols>
    <col min="1" max="1" width="23.140625" customWidth="1"/>
    <col min="2" max="2" width="17.5703125" bestFit="1" customWidth="1"/>
    <col min="3" max="3" width="5.7109375" customWidth="1"/>
    <col min="4" max="4" width="16.5703125" bestFit="1" customWidth="1"/>
    <col min="5" max="5" width="6.28515625" customWidth="1"/>
  </cols>
  <sheetData>
    <row r="15" spans="1:5">
      <c r="A15" s="168"/>
      <c r="B15" s="184" t="s">
        <v>146</v>
      </c>
      <c r="C15" s="184" t="s">
        <v>98</v>
      </c>
      <c r="D15" s="184" t="s">
        <v>147</v>
      </c>
      <c r="E15" s="184" t="s">
        <v>98</v>
      </c>
    </row>
    <row r="16" spans="1:5">
      <c r="A16" s="185" t="s">
        <v>142</v>
      </c>
      <c r="B16" s="186">
        <f>B17+B20</f>
        <v>12696667793</v>
      </c>
      <c r="C16" s="188">
        <f>B16/B22</f>
        <v>0.75965258238870415</v>
      </c>
      <c r="D16" s="186">
        <f>D17+D20</f>
        <v>7807903883</v>
      </c>
      <c r="E16" s="189">
        <f>D16/D22</f>
        <v>0.7947429993960905</v>
      </c>
    </row>
    <row r="17" spans="1:5">
      <c r="A17" s="185" t="s">
        <v>143</v>
      </c>
      <c r="B17" s="183">
        <f>SUM(B18:B19)</f>
        <v>6959400000</v>
      </c>
      <c r="C17" s="168"/>
      <c r="D17" s="183">
        <f>SUM(D18:D19)</f>
        <v>3637314860</v>
      </c>
      <c r="E17" s="168"/>
    </row>
    <row r="18" spans="1:5">
      <c r="A18" s="185" t="s">
        <v>5</v>
      </c>
      <c r="B18" s="182">
        <f>'Anexo 5-1 Ingresos'!C8</f>
        <v>2535000000</v>
      </c>
      <c r="C18" s="168"/>
      <c r="D18" s="182">
        <f>'Anexo 5-1 Ingresos'!D8</f>
        <v>1720691026</v>
      </c>
      <c r="E18" s="168"/>
    </row>
    <row r="19" spans="1:5">
      <c r="A19" s="185" t="s">
        <v>8</v>
      </c>
      <c r="B19" s="182">
        <f>'Anexo 5-1 Ingresos'!C12</f>
        <v>4424400000</v>
      </c>
      <c r="C19" s="168"/>
      <c r="D19" s="182">
        <f>'Anexo 5-1 Ingresos'!D12</f>
        <v>1916623834</v>
      </c>
      <c r="E19" s="168"/>
    </row>
    <row r="20" spans="1:5">
      <c r="A20" s="185" t="s">
        <v>144</v>
      </c>
      <c r="B20" s="182">
        <f>'Anexo 5-1 Ingresos'!C37</f>
        <v>5737267793</v>
      </c>
      <c r="C20" s="168"/>
      <c r="D20" s="182">
        <f>'Anexo 5-1 Ingresos'!D37</f>
        <v>4170589023</v>
      </c>
      <c r="E20" s="168"/>
    </row>
    <row r="21" spans="1:5">
      <c r="A21" s="185" t="s">
        <v>145</v>
      </c>
      <c r="B21" s="187">
        <f>'Anexo 5-1 Ingresos'!C56</f>
        <v>4017114385</v>
      </c>
      <c r="C21" s="188">
        <f>B21/B22</f>
        <v>0.24034741761129585</v>
      </c>
      <c r="D21" s="182">
        <f>'Anexo 5-1 Ingresos'!D56</f>
        <v>2016534821</v>
      </c>
      <c r="E21" s="189">
        <f>D21/D22</f>
        <v>0.2052570006039095</v>
      </c>
    </row>
    <row r="22" spans="1:5">
      <c r="A22" s="110" t="s">
        <v>148</v>
      </c>
      <c r="B22" s="186">
        <f>B16+B21</f>
        <v>16713782178</v>
      </c>
      <c r="C22" s="188">
        <v>1</v>
      </c>
      <c r="D22" s="186">
        <f>D16+D21</f>
        <v>9824438704</v>
      </c>
      <c r="E22" s="18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Anexo 5-1 Ingresos</vt:lpstr>
      <vt:lpstr>Anexo 5-2 Gastos</vt:lpstr>
      <vt:lpstr>Interpretacion de Resultados</vt:lpstr>
      <vt:lpstr>Hoja1</vt:lpstr>
      <vt:lpstr>Hoja2</vt:lpstr>
      <vt:lpstr>'Anexo 5-1 Ingresos'!Área_de_impresión</vt:lpstr>
      <vt:lpstr>'Anexo 5-2 Gastos'!Área_de_impresión</vt:lpstr>
      <vt:lpstr>'Anexo 5-1 Ingresos'!Títulos_a_imprimir</vt:lpstr>
      <vt:lpstr>'Anexo 5-2 Gastos'!Títulos_a_imprimir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Vargas</dc:creator>
  <cp:lastModifiedBy>Funcionario</cp:lastModifiedBy>
  <cp:lastPrinted>2015-07-17T15:14:53Z</cp:lastPrinted>
  <dcterms:created xsi:type="dcterms:W3CDTF">2004-01-28T22:51:19Z</dcterms:created>
  <dcterms:modified xsi:type="dcterms:W3CDTF">2015-07-24T18:33:17Z</dcterms:modified>
</cp:coreProperties>
</file>