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drawings/drawing6.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765" yWindow="4155" windowWidth="15105" windowHeight="9990" tabRatio="647" activeTab="4"/>
  </bookViews>
  <sheets>
    <sheet name="Datos Generales" sheetId="38" r:id="rId1"/>
    <sheet name="Anexo 1 Matriz Inf Gestión" sheetId="34" r:id="rId2"/>
    <sheet name="Anexo 2 Protocolo Inf Gestión" sheetId="35" r:id="rId3"/>
    <sheet name="Anexo 3 Matriz IMG" sheetId="19" r:id="rId4"/>
    <sheet name="Anexo 5-1 Ingresos" sheetId="36" r:id="rId5"/>
    <sheet name="Anexo 5-2 Gastos" sheetId="37" r:id="rId6"/>
    <sheet name="1POMCAS" sheetId="1" r:id="rId7"/>
    <sheet name="2PORH" sheetId="2" r:id="rId8"/>
    <sheet name="3PSMV" sheetId="3" r:id="rId9"/>
    <sheet name="4UsoAguas" sheetId="4" r:id="rId10"/>
    <sheet name="5PUEAA" sheetId="5" r:id="rId11"/>
    <sheet name="6POMCASejec" sheetId="6" r:id="rId12"/>
    <sheet name="7Clima" sheetId="8" r:id="rId13"/>
    <sheet name="8Suelo" sheetId="9" r:id="rId14"/>
    <sheet name="9RUNAP" sheetId="10" r:id="rId15"/>
    <sheet name="10Paramos" sheetId="11" r:id="rId16"/>
    <sheet name="11Forest" sheetId="12" r:id="rId17"/>
    <sheet name="12PlanesAP" sheetId="13" r:id="rId18"/>
    <sheet name="13Amenaz" sheetId="14" r:id="rId19"/>
    <sheet name="14Invasor" sheetId="15" r:id="rId20"/>
    <sheet name="15Restaura" sheetId="16" r:id="rId21"/>
    <sheet name="16MIZC" sheetId="17" r:id="rId22"/>
    <sheet name="17PGIRS" sheetId="18" r:id="rId23"/>
    <sheet name="18Sector" sheetId="20" r:id="rId24"/>
    <sheet name="19GAU" sheetId="21" r:id="rId25"/>
    <sheet name="20Negoc" sheetId="22" r:id="rId26"/>
    <sheet name="21TiempoT" sheetId="23" r:id="rId27"/>
    <sheet name="22Autor" sheetId="24" r:id="rId28"/>
    <sheet name="23Sanc" sheetId="25" r:id="rId29"/>
    <sheet name="24POT" sheetId="26" r:id="rId30"/>
    <sheet name="25Redes" sheetId="27" r:id="rId31"/>
    <sheet name="26SIAC" sheetId="28" r:id="rId32"/>
    <sheet name="27Educa" sheetId="29" r:id="rId33"/>
    <sheet name="Observa" sheetId="32" r:id="rId34"/>
    <sheet name="Formulas" sheetId="33" r:id="rId35"/>
    <sheet name="Obs Generales" sheetId="39" r:id="rId36"/>
  </sheets>
  <definedNames>
    <definedName name="_xlnm._FilterDatabase" localSheetId="8" hidden="1">'3PSMV'!$E$6:$E$75</definedName>
    <definedName name="_Toc467769469" localSheetId="7">'2PORH'!#REF!</definedName>
    <definedName name="_Toc467769470" localSheetId="8">'3PSMV'!#REF!</definedName>
    <definedName name="_Toc467769471" localSheetId="9">'4UsoAguas'!#REF!</definedName>
    <definedName name="_Toc467769472" localSheetId="10">'5PUEAA'!#REF!</definedName>
    <definedName name="_Toc467769473" localSheetId="11">'6POMCASejec'!#REF!</definedName>
    <definedName name="_Toc467769474" localSheetId="12">'7Clima'!#REF!</definedName>
    <definedName name="_Toc467769475" localSheetId="13">'8Suelo'!#REF!</definedName>
    <definedName name="_Toc467769476" localSheetId="14">'9RUNAP'!$B$6</definedName>
    <definedName name="_Toc467769477" localSheetId="15">'10Paramos'!#REF!</definedName>
    <definedName name="_Toc467769478" localSheetId="16">'11Forest'!#REF!</definedName>
    <definedName name="_Toc467769479" localSheetId="17">'12PlanesAP'!#REF!</definedName>
    <definedName name="_Toc467769480" localSheetId="18">'13Amenaz'!#REF!</definedName>
    <definedName name="_Toc467769481" localSheetId="19">'14Invasor'!#REF!</definedName>
    <definedName name="_Toc467769482" localSheetId="20">'15Restaura'!#REF!</definedName>
    <definedName name="_Toc467769483" localSheetId="21">'16MIZC'!#REF!</definedName>
    <definedName name="_Toc467769484" localSheetId="22">'17PGIRS'!#REF!</definedName>
    <definedName name="_Toc467769485" localSheetId="23">'18Sector'!#REF!</definedName>
    <definedName name="_Toc467769486" localSheetId="24">'19GAU'!#REF!</definedName>
    <definedName name="_Toc467769487" localSheetId="25">'20Negoc'!#REF!</definedName>
    <definedName name="_Toc467769488" localSheetId="26">'21TiempoT'!#REF!</definedName>
    <definedName name="_Toc467769489" localSheetId="27">'22Autor'!#REF!</definedName>
    <definedName name="_Toc467769490" localSheetId="28">'23Sanc'!#REF!</definedName>
    <definedName name="_Toc467769491" localSheetId="29">'24POT'!#REF!</definedName>
    <definedName name="_Toc467769492" localSheetId="30">'25Redes'!#REF!</definedName>
    <definedName name="_Toc467769493" localSheetId="31">'26SIAC'!#REF!</definedName>
    <definedName name="_Toc467769494" localSheetId="32">'27Educa'!#REF!</definedName>
    <definedName name="_xlnm.Print_Area" localSheetId="1">'Anexo 1 Matriz Inf Gestión'!$A$2:$R$2</definedName>
    <definedName name="_xlnm.Print_Area" localSheetId="2">'Anexo 2 Protocolo Inf Gestión'!$A$1:$B$23</definedName>
    <definedName name="_xlnm.Print_Area" localSheetId="4">'Anexo 5-1 Ingresos'!$A$2:$D$2</definedName>
    <definedName name="_xlnm.Print_Area" localSheetId="5">'Anexo 5-2 Gastos'!$A$1:$L$2</definedName>
    <definedName name="Lista_CAR">'Datos Generales'!$H$5:$H$36</definedName>
    <definedName name="REPORTE" comment="SI SE REPORTA">Formulas!$F$33:$F$34</definedName>
    <definedName name="SI" comment="OPCION SI O NO">Formulas!$D$33:$D$34</definedName>
    <definedName name="Vigencias">'Datos Generales'!$H$38:$H$45</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 i="27" l="1"/>
  <c r="E12" i="12" l="1"/>
  <c r="N48" i="34" l="1"/>
  <c r="N49" i="34"/>
  <c r="N66" i="34"/>
  <c r="H109" i="34"/>
  <c r="H111" i="34"/>
  <c r="M34" i="34" l="1"/>
  <c r="H34" i="34" l="1"/>
  <c r="J25" i="29" l="1"/>
  <c r="J24" i="29"/>
  <c r="I25" i="29"/>
  <c r="I24" i="29"/>
  <c r="H25" i="29"/>
  <c r="H24" i="29"/>
  <c r="T79" i="34" l="1"/>
  <c r="T88" i="34"/>
  <c r="T80" i="34"/>
  <c r="T77" i="34"/>
  <c r="T75" i="34"/>
  <c r="T72" i="34"/>
  <c r="T70" i="34"/>
  <c r="T67" i="34" l="1"/>
  <c r="T60" i="34" l="1"/>
  <c r="T31" i="34"/>
  <c r="T19" i="34" l="1"/>
  <c r="T40" i="34" l="1"/>
  <c r="T9" i="34" l="1"/>
  <c r="T25" i="34"/>
  <c r="D58" i="36" l="1"/>
  <c r="F19" i="25" l="1"/>
  <c r="F18" i="25"/>
  <c r="I34" i="20" l="1"/>
  <c r="I33" i="20"/>
  <c r="I32" i="20"/>
  <c r="I31" i="20"/>
  <c r="I30" i="20"/>
  <c r="I29" i="20"/>
  <c r="I28" i="20"/>
  <c r="I27" i="20"/>
  <c r="B39" i="37" l="1"/>
  <c r="B32" i="37"/>
  <c r="B28" i="37"/>
  <c r="B29" i="37"/>
  <c r="B10" i="37"/>
  <c r="B8" i="37"/>
  <c r="D49" i="36"/>
  <c r="C49" i="36"/>
  <c r="E29" i="36"/>
  <c r="E30" i="36"/>
  <c r="E31" i="36"/>
  <c r="F21" i="23"/>
  <c r="E52" i="23"/>
  <c r="G52" i="23"/>
  <c r="F18" i="22"/>
  <c r="F19" i="22"/>
  <c r="D62" i="1"/>
  <c r="D80" i="1"/>
  <c r="H80" i="1"/>
  <c r="E62" i="1"/>
  <c r="E80" i="1"/>
  <c r="F62" i="1"/>
  <c r="F80" i="1" s="1"/>
  <c r="G80" i="1"/>
  <c r="I80" i="1"/>
  <c r="J80" i="1"/>
  <c r="D63" i="1"/>
  <c r="D81" i="1" s="1"/>
  <c r="E63" i="1"/>
  <c r="E81" i="1"/>
  <c r="F63" i="1"/>
  <c r="F81" i="1" s="1"/>
  <c r="G81" i="1"/>
  <c r="I81" i="1"/>
  <c r="J81" i="1"/>
  <c r="D64" i="1"/>
  <c r="D82" i="1"/>
  <c r="E64" i="1"/>
  <c r="E82" i="1" s="1"/>
  <c r="I99" i="1" s="1"/>
  <c r="F64" i="1"/>
  <c r="F82" i="1"/>
  <c r="G82" i="1"/>
  <c r="I82" i="1"/>
  <c r="J82" i="1"/>
  <c r="D65" i="1"/>
  <c r="D83" i="1"/>
  <c r="E65" i="1"/>
  <c r="E83" i="1" s="1"/>
  <c r="F65" i="1"/>
  <c r="F83" i="1"/>
  <c r="G83" i="1"/>
  <c r="I83" i="1"/>
  <c r="J83" i="1"/>
  <c r="D66" i="1"/>
  <c r="D84" i="1" s="1"/>
  <c r="E66" i="1"/>
  <c r="E84" i="1"/>
  <c r="F66" i="1"/>
  <c r="F84" i="1" s="1"/>
  <c r="G84" i="1"/>
  <c r="I84" i="1"/>
  <c r="J84" i="1"/>
  <c r="D67" i="1"/>
  <c r="D85" i="1" s="1"/>
  <c r="E67" i="1"/>
  <c r="E85" i="1"/>
  <c r="F67" i="1"/>
  <c r="F85" i="1" s="1"/>
  <c r="G85" i="1"/>
  <c r="I85" i="1"/>
  <c r="J85" i="1"/>
  <c r="D68" i="1"/>
  <c r="D86" i="1"/>
  <c r="E68" i="1"/>
  <c r="E86" i="1" s="1"/>
  <c r="F68" i="1"/>
  <c r="F86" i="1"/>
  <c r="G86" i="1"/>
  <c r="I86" i="1"/>
  <c r="J86" i="1"/>
  <c r="D69" i="1"/>
  <c r="D87" i="1"/>
  <c r="E69" i="1"/>
  <c r="E87" i="1" s="1"/>
  <c r="F69" i="1"/>
  <c r="F87" i="1"/>
  <c r="G87" i="1"/>
  <c r="I87" i="1"/>
  <c r="J87" i="1"/>
  <c r="D70" i="1"/>
  <c r="D88" i="1" s="1"/>
  <c r="E70" i="1"/>
  <c r="E88" i="1"/>
  <c r="F70" i="1"/>
  <c r="F88" i="1" s="1"/>
  <c r="G88" i="1"/>
  <c r="I88" i="1"/>
  <c r="J88" i="1"/>
  <c r="D71" i="1"/>
  <c r="D89" i="1" s="1"/>
  <c r="E71" i="1"/>
  <c r="E89" i="1"/>
  <c r="F71" i="1"/>
  <c r="F89" i="1" s="1"/>
  <c r="G89" i="1"/>
  <c r="I89" i="1"/>
  <c r="J89" i="1"/>
  <c r="D72" i="1"/>
  <c r="D90" i="1"/>
  <c r="E72" i="1"/>
  <c r="E90" i="1" s="1"/>
  <c r="F72" i="1"/>
  <c r="F90" i="1"/>
  <c r="G90" i="1"/>
  <c r="I90" i="1"/>
  <c r="J90" i="1"/>
  <c r="D73" i="1"/>
  <c r="D91" i="1"/>
  <c r="E73" i="1"/>
  <c r="E91" i="1" s="1"/>
  <c r="F73" i="1"/>
  <c r="F91" i="1"/>
  <c r="G91" i="1"/>
  <c r="I91" i="1"/>
  <c r="J91" i="1"/>
  <c r="D74" i="1"/>
  <c r="D92" i="1" s="1"/>
  <c r="E74" i="1"/>
  <c r="E92" i="1"/>
  <c r="F74" i="1"/>
  <c r="F92" i="1" s="1"/>
  <c r="G92" i="1"/>
  <c r="I92" i="1"/>
  <c r="J92" i="1"/>
  <c r="D75" i="1"/>
  <c r="D93" i="1" s="1"/>
  <c r="E75" i="1"/>
  <c r="E93" i="1"/>
  <c r="F75" i="1"/>
  <c r="F93" i="1" s="1"/>
  <c r="G93" i="1"/>
  <c r="I93" i="1"/>
  <c r="J93" i="1"/>
  <c r="H81" i="1"/>
  <c r="H82" i="1"/>
  <c r="H83" i="1"/>
  <c r="H84" i="1"/>
  <c r="H85" i="1"/>
  <c r="H86" i="1"/>
  <c r="H87" i="1"/>
  <c r="H88" i="1"/>
  <c r="H89" i="1"/>
  <c r="H90" i="1"/>
  <c r="H91" i="1"/>
  <c r="H92" i="1"/>
  <c r="H93" i="1"/>
  <c r="F24" i="24"/>
  <c r="E117" i="24"/>
  <c r="G117" i="24"/>
  <c r="F55" i="24"/>
  <c r="E118" i="24" s="1"/>
  <c r="G118" i="24" s="1"/>
  <c r="F76" i="24"/>
  <c r="E119" i="24" s="1"/>
  <c r="G119" i="24" s="1"/>
  <c r="F94" i="24"/>
  <c r="E120" i="24"/>
  <c r="G120" i="24" s="1"/>
  <c r="F114" i="24"/>
  <c r="E121" i="24"/>
  <c r="G121" i="24"/>
  <c r="F22" i="3"/>
  <c r="D8" i="3" s="1"/>
  <c r="H81" i="34" s="1"/>
  <c r="F22" i="5"/>
  <c r="D8" i="5" s="1"/>
  <c r="H82" i="34" s="1"/>
  <c r="F22" i="18"/>
  <c r="D8" i="18" s="1"/>
  <c r="H83" i="34" s="1"/>
  <c r="F42" i="23"/>
  <c r="E55" i="23" s="1"/>
  <c r="F49" i="23"/>
  <c r="E56" i="23"/>
  <c r="F35" i="23"/>
  <c r="E54" i="23" s="1"/>
  <c r="I87" i="34"/>
  <c r="I91" i="34"/>
  <c r="F21" i="25"/>
  <c r="D8" i="25" s="1"/>
  <c r="H86" i="34" s="1"/>
  <c r="I89" i="34"/>
  <c r="I90" i="34"/>
  <c r="I92" i="34"/>
  <c r="I93" i="34"/>
  <c r="F21" i="16"/>
  <c r="F22" i="16" s="1"/>
  <c r="D8" i="16" s="1"/>
  <c r="H54" i="34" s="1"/>
  <c r="M54" i="34" s="1"/>
  <c r="Q21" i="14"/>
  <c r="Q20" i="14"/>
  <c r="Q22" i="14"/>
  <c r="D8" i="14"/>
  <c r="H62" i="34" s="1"/>
  <c r="I65" i="34"/>
  <c r="E37" i="22"/>
  <c r="E38" i="22"/>
  <c r="E39" i="22"/>
  <c r="E36" i="22"/>
  <c r="E42" i="22" s="1"/>
  <c r="D8" i="22" s="1"/>
  <c r="H68" i="34" s="1"/>
  <c r="E40" i="22"/>
  <c r="E41" i="22"/>
  <c r="F95" i="10"/>
  <c r="F94" i="10"/>
  <c r="F96" i="10"/>
  <c r="D9" i="10" s="1"/>
  <c r="H50" i="34" s="1"/>
  <c r="F19" i="9"/>
  <c r="D8" i="9" s="1"/>
  <c r="H52" i="34" s="1"/>
  <c r="G19" i="13"/>
  <c r="G20" i="13" s="1"/>
  <c r="D8" i="13" s="1"/>
  <c r="H53" i="34" s="1"/>
  <c r="G18" i="13"/>
  <c r="I56" i="34"/>
  <c r="I58" i="34"/>
  <c r="I59" i="34"/>
  <c r="G20" i="15"/>
  <c r="K20" i="15" s="1"/>
  <c r="J20" i="15"/>
  <c r="G19" i="15"/>
  <c r="K19" i="15" s="1"/>
  <c r="J19" i="15"/>
  <c r="I64" i="34"/>
  <c r="I66" i="34"/>
  <c r="I36" i="34"/>
  <c r="I35" i="34"/>
  <c r="I32" i="34"/>
  <c r="I30" i="34" s="1"/>
  <c r="I37" i="34"/>
  <c r="I38" i="34"/>
  <c r="I39" i="34"/>
  <c r="I41" i="34"/>
  <c r="I42" i="34"/>
  <c r="I43" i="34"/>
  <c r="I44" i="34"/>
  <c r="I45" i="34"/>
  <c r="I46" i="34"/>
  <c r="I47" i="34"/>
  <c r="I14" i="34"/>
  <c r="I15" i="34"/>
  <c r="I16" i="34"/>
  <c r="I17" i="34"/>
  <c r="I18" i="34"/>
  <c r="I23" i="34"/>
  <c r="F17" i="26"/>
  <c r="D7" i="26" s="1"/>
  <c r="F19" i="8"/>
  <c r="D8" i="8" s="1"/>
  <c r="J20" i="27"/>
  <c r="E24" i="27"/>
  <c r="E25" i="27" s="1"/>
  <c r="E79" i="27" s="1"/>
  <c r="I20" i="27"/>
  <c r="E23" i="27" s="1"/>
  <c r="E46" i="27"/>
  <c r="E47" i="27" s="1"/>
  <c r="H47" i="27" s="1"/>
  <c r="H48" i="27" s="1"/>
  <c r="E73" i="27" s="1"/>
  <c r="E75" i="27" s="1"/>
  <c r="E80" i="27" s="1"/>
  <c r="F46" i="27"/>
  <c r="F47" i="27"/>
  <c r="G46" i="27"/>
  <c r="G47" i="27" s="1"/>
  <c r="H43" i="27"/>
  <c r="E68" i="27"/>
  <c r="E69" i="27"/>
  <c r="H69" i="27" s="1"/>
  <c r="H70" i="27" s="1"/>
  <c r="E74" i="27" s="1"/>
  <c r="H65" i="27"/>
  <c r="I22" i="34"/>
  <c r="I24" i="34"/>
  <c r="I27" i="34"/>
  <c r="I28" i="34"/>
  <c r="M93" i="34"/>
  <c r="M92" i="34"/>
  <c r="M91" i="34"/>
  <c r="M90" i="34"/>
  <c r="M89" i="34"/>
  <c r="M87" i="34"/>
  <c r="E36" i="29"/>
  <c r="E37" i="29"/>
  <c r="E39" i="29"/>
  <c r="E40" i="29"/>
  <c r="E41" i="29"/>
  <c r="F20" i="20"/>
  <c r="D8" i="20" s="1"/>
  <c r="H73" i="34" s="1"/>
  <c r="I23" i="21"/>
  <c r="I24" i="21"/>
  <c r="E23" i="33" s="1"/>
  <c r="I35" i="21" s="1"/>
  <c r="D8" i="21" s="1"/>
  <c r="I25" i="21"/>
  <c r="I26" i="21"/>
  <c r="I27" i="21"/>
  <c r="I28" i="21"/>
  <c r="I29" i="21"/>
  <c r="I30" i="21"/>
  <c r="I31" i="21"/>
  <c r="I32" i="21"/>
  <c r="I33" i="21"/>
  <c r="I34" i="21"/>
  <c r="M41" i="34"/>
  <c r="M27" i="34"/>
  <c r="M17" i="34"/>
  <c r="M16" i="34"/>
  <c r="M15" i="34"/>
  <c r="E21" i="28"/>
  <c r="E30" i="28" s="1"/>
  <c r="D8" i="28" s="1"/>
  <c r="H13" i="34" s="1"/>
  <c r="F21" i="28"/>
  <c r="G21" i="28"/>
  <c r="E27" i="28"/>
  <c r="F27" i="28"/>
  <c r="M66" i="34"/>
  <c r="M65" i="34"/>
  <c r="M64" i="34"/>
  <c r="M61" i="34"/>
  <c r="M59" i="34"/>
  <c r="M58" i="34"/>
  <c r="M57" i="34"/>
  <c r="M56" i="34"/>
  <c r="M55" i="34"/>
  <c r="N55" i="34" s="1"/>
  <c r="M46" i="34"/>
  <c r="M45" i="34"/>
  <c r="M44" i="34"/>
  <c r="M43" i="34"/>
  <c r="M42" i="34"/>
  <c r="M39" i="34"/>
  <c r="M38" i="34"/>
  <c r="M37" i="34"/>
  <c r="M36" i="34"/>
  <c r="M35" i="34"/>
  <c r="M33" i="34"/>
  <c r="M24" i="34"/>
  <c r="M23" i="34"/>
  <c r="M22" i="34"/>
  <c r="M29" i="34"/>
  <c r="M28" i="34"/>
  <c r="M26" i="34"/>
  <c r="M18" i="34"/>
  <c r="M14" i="34"/>
  <c r="F18" i="11"/>
  <c r="F20" i="11"/>
  <c r="D8" i="11" s="1"/>
  <c r="H11" i="34" s="1"/>
  <c r="M11" i="34" s="1"/>
  <c r="N11" i="34" s="1"/>
  <c r="E26" i="36"/>
  <c r="E28" i="36"/>
  <c r="B35" i="37"/>
  <c r="B36" i="37"/>
  <c r="B14" i="37"/>
  <c r="B37" i="37"/>
  <c r="F9" i="37"/>
  <c r="F24" i="37"/>
  <c r="C13" i="37"/>
  <c r="C12" i="37" s="1"/>
  <c r="C16" i="37"/>
  <c r="C20" i="37"/>
  <c r="C19" i="37" s="1"/>
  <c r="C9" i="37"/>
  <c r="I24" i="37"/>
  <c r="C27" i="37"/>
  <c r="C31" i="37"/>
  <c r="C26" i="37" s="1"/>
  <c r="C34" i="37"/>
  <c r="C38" i="37"/>
  <c r="C41" i="37"/>
  <c r="C44" i="37"/>
  <c r="F27" i="37"/>
  <c r="F31" i="37"/>
  <c r="F34" i="37"/>
  <c r="F38" i="37"/>
  <c r="F41" i="37"/>
  <c r="F44" i="37"/>
  <c r="F26" i="37"/>
  <c r="I27" i="37"/>
  <c r="I26" i="37" s="1"/>
  <c r="I31" i="37"/>
  <c r="I34" i="37"/>
  <c r="I38" i="37"/>
  <c r="I41" i="37"/>
  <c r="I44" i="37"/>
  <c r="D27" i="37"/>
  <c r="D31" i="37"/>
  <c r="D34" i="37"/>
  <c r="D38" i="37"/>
  <c r="D41" i="37"/>
  <c r="D44" i="37"/>
  <c r="G27" i="37"/>
  <c r="G31" i="37"/>
  <c r="G34" i="37"/>
  <c r="G38" i="37"/>
  <c r="G41" i="37"/>
  <c r="G44" i="37"/>
  <c r="G26" i="37"/>
  <c r="J27" i="37"/>
  <c r="J31" i="37"/>
  <c r="M31" i="37" s="1"/>
  <c r="J34" i="37"/>
  <c r="J38" i="37"/>
  <c r="M38" i="37" s="1"/>
  <c r="J41" i="37"/>
  <c r="J44" i="37"/>
  <c r="M29" i="37"/>
  <c r="L30" i="37"/>
  <c r="L29" i="37"/>
  <c r="L28" i="37"/>
  <c r="Q9" i="34" s="1"/>
  <c r="B43" i="37"/>
  <c r="K43" i="37"/>
  <c r="B42" i="37"/>
  <c r="K42" i="37" s="1"/>
  <c r="P75" i="34" s="1"/>
  <c r="K40" i="37"/>
  <c r="K39" i="37"/>
  <c r="H34" i="37"/>
  <c r="H27" i="37"/>
  <c r="B45" i="37"/>
  <c r="K45" i="37" s="1"/>
  <c r="P80" i="34" s="1"/>
  <c r="D22" i="39" s="1"/>
  <c r="M45" i="37"/>
  <c r="L45" i="37"/>
  <c r="M46" i="37"/>
  <c r="L46" i="37"/>
  <c r="Q88" i="34" s="1"/>
  <c r="B46" i="37"/>
  <c r="K46" i="37" s="1"/>
  <c r="P88" i="34" s="1"/>
  <c r="M43" i="37"/>
  <c r="M42" i="37"/>
  <c r="L43" i="37"/>
  <c r="L42" i="37"/>
  <c r="M40" i="37"/>
  <c r="L40" i="37"/>
  <c r="M39" i="37"/>
  <c r="L39" i="37"/>
  <c r="M36" i="37"/>
  <c r="M37" i="37"/>
  <c r="M35" i="37"/>
  <c r="L36" i="37"/>
  <c r="L37" i="37"/>
  <c r="L35" i="37"/>
  <c r="Q49" i="34" s="1"/>
  <c r="M33" i="37"/>
  <c r="L33" i="37"/>
  <c r="Q40" i="34" s="1"/>
  <c r="M32" i="37"/>
  <c r="L32" i="37"/>
  <c r="M30" i="37"/>
  <c r="M28" i="37"/>
  <c r="K36" i="37"/>
  <c r="P60" i="34" s="1"/>
  <c r="D13" i="39" s="1"/>
  <c r="K37" i="37"/>
  <c r="P67" i="34" s="1"/>
  <c r="K35" i="37"/>
  <c r="P49" i="34" s="1"/>
  <c r="T49" i="34" s="1"/>
  <c r="K33" i="37"/>
  <c r="K32" i="37"/>
  <c r="P31" i="34" s="1"/>
  <c r="K29" i="37"/>
  <c r="K30" i="37"/>
  <c r="K28" i="37"/>
  <c r="P9" i="34" s="1"/>
  <c r="P19" i="34"/>
  <c r="E20" i="10"/>
  <c r="H35" i="20"/>
  <c r="I35" i="20"/>
  <c r="J35" i="20"/>
  <c r="G35" i="20"/>
  <c r="D8" i="12"/>
  <c r="F23" i="4"/>
  <c r="D8" i="4"/>
  <c r="G41" i="22"/>
  <c r="G40" i="22"/>
  <c r="G39" i="22"/>
  <c r="G36" i="22"/>
  <c r="G37" i="22"/>
  <c r="G38" i="22"/>
  <c r="H24" i="37"/>
  <c r="J24" i="37"/>
  <c r="L8" i="37"/>
  <c r="M8" i="37"/>
  <c r="K8" i="37"/>
  <c r="L23" i="37"/>
  <c r="M23" i="37"/>
  <c r="L22" i="37"/>
  <c r="M22" i="37"/>
  <c r="L14" i="37"/>
  <c r="M14" i="37"/>
  <c r="L11" i="37"/>
  <c r="M11" i="37"/>
  <c r="M10" i="37"/>
  <c r="L10" i="37"/>
  <c r="H41" i="37"/>
  <c r="I69" i="36"/>
  <c r="H69" i="36"/>
  <c r="K23" i="37"/>
  <c r="K22" i="37"/>
  <c r="K14" i="37"/>
  <c r="K11" i="37"/>
  <c r="K10" i="37"/>
  <c r="H44" i="37"/>
  <c r="H38" i="37"/>
  <c r="H31" i="37"/>
  <c r="F53" i="21"/>
  <c r="K50" i="21"/>
  <c r="J50" i="21"/>
  <c r="K44" i="21"/>
  <c r="K45" i="21"/>
  <c r="K46" i="21"/>
  <c r="K47" i="21"/>
  <c r="J44" i="21"/>
  <c r="J45" i="21"/>
  <c r="J46" i="21"/>
  <c r="J47" i="21"/>
  <c r="E41" i="21"/>
  <c r="D50" i="21"/>
  <c r="D47" i="21"/>
  <c r="D46" i="21"/>
  <c r="D45" i="21"/>
  <c r="D44" i="21"/>
  <c r="E12" i="20"/>
  <c r="F46" i="20"/>
  <c r="E46" i="20"/>
  <c r="O35" i="13"/>
  <c r="I17" i="22"/>
  <c r="H61" i="34"/>
  <c r="E22" i="10"/>
  <c r="I20" i="18"/>
  <c r="R49" i="27"/>
  <c r="P49" i="27"/>
  <c r="M37" i="27"/>
  <c r="M38" i="27" s="1"/>
  <c r="N37" i="27"/>
  <c r="N38" i="27"/>
  <c r="E12" i="11"/>
  <c r="E12" i="1"/>
  <c r="E12" i="14"/>
  <c r="E12" i="15"/>
  <c r="E12" i="17"/>
  <c r="E12" i="18"/>
  <c r="E12" i="23"/>
  <c r="E11" i="26"/>
  <c r="E12" i="24"/>
  <c r="E12" i="25"/>
  <c r="E12" i="13"/>
  <c r="E13" i="10"/>
  <c r="E12" i="9"/>
  <c r="E12" i="8"/>
  <c r="E12" i="6"/>
  <c r="E12" i="5"/>
  <c r="E12" i="4"/>
  <c r="E12" i="3"/>
  <c r="E12" i="2"/>
  <c r="E12" i="28"/>
  <c r="E12" i="29"/>
  <c r="E12" i="22"/>
  <c r="E12" i="21"/>
  <c r="E12" i="16"/>
  <c r="F22" i="10"/>
  <c r="G67" i="36"/>
  <c r="G66" i="36"/>
  <c r="I65" i="36"/>
  <c r="H65" i="36"/>
  <c r="E12" i="36"/>
  <c r="E22" i="36"/>
  <c r="P22" i="37"/>
  <c r="P21" i="37"/>
  <c r="P20" i="37"/>
  <c r="E34" i="37"/>
  <c r="E26" i="37" s="1"/>
  <c r="L49" i="37"/>
  <c r="M49" i="37" s="1"/>
  <c r="M48" i="37"/>
  <c r="L47" i="37"/>
  <c r="M47" i="37"/>
  <c r="K47" i="37"/>
  <c r="D23" i="39"/>
  <c r="Q80" i="34"/>
  <c r="E22" i="39" s="1"/>
  <c r="E44" i="37"/>
  <c r="M44" i="37"/>
  <c r="Q77" i="34"/>
  <c r="P77" i="34"/>
  <c r="D20" i="39"/>
  <c r="Q75" i="34"/>
  <c r="E19" i="39" s="1"/>
  <c r="E41" i="37"/>
  <c r="M41" i="37"/>
  <c r="L41" i="37"/>
  <c r="B41" i="37"/>
  <c r="Q72" i="34"/>
  <c r="U72" i="34" s="1"/>
  <c r="P72" i="34"/>
  <c r="D17" i="39" s="1"/>
  <c r="Q70" i="34"/>
  <c r="E16" i="39" s="1"/>
  <c r="P70" i="34"/>
  <c r="R70" i="34" s="1"/>
  <c r="E38" i="37"/>
  <c r="L38" i="37"/>
  <c r="B38" i="37"/>
  <c r="K38" i="37" s="1"/>
  <c r="Q67" i="34"/>
  <c r="E14" i="39" s="1"/>
  <c r="F14" i="39" s="1"/>
  <c r="D14" i="39"/>
  <c r="Q60" i="34"/>
  <c r="U60" i="34" s="1"/>
  <c r="M34" i="37"/>
  <c r="L34" i="37"/>
  <c r="P40" i="34"/>
  <c r="D10" i="39" s="1"/>
  <c r="Q31" i="34"/>
  <c r="E9" i="39" s="1"/>
  <c r="E31" i="37"/>
  <c r="B31" i="37"/>
  <c r="Q25" i="34"/>
  <c r="P25" i="34"/>
  <c r="D7" i="39"/>
  <c r="Q19" i="34"/>
  <c r="U19" i="34" s="1"/>
  <c r="D6" i="39"/>
  <c r="E27" i="37"/>
  <c r="M21" i="37"/>
  <c r="L21" i="37"/>
  <c r="K21" i="37"/>
  <c r="M20" i="37"/>
  <c r="F20" i="37"/>
  <c r="L20" i="37" s="1"/>
  <c r="E20" i="37"/>
  <c r="E19" i="37"/>
  <c r="E13" i="37"/>
  <c r="E16" i="37"/>
  <c r="E12" i="37" s="1"/>
  <c r="B20" i="37"/>
  <c r="K20" i="37"/>
  <c r="G19" i="37"/>
  <c r="D19" i="37"/>
  <c r="B19" i="37"/>
  <c r="K19" i="37" s="1"/>
  <c r="M18" i="37"/>
  <c r="L18" i="37"/>
  <c r="K18" i="37"/>
  <c r="M17" i="37"/>
  <c r="L17" i="37"/>
  <c r="K17" i="37"/>
  <c r="M16" i="37"/>
  <c r="F16" i="37"/>
  <c r="L16" i="37" s="1"/>
  <c r="B16" i="37"/>
  <c r="M15" i="37"/>
  <c r="L15" i="37"/>
  <c r="K15" i="37"/>
  <c r="G13" i="37"/>
  <c r="G12" i="37"/>
  <c r="F13" i="37"/>
  <c r="L13" i="37" s="1"/>
  <c r="D13" i="37"/>
  <c r="B13" i="37"/>
  <c r="E9" i="37"/>
  <c r="B9" i="37"/>
  <c r="G9" i="37"/>
  <c r="G24" i="37" s="1"/>
  <c r="D9" i="37"/>
  <c r="M9" i="37" s="1"/>
  <c r="E58" i="36"/>
  <c r="J68" i="36" s="1"/>
  <c r="C58" i="36"/>
  <c r="D53" i="36"/>
  <c r="C53" i="36"/>
  <c r="C47" i="36" s="1"/>
  <c r="D43" i="36"/>
  <c r="C43" i="36"/>
  <c r="D40" i="36"/>
  <c r="C40" i="36"/>
  <c r="C39" i="36" s="1"/>
  <c r="C35" i="36"/>
  <c r="D35" i="36"/>
  <c r="D33" i="36"/>
  <c r="C33" i="36"/>
  <c r="C25" i="36"/>
  <c r="D25" i="36"/>
  <c r="D21" i="36"/>
  <c r="D14" i="36" s="1"/>
  <c r="C21" i="36"/>
  <c r="D15" i="36"/>
  <c r="C15" i="36"/>
  <c r="D10" i="36"/>
  <c r="D9" i="36" s="1"/>
  <c r="C10" i="36"/>
  <c r="E20" i="39"/>
  <c r="F20" i="39"/>
  <c r="U75" i="34"/>
  <c r="U67" i="34"/>
  <c r="E10" i="39"/>
  <c r="U40" i="34"/>
  <c r="E6" i="39"/>
  <c r="F22" i="39"/>
  <c r="L44" i="37"/>
  <c r="K41" i="37"/>
  <c r="H68" i="36"/>
  <c r="K13" i="37"/>
  <c r="M13" i="37"/>
  <c r="B27" i="37"/>
  <c r="K27" i="37"/>
  <c r="B34" i="37"/>
  <c r="B44" i="37"/>
  <c r="K44" i="37" s="1"/>
  <c r="G50" i="37"/>
  <c r="F50" i="37"/>
  <c r="D12" i="37"/>
  <c r="M12" i="37"/>
  <c r="M19" i="37"/>
  <c r="L9" i="37"/>
  <c r="D24" i="37"/>
  <c r="M24" i="37"/>
  <c r="Q22" i="37" s="1"/>
  <c r="P54" i="37"/>
  <c r="M94" i="34"/>
  <c r="N92" i="34"/>
  <c r="N91" i="34"/>
  <c r="N90" i="34"/>
  <c r="N88" i="34" s="1"/>
  <c r="N89" i="34"/>
  <c r="S88" i="34"/>
  <c r="N87" i="34"/>
  <c r="S80" i="34"/>
  <c r="U80" i="34"/>
  <c r="S79" i="34"/>
  <c r="O79" i="34"/>
  <c r="S77" i="34"/>
  <c r="R77" i="34"/>
  <c r="S75" i="34"/>
  <c r="S74" i="34"/>
  <c r="Q74" i="34"/>
  <c r="E18" i="39"/>
  <c r="O74" i="34"/>
  <c r="S72" i="34"/>
  <c r="S70" i="34"/>
  <c r="Q69" i="34"/>
  <c r="E15" i="39" s="1"/>
  <c r="O69" i="34"/>
  <c r="S67" i="34"/>
  <c r="R67" i="34"/>
  <c r="N65" i="34"/>
  <c r="N64" i="34"/>
  <c r="N61" i="34"/>
  <c r="S60" i="34"/>
  <c r="N59" i="34"/>
  <c r="N58" i="34"/>
  <c r="N57" i="34"/>
  <c r="N56" i="34"/>
  <c r="S49" i="34"/>
  <c r="S48" i="34" s="1"/>
  <c r="O48" i="34"/>
  <c r="M47" i="34"/>
  <c r="N47" i="34"/>
  <c r="N40" i="34" s="1"/>
  <c r="N45" i="34"/>
  <c r="S40" i="34"/>
  <c r="R40" i="34"/>
  <c r="N39" i="34"/>
  <c r="N38" i="34"/>
  <c r="N37" i="34"/>
  <c r="N36" i="34"/>
  <c r="N35" i="34"/>
  <c r="N34" i="34"/>
  <c r="N33" i="34"/>
  <c r="S31" i="34"/>
  <c r="S30" i="34" s="1"/>
  <c r="S94" i="34" s="1"/>
  <c r="O30" i="34"/>
  <c r="N29" i="34"/>
  <c r="N28" i="34"/>
  <c r="N27" i="34"/>
  <c r="N25" i="34" s="1"/>
  <c r="I25" i="34"/>
  <c r="C7" i="39"/>
  <c r="N26" i="34"/>
  <c r="S25" i="34"/>
  <c r="R25" i="34"/>
  <c r="N24" i="34"/>
  <c r="N23" i="34"/>
  <c r="N22" i="34"/>
  <c r="S19" i="34"/>
  <c r="R19" i="34"/>
  <c r="N18" i="34"/>
  <c r="N17" i="34"/>
  <c r="N16" i="34"/>
  <c r="N15" i="34"/>
  <c r="N14" i="34"/>
  <c r="S9" i="34"/>
  <c r="S8" i="34"/>
  <c r="O8" i="34"/>
  <c r="O94" i="34" s="1"/>
  <c r="I40" i="34"/>
  <c r="C10" i="39" s="1"/>
  <c r="S69" i="34"/>
  <c r="I88" i="34"/>
  <c r="C23" i="39" s="1"/>
  <c r="U79" i="34"/>
  <c r="E4" i="29"/>
  <c r="A2" i="29"/>
  <c r="E4" i="28"/>
  <c r="A2" i="28"/>
  <c r="E4" i="27"/>
  <c r="A2" i="27"/>
  <c r="E4" i="26"/>
  <c r="A2" i="26"/>
  <c r="E4" i="25"/>
  <c r="A2" i="25"/>
  <c r="E4" i="24"/>
  <c r="A2" i="24"/>
  <c r="E4" i="23"/>
  <c r="A2" i="23"/>
  <c r="E4" i="22"/>
  <c r="A2" i="22"/>
  <c r="E4" i="21"/>
  <c r="A2" i="21"/>
  <c r="E4" i="20"/>
  <c r="A2" i="20"/>
  <c r="E4" i="18"/>
  <c r="A2" i="18"/>
  <c r="E4" i="17"/>
  <c r="A2" i="17"/>
  <c r="E4" i="16"/>
  <c r="A2" i="16"/>
  <c r="E4" i="15"/>
  <c r="A2" i="15"/>
  <c r="E4" i="14"/>
  <c r="A2" i="14"/>
  <c r="E4" i="13"/>
  <c r="A2" i="13"/>
  <c r="E4" i="12"/>
  <c r="A2" i="12"/>
  <c r="E4" i="11"/>
  <c r="A2" i="11"/>
  <c r="E4" i="10"/>
  <c r="A2" i="10"/>
  <c r="E4" i="9"/>
  <c r="A2" i="9"/>
  <c r="E4" i="8"/>
  <c r="A2" i="8"/>
  <c r="E4" i="6"/>
  <c r="A2" i="6"/>
  <c r="E4" i="5"/>
  <c r="A2" i="5"/>
  <c r="E4" i="4"/>
  <c r="A2" i="4"/>
  <c r="E4" i="3"/>
  <c r="A2" i="3"/>
  <c r="E4" i="2"/>
  <c r="A2" i="2"/>
  <c r="E4" i="1"/>
  <c r="A2" i="1"/>
  <c r="C4" i="19"/>
  <c r="A2" i="19"/>
  <c r="D11" i="22"/>
  <c r="J11" i="19"/>
  <c r="N11" i="19"/>
  <c r="J10" i="19"/>
  <c r="N10" i="19"/>
  <c r="J9" i="19"/>
  <c r="N9" i="19"/>
  <c r="J8" i="19"/>
  <c r="N8" i="19"/>
  <c r="J7" i="19"/>
  <c r="N7" i="19"/>
  <c r="J6" i="19"/>
  <c r="N6" i="19"/>
  <c r="J32" i="19"/>
  <c r="N32" i="19"/>
  <c r="J31" i="19"/>
  <c r="N31" i="19"/>
  <c r="J30" i="19"/>
  <c r="N30" i="19"/>
  <c r="J29" i="19"/>
  <c r="N29" i="19"/>
  <c r="J28" i="19"/>
  <c r="N28" i="19"/>
  <c r="J27" i="19"/>
  <c r="N27" i="19"/>
  <c r="J26" i="19"/>
  <c r="N26" i="19"/>
  <c r="J25" i="19"/>
  <c r="N25" i="19"/>
  <c r="J24" i="19"/>
  <c r="N24" i="19"/>
  <c r="J23" i="19"/>
  <c r="N23" i="19"/>
  <c r="J22" i="19"/>
  <c r="N22" i="19"/>
  <c r="J21" i="19"/>
  <c r="N21" i="19"/>
  <c r="J20" i="19"/>
  <c r="N20" i="19"/>
  <c r="J19" i="19"/>
  <c r="N19" i="19"/>
  <c r="J18" i="19"/>
  <c r="N18" i="19"/>
  <c r="J17" i="19"/>
  <c r="N17" i="19"/>
  <c r="J16" i="19"/>
  <c r="N16" i="19"/>
  <c r="J15" i="19"/>
  <c r="N15" i="19"/>
  <c r="J14" i="19"/>
  <c r="N14" i="19"/>
  <c r="J13" i="19"/>
  <c r="N13" i="19"/>
  <c r="J12" i="19"/>
  <c r="N12" i="19"/>
  <c r="H6" i="19"/>
  <c r="I32" i="19"/>
  <c r="M32" i="19" s="1"/>
  <c r="I31" i="19"/>
  <c r="M31" i="19" s="1"/>
  <c r="I30" i="19"/>
  <c r="M30" i="19" s="1"/>
  <c r="I29" i="19"/>
  <c r="M29" i="19" s="1"/>
  <c r="I28" i="19"/>
  <c r="M28" i="19" s="1"/>
  <c r="I27" i="19"/>
  <c r="M27" i="19" s="1"/>
  <c r="I26" i="19"/>
  <c r="M26" i="19" s="1"/>
  <c r="I25" i="19"/>
  <c r="M25" i="19" s="1"/>
  <c r="I24" i="19"/>
  <c r="M24" i="19" s="1"/>
  <c r="I23" i="19"/>
  <c r="M23" i="19" s="1"/>
  <c r="I22" i="19"/>
  <c r="M22" i="19" s="1"/>
  <c r="I21" i="19"/>
  <c r="M21" i="19" s="1"/>
  <c r="I20" i="19"/>
  <c r="M20" i="19" s="1"/>
  <c r="I19" i="19"/>
  <c r="M19" i="19" s="1"/>
  <c r="I18" i="19"/>
  <c r="M18" i="19" s="1"/>
  <c r="I17" i="19"/>
  <c r="M17" i="19" s="1"/>
  <c r="I16" i="19"/>
  <c r="M16" i="19" s="1"/>
  <c r="I15" i="19"/>
  <c r="M15" i="19" s="1"/>
  <c r="I14" i="19"/>
  <c r="M14" i="19" s="1"/>
  <c r="I13" i="19"/>
  <c r="M13" i="19" s="1"/>
  <c r="I12" i="19"/>
  <c r="M12" i="19" s="1"/>
  <c r="I11" i="19"/>
  <c r="M11" i="19" s="1"/>
  <c r="I10" i="19"/>
  <c r="M10" i="19" s="1"/>
  <c r="I9" i="19"/>
  <c r="M9" i="19" s="1"/>
  <c r="I8" i="19"/>
  <c r="M8" i="19" s="1"/>
  <c r="I7" i="19"/>
  <c r="M7" i="19" s="1"/>
  <c r="H29" i="19"/>
  <c r="H15" i="19"/>
  <c r="H32" i="19"/>
  <c r="H31" i="19"/>
  <c r="H30" i="19"/>
  <c r="H28" i="19"/>
  <c r="H27" i="19"/>
  <c r="H26" i="19"/>
  <c r="H25" i="19"/>
  <c r="H24" i="19"/>
  <c r="H23" i="19"/>
  <c r="H22" i="19"/>
  <c r="H21" i="19"/>
  <c r="H20" i="19"/>
  <c r="H19" i="19"/>
  <c r="H18" i="19"/>
  <c r="H17" i="19"/>
  <c r="H16" i="19"/>
  <c r="H14" i="19"/>
  <c r="H13" i="19"/>
  <c r="H12" i="19"/>
  <c r="H11" i="19"/>
  <c r="H10" i="19"/>
  <c r="H9" i="19"/>
  <c r="H8" i="19"/>
  <c r="H7" i="19"/>
  <c r="D12" i="3"/>
  <c r="D11" i="3"/>
  <c r="F10" i="3"/>
  <c r="D12" i="4"/>
  <c r="D11" i="4"/>
  <c r="F10" i="4"/>
  <c r="D12" i="5"/>
  <c r="D11" i="5"/>
  <c r="F10" i="5"/>
  <c r="D12" i="6"/>
  <c r="D11" i="6"/>
  <c r="F10" i="6"/>
  <c r="D12" i="8"/>
  <c r="D11" i="8"/>
  <c r="F10" i="8"/>
  <c r="D12" i="9"/>
  <c r="D11" i="9"/>
  <c r="F10" i="9"/>
  <c r="D13" i="10"/>
  <c r="D12" i="10"/>
  <c r="F11" i="10"/>
  <c r="D12" i="11"/>
  <c r="D11" i="11"/>
  <c r="F10" i="11"/>
  <c r="D12" i="12"/>
  <c r="D11" i="12"/>
  <c r="F10" i="12"/>
  <c r="D12" i="13"/>
  <c r="D11" i="13"/>
  <c r="F10" i="13"/>
  <c r="D12" i="14"/>
  <c r="D11" i="14"/>
  <c r="F10" i="14"/>
  <c r="D12" i="15"/>
  <c r="D11" i="15"/>
  <c r="F10" i="15"/>
  <c r="D12" i="16"/>
  <c r="D11" i="16"/>
  <c r="F10" i="16"/>
  <c r="D12" i="17"/>
  <c r="D11" i="17"/>
  <c r="F10" i="17"/>
  <c r="D12" i="18"/>
  <c r="D11" i="18"/>
  <c r="F10" i="18"/>
  <c r="D12" i="20"/>
  <c r="D11" i="20"/>
  <c r="F10" i="20"/>
  <c r="D12" i="21"/>
  <c r="D11" i="21"/>
  <c r="F10" i="21"/>
  <c r="D12" i="22"/>
  <c r="F10" i="22"/>
  <c r="D12" i="23"/>
  <c r="D11" i="23"/>
  <c r="F10" i="23"/>
  <c r="D12" i="24"/>
  <c r="D11" i="24"/>
  <c r="F10" i="24"/>
  <c r="D12" i="25"/>
  <c r="D11" i="25"/>
  <c r="F10" i="25"/>
  <c r="D11" i="26"/>
  <c r="D10" i="26"/>
  <c r="F9" i="26"/>
  <c r="D12" i="27"/>
  <c r="D11" i="27"/>
  <c r="F10" i="27"/>
  <c r="D12" i="28"/>
  <c r="D11" i="28"/>
  <c r="F10" i="28"/>
  <c r="D12" i="29"/>
  <c r="D11" i="29"/>
  <c r="F10" i="29"/>
  <c r="D12" i="2"/>
  <c r="D11" i="2"/>
  <c r="F10" i="2"/>
  <c r="I6" i="19"/>
  <c r="M6" i="19"/>
  <c r="D12" i="1"/>
  <c r="D11" i="1"/>
  <c r="F10" i="1"/>
  <c r="G30" i="29"/>
  <c r="F18" i="29" s="1"/>
  <c r="I18" i="29" s="1"/>
  <c r="D29" i="33"/>
  <c r="F57" i="23"/>
  <c r="D56" i="23"/>
  <c r="D55" i="23"/>
  <c r="D54" i="23"/>
  <c r="D53" i="23"/>
  <c r="D52" i="23"/>
  <c r="D26" i="33"/>
  <c r="F122" i="24" s="1"/>
  <c r="D117" i="24"/>
  <c r="D118" i="24"/>
  <c r="D119" i="24"/>
  <c r="D120" i="24"/>
  <c r="D121" i="24"/>
  <c r="D20" i="33"/>
  <c r="I22" i="17"/>
  <c r="E20" i="33" s="1"/>
  <c r="I34" i="17" s="1"/>
  <c r="H21" i="16"/>
  <c r="H22" i="16"/>
  <c r="G21" i="16"/>
  <c r="G22" i="16"/>
  <c r="E22" i="16"/>
  <c r="Q19" i="14"/>
  <c r="L45" i="12"/>
  <c r="M27" i="12"/>
  <c r="M30" i="12" s="1"/>
  <c r="N17" i="12"/>
  <c r="N18" i="12"/>
  <c r="N19" i="12" s="1"/>
  <c r="N20" i="12" s="1"/>
  <c r="N21" i="12" s="1"/>
  <c r="M22" i="12"/>
  <c r="M46" i="12"/>
  <c r="M33" i="12"/>
  <c r="K28" i="12"/>
  <c r="K43" i="12"/>
  <c r="K27" i="12"/>
  <c r="K42" i="12"/>
  <c r="K26" i="12"/>
  <c r="K41" i="12"/>
  <c r="K29" i="12"/>
  <c r="K44" i="12"/>
  <c r="N54" i="34"/>
  <c r="M45" i="12"/>
  <c r="M32" i="12" s="1"/>
  <c r="M29" i="12"/>
  <c r="M28" i="12"/>
  <c r="M26" i="12"/>
  <c r="E20" i="12"/>
  <c r="I15" i="33" s="1"/>
  <c r="I25" i="12" s="1"/>
  <c r="G15" i="33"/>
  <c r="E69" i="10"/>
  <c r="H58" i="10"/>
  <c r="G58" i="10"/>
  <c r="F58" i="10"/>
  <c r="E58" i="10"/>
  <c r="E46" i="10"/>
  <c r="E35" i="10"/>
  <c r="J18" i="11"/>
  <c r="J20" i="11" s="1"/>
  <c r="H69" i="10"/>
  <c r="G69" i="10"/>
  <c r="F69" i="10"/>
  <c r="H94" i="10"/>
  <c r="G94" i="10"/>
  <c r="H95" i="10"/>
  <c r="G95" i="10"/>
  <c r="H46" i="10"/>
  <c r="G46" i="10"/>
  <c r="F46" i="10"/>
  <c r="E95" i="10"/>
  <c r="E96" i="10" s="1"/>
  <c r="E94" i="10"/>
  <c r="H35" i="10"/>
  <c r="G35" i="10"/>
  <c r="F35" i="10"/>
  <c r="F24" i="10"/>
  <c r="G24" i="10" s="1"/>
  <c r="E24" i="10"/>
  <c r="G96" i="10"/>
  <c r="H96" i="10"/>
  <c r="D15" i="33"/>
  <c r="E15" i="33"/>
  <c r="F30" i="12" s="1"/>
  <c r="F15" i="33"/>
  <c r="G30" i="12" s="1"/>
  <c r="I94" i="10"/>
  <c r="C20" i="19"/>
  <c r="L20" i="19"/>
  <c r="C18" i="19"/>
  <c r="L18" i="19"/>
  <c r="C14" i="19"/>
  <c r="L14" i="19"/>
  <c r="F48" i="20"/>
  <c r="F45" i="20"/>
  <c r="F44" i="20"/>
  <c r="F43" i="20"/>
  <c r="F42" i="20"/>
  <c r="F41" i="20"/>
  <c r="E45" i="20"/>
  <c r="E44" i="20"/>
  <c r="E43" i="20"/>
  <c r="E42" i="20"/>
  <c r="E41" i="20"/>
  <c r="E48" i="20"/>
  <c r="E20" i="20"/>
  <c r="I18" i="20"/>
  <c r="C16" i="19"/>
  <c r="L16" i="19" s="1"/>
  <c r="D52" i="21"/>
  <c r="D51" i="21"/>
  <c r="D49" i="21"/>
  <c r="D48" i="21"/>
  <c r="D43" i="21"/>
  <c r="E42" i="21"/>
  <c r="D42" i="21"/>
  <c r="D41" i="21"/>
  <c r="G53" i="21"/>
  <c r="H53" i="21"/>
  <c r="I53" i="21"/>
  <c r="K53" i="21" s="1"/>
  <c r="F36" i="22"/>
  <c r="G41" i="29"/>
  <c r="G40" i="29"/>
  <c r="G39" i="29"/>
  <c r="G38" i="29"/>
  <c r="G37" i="29"/>
  <c r="G36" i="29"/>
  <c r="F41" i="22"/>
  <c r="F40" i="22"/>
  <c r="F39" i="22"/>
  <c r="F42" i="22" s="1"/>
  <c r="F38" i="22"/>
  <c r="F37" i="22"/>
  <c r="F37" i="29"/>
  <c r="F36" i="29"/>
  <c r="E21" i="25"/>
  <c r="C25" i="19"/>
  <c r="L25" i="19"/>
  <c r="F41" i="29"/>
  <c r="F40" i="29"/>
  <c r="F39" i="29"/>
  <c r="C31" i="19"/>
  <c r="L31" i="19" s="1"/>
  <c r="E81" i="27"/>
  <c r="J41" i="21"/>
  <c r="H20" i="20"/>
  <c r="G20" i="20"/>
  <c r="H22" i="18"/>
  <c r="G22" i="18"/>
  <c r="E22" i="18"/>
  <c r="C22" i="19"/>
  <c r="L22" i="19"/>
  <c r="I21" i="15"/>
  <c r="H21" i="15"/>
  <c r="F21" i="15"/>
  <c r="E21" i="15"/>
  <c r="P22" i="14"/>
  <c r="O22" i="14"/>
  <c r="N22" i="14"/>
  <c r="M22" i="14"/>
  <c r="L22" i="14"/>
  <c r="K22" i="14"/>
  <c r="J22" i="14"/>
  <c r="I22" i="14"/>
  <c r="H22" i="14"/>
  <c r="G22" i="14"/>
  <c r="F22" i="14"/>
  <c r="E22" i="14"/>
  <c r="E20" i="13"/>
  <c r="F20" i="13"/>
  <c r="I20" i="11"/>
  <c r="H20" i="11"/>
  <c r="G20" i="11"/>
  <c r="E20" i="11"/>
  <c r="H19" i="9"/>
  <c r="G19" i="9"/>
  <c r="E19" i="9"/>
  <c r="H19" i="8"/>
  <c r="G19" i="8"/>
  <c r="E19" i="8"/>
  <c r="H22" i="5"/>
  <c r="G22" i="5"/>
  <c r="E22" i="5"/>
  <c r="H23" i="4"/>
  <c r="G23" i="4"/>
  <c r="E23" i="4"/>
  <c r="C9" i="19"/>
  <c r="L9" i="19"/>
  <c r="H22" i="3"/>
  <c r="G22" i="3"/>
  <c r="E22" i="3"/>
  <c r="H23" i="2"/>
  <c r="G23" i="2"/>
  <c r="F23" i="2"/>
  <c r="D8" i="2" s="1"/>
  <c r="C7" i="19" s="1"/>
  <c r="L7" i="19" s="1"/>
  <c r="E23" i="2"/>
  <c r="H42" i="13"/>
  <c r="H30" i="12"/>
  <c r="E30" i="12"/>
  <c r="I52" i="10"/>
  <c r="M32" i="34"/>
  <c r="N32" i="34" s="1"/>
  <c r="I31" i="34"/>
  <c r="C8" i="19"/>
  <c r="L8" i="19" s="1"/>
  <c r="D24" i="33"/>
  <c r="D42" i="22" s="1"/>
  <c r="D23" i="33"/>
  <c r="H35" i="21" s="1"/>
  <c r="D22" i="33"/>
  <c r="D49" i="20" s="1"/>
  <c r="H34" i="17"/>
  <c r="D5" i="33"/>
  <c r="D100" i="1"/>
  <c r="I17" i="29"/>
  <c r="D31" i="33"/>
  <c r="D42" i="29" s="1"/>
  <c r="E24" i="6"/>
  <c r="E27" i="6" s="1"/>
  <c r="H26" i="6"/>
  <c r="G26" i="6"/>
  <c r="F26" i="6"/>
  <c r="H25" i="6"/>
  <c r="G25" i="6"/>
  <c r="F25" i="6"/>
  <c r="F27" i="6" s="1"/>
  <c r="D8" i="6" s="1"/>
  <c r="H24" i="6"/>
  <c r="G24" i="6"/>
  <c r="G27" i="6" s="1"/>
  <c r="F24" i="6"/>
  <c r="E25" i="6"/>
  <c r="E26" i="6"/>
  <c r="C9" i="39"/>
  <c r="C8" i="39"/>
  <c r="H27" i="6"/>
  <c r="L59" i="27"/>
  <c r="L60" i="27" s="1"/>
  <c r="K59" i="27"/>
  <c r="K60" i="27" s="1"/>
  <c r="J59" i="27"/>
  <c r="J60" i="27" s="1"/>
  <c r="I59" i="27"/>
  <c r="I60" i="27" s="1"/>
  <c r="H59" i="27"/>
  <c r="H60" i="27" s="1"/>
  <c r="G59" i="27"/>
  <c r="G60" i="27" s="1"/>
  <c r="F59" i="27"/>
  <c r="F60" i="27" s="1"/>
  <c r="E59" i="27"/>
  <c r="E60" i="27" s="1"/>
  <c r="L37" i="27"/>
  <c r="L38" i="27" s="1"/>
  <c r="K37" i="27"/>
  <c r="K38" i="27" s="1"/>
  <c r="J37" i="27"/>
  <c r="J38" i="27" s="1"/>
  <c r="I37" i="27"/>
  <c r="I38" i="27" s="1"/>
  <c r="H37" i="27"/>
  <c r="H38" i="27" s="1"/>
  <c r="G37" i="27"/>
  <c r="G38" i="27" s="1"/>
  <c r="F37" i="27"/>
  <c r="F38" i="27" s="1"/>
  <c r="E37" i="27"/>
  <c r="E38" i="27" s="1"/>
  <c r="G68" i="27"/>
  <c r="G69" i="27" s="1"/>
  <c r="F68" i="27"/>
  <c r="F69" i="27" s="1"/>
  <c r="H67" i="27"/>
  <c r="H66" i="27"/>
  <c r="H45" i="27"/>
  <c r="H44" i="27"/>
  <c r="H17" i="26"/>
  <c r="G17" i="26"/>
  <c r="E17" i="26"/>
  <c r="H21" i="25"/>
  <c r="G21" i="25"/>
  <c r="H114" i="24"/>
  <c r="G114" i="24"/>
  <c r="E114" i="24"/>
  <c r="H101" i="24"/>
  <c r="G101" i="24"/>
  <c r="F101" i="24"/>
  <c r="E101" i="24"/>
  <c r="I100" i="24"/>
  <c r="I101" i="24" s="1"/>
  <c r="I99" i="24"/>
  <c r="H94" i="24"/>
  <c r="G94" i="24"/>
  <c r="E94" i="24"/>
  <c r="H83" i="24"/>
  <c r="G83" i="24"/>
  <c r="F83" i="24"/>
  <c r="E83" i="24"/>
  <c r="H76" i="24"/>
  <c r="G76" i="24"/>
  <c r="E76" i="24"/>
  <c r="H62" i="24"/>
  <c r="G62" i="24"/>
  <c r="F62" i="24"/>
  <c r="E62" i="24"/>
  <c r="H55" i="24"/>
  <c r="G55" i="24"/>
  <c r="E55" i="24"/>
  <c r="H41" i="24"/>
  <c r="G41" i="24"/>
  <c r="E41" i="24"/>
  <c r="F41" i="24"/>
  <c r="H24" i="24"/>
  <c r="G24" i="24"/>
  <c r="E24" i="24"/>
  <c r="H49" i="23"/>
  <c r="G49" i="23"/>
  <c r="E49" i="23"/>
  <c r="H42" i="23"/>
  <c r="G42" i="23"/>
  <c r="E42" i="23"/>
  <c r="H35" i="23"/>
  <c r="G35" i="23"/>
  <c r="E35" i="23"/>
  <c r="H28" i="23"/>
  <c r="G28" i="23"/>
  <c r="F28" i="23"/>
  <c r="E28" i="23"/>
  <c r="H21" i="23"/>
  <c r="G21" i="23"/>
  <c r="E21" i="23"/>
  <c r="J30" i="22"/>
  <c r="E24" i="33" s="1"/>
  <c r="K52" i="21"/>
  <c r="J52" i="21"/>
  <c r="K51" i="21"/>
  <c r="J51" i="21"/>
  <c r="K49" i="21"/>
  <c r="J49" i="21"/>
  <c r="K48" i="21"/>
  <c r="J48" i="21"/>
  <c r="K43" i="21"/>
  <c r="J43" i="21"/>
  <c r="K42" i="21"/>
  <c r="J42" i="21"/>
  <c r="K41" i="21"/>
  <c r="I33" i="17"/>
  <c r="I32" i="17"/>
  <c r="I31" i="17"/>
  <c r="I30" i="17"/>
  <c r="I29" i="17"/>
  <c r="I28" i="17"/>
  <c r="I27" i="17"/>
  <c r="J18" i="15"/>
  <c r="G18" i="15"/>
  <c r="K18" i="15" s="1"/>
  <c r="G17" i="13"/>
  <c r="I22" i="4"/>
  <c r="I21" i="4"/>
  <c r="I51" i="6"/>
  <c r="H51" i="6"/>
  <c r="G51" i="6"/>
  <c r="F51" i="6"/>
  <c r="J37" i="9"/>
  <c r="I37" i="9"/>
  <c r="H37" i="9"/>
  <c r="G37" i="9"/>
  <c r="F37" i="9"/>
  <c r="G23" i="10"/>
  <c r="G22" i="10"/>
  <c r="G21" i="10"/>
  <c r="G20" i="10"/>
  <c r="G19" i="10"/>
  <c r="K42" i="13"/>
  <c r="J42" i="13"/>
  <c r="I42" i="13"/>
  <c r="K47" i="14"/>
  <c r="J47" i="14"/>
  <c r="I47" i="14"/>
  <c r="H47" i="14"/>
  <c r="K37" i="15"/>
  <c r="J37" i="15"/>
  <c r="H37" i="15"/>
  <c r="I37" i="15"/>
  <c r="F33" i="16"/>
  <c r="J33" i="16"/>
  <c r="I33" i="16"/>
  <c r="H33" i="16"/>
  <c r="G33" i="16"/>
  <c r="K30" i="22"/>
  <c r="F24" i="33" s="1"/>
  <c r="G42" i="22" s="1"/>
  <c r="I30" i="22"/>
  <c r="H30" i="22"/>
  <c r="I18" i="22"/>
  <c r="J30" i="29"/>
  <c r="I30" i="29"/>
  <c r="H30" i="29"/>
  <c r="F19" i="29" s="1"/>
  <c r="I19" i="29" s="1"/>
  <c r="I20" i="25"/>
  <c r="I19" i="25"/>
  <c r="I18" i="25"/>
  <c r="I113" i="24"/>
  <c r="I112" i="24"/>
  <c r="I93" i="24"/>
  <c r="I94" i="24" s="1"/>
  <c r="I92" i="24"/>
  <c r="I82" i="24"/>
  <c r="I83" i="24" s="1"/>
  <c r="I81" i="24"/>
  <c r="I75" i="24"/>
  <c r="I76" i="24" s="1"/>
  <c r="I74" i="24"/>
  <c r="I61" i="24"/>
  <c r="I60" i="24"/>
  <c r="I54" i="24"/>
  <c r="I53" i="24"/>
  <c r="I23" i="24"/>
  <c r="I22" i="24"/>
  <c r="I48" i="23"/>
  <c r="I49" i="23" s="1"/>
  <c r="I47" i="23"/>
  <c r="I41" i="23"/>
  <c r="I40" i="23"/>
  <c r="I34" i="23"/>
  <c r="I35" i="23" s="1"/>
  <c r="I33" i="23"/>
  <c r="I27" i="23"/>
  <c r="I26" i="23"/>
  <c r="I20" i="23"/>
  <c r="I21" i="23" s="1"/>
  <c r="I19" i="23"/>
  <c r="I19" i="20"/>
  <c r="I20" i="20" s="1"/>
  <c r="I21" i="18"/>
  <c r="I18" i="17"/>
  <c r="J19" i="11"/>
  <c r="I63" i="10"/>
  <c r="I40" i="10"/>
  <c r="I29" i="10"/>
  <c r="I22" i="2"/>
  <c r="I21" i="2"/>
  <c r="G56" i="23"/>
  <c r="G55" i="23"/>
  <c r="G54" i="23"/>
  <c r="I19" i="22"/>
  <c r="I114" i="24"/>
  <c r="G57" i="23"/>
  <c r="D8" i="23" s="1"/>
  <c r="C26" i="19" s="1"/>
  <c r="L26" i="19" s="1"/>
  <c r="J21" i="15"/>
  <c r="G21" i="15"/>
  <c r="I23" i="4"/>
  <c r="I22" i="18"/>
  <c r="I42" i="23"/>
  <c r="I28" i="23"/>
  <c r="I24" i="24"/>
  <c r="I62" i="24"/>
  <c r="I55" i="24"/>
  <c r="I23" i="2"/>
  <c r="I97" i="1"/>
  <c r="I98" i="1"/>
  <c r="D8" i="17"/>
  <c r="H55" i="34" s="1"/>
  <c r="C21" i="19"/>
  <c r="L21" i="19" s="1"/>
  <c r="C17" i="19"/>
  <c r="L17" i="19" s="1"/>
  <c r="C11" i="19" l="1"/>
  <c r="L11" i="19" s="1"/>
  <c r="H51" i="34"/>
  <c r="K34" i="37"/>
  <c r="D26" i="37"/>
  <c r="D50" i="37" s="1"/>
  <c r="Q30" i="34"/>
  <c r="E8" i="39" s="1"/>
  <c r="T30" i="34"/>
  <c r="U30" i="34" s="1"/>
  <c r="L31" i="37"/>
  <c r="F10" i="39"/>
  <c r="E23" i="39"/>
  <c r="F23" i="39" s="1"/>
  <c r="R88" i="34"/>
  <c r="U88" i="34"/>
  <c r="H26" i="37"/>
  <c r="H50" i="37" s="1"/>
  <c r="E17" i="39"/>
  <c r="T69" i="34"/>
  <c r="U69" i="34" s="1"/>
  <c r="T48" i="34"/>
  <c r="U48" i="34" s="1"/>
  <c r="U49" i="34"/>
  <c r="P48" i="34"/>
  <c r="D11" i="39" s="1"/>
  <c r="R49" i="34"/>
  <c r="D12" i="39"/>
  <c r="D9" i="39"/>
  <c r="F9" i="39" s="1"/>
  <c r="R31" i="34"/>
  <c r="K31" i="37"/>
  <c r="E5" i="39"/>
  <c r="F6" i="39"/>
  <c r="L27" i="37"/>
  <c r="U9" i="34"/>
  <c r="D5" i="39"/>
  <c r="R9" i="34"/>
  <c r="P8" i="34"/>
  <c r="D4" i="39" s="1"/>
  <c r="F5" i="39"/>
  <c r="D47" i="36"/>
  <c r="I66" i="36"/>
  <c r="D39" i="36"/>
  <c r="I67" i="36" s="1"/>
  <c r="C14" i="36"/>
  <c r="I68" i="36"/>
  <c r="C9" i="36"/>
  <c r="N30" i="34"/>
  <c r="N31" i="34"/>
  <c r="M31" i="12"/>
  <c r="M34" i="12"/>
  <c r="T8" i="34"/>
  <c r="U25" i="34"/>
  <c r="J99" i="1"/>
  <c r="G97" i="1"/>
  <c r="J97" i="1"/>
  <c r="J98" i="1"/>
  <c r="C10" i="19"/>
  <c r="L10" i="19" s="1"/>
  <c r="I95" i="10"/>
  <c r="I96" i="10" s="1"/>
  <c r="P30" i="34"/>
  <c r="P69" i="34"/>
  <c r="D15" i="39" s="1"/>
  <c r="F15" i="39" s="1"/>
  <c r="R80" i="34"/>
  <c r="B26" i="37"/>
  <c r="K26" i="37" s="1"/>
  <c r="R20" i="37" s="1"/>
  <c r="E7" i="39"/>
  <c r="F7" i="39" s="1"/>
  <c r="E13" i="39"/>
  <c r="F13" i="39" s="1"/>
  <c r="F17" i="39"/>
  <c r="E12" i="39"/>
  <c r="F12" i="39" s="1"/>
  <c r="Q48" i="34"/>
  <c r="D16" i="39"/>
  <c r="F16" i="39" s="1"/>
  <c r="R72" i="34"/>
  <c r="I13" i="34"/>
  <c r="M13" i="34"/>
  <c r="N13" i="34" s="1"/>
  <c r="M53" i="34"/>
  <c r="N53" i="34" s="1"/>
  <c r="I53" i="34"/>
  <c r="I62" i="34"/>
  <c r="M62" i="34"/>
  <c r="N62" i="34" s="1"/>
  <c r="E57" i="23"/>
  <c r="H85" i="34" s="1"/>
  <c r="I83" i="34"/>
  <c r="M83" i="34"/>
  <c r="N83" i="34" s="1"/>
  <c r="L26" i="37"/>
  <c r="I82" i="34"/>
  <c r="M82" i="34"/>
  <c r="N82" i="34" s="1"/>
  <c r="G98" i="1"/>
  <c r="G99" i="1"/>
  <c r="T74" i="34"/>
  <c r="U74" i="34" s="1"/>
  <c r="P79" i="34"/>
  <c r="D21" i="39" s="1"/>
  <c r="R69" i="34"/>
  <c r="U31" i="34"/>
  <c r="R60" i="34"/>
  <c r="B12" i="37"/>
  <c r="K12" i="37" s="1"/>
  <c r="U77" i="34"/>
  <c r="E24" i="37"/>
  <c r="E50" i="37" s="1"/>
  <c r="D19" i="39"/>
  <c r="F19" i="39" s="1"/>
  <c r="P74" i="34"/>
  <c r="I50" i="34"/>
  <c r="M50" i="34"/>
  <c r="N50" i="34" s="1"/>
  <c r="M81" i="34"/>
  <c r="N81" i="34" s="1"/>
  <c r="I81" i="34"/>
  <c r="G122" i="24"/>
  <c r="D8" i="24" s="1"/>
  <c r="H97" i="1"/>
  <c r="H98" i="1"/>
  <c r="H99" i="1"/>
  <c r="I52" i="34"/>
  <c r="M52" i="34"/>
  <c r="N52" i="34" s="1"/>
  <c r="C13" i="19"/>
  <c r="L13" i="19" s="1"/>
  <c r="C15" i="19"/>
  <c r="L15" i="19" s="1"/>
  <c r="U70" i="34"/>
  <c r="Q8" i="34"/>
  <c r="K9" i="37"/>
  <c r="K16" i="37"/>
  <c r="F19" i="37"/>
  <c r="I50" i="37"/>
  <c r="C24" i="37"/>
  <c r="E29" i="33"/>
  <c r="F81" i="27" s="1"/>
  <c r="D8" i="27" s="1"/>
  <c r="K21" i="15"/>
  <c r="D8" i="15" s="1"/>
  <c r="M68" i="34"/>
  <c r="N68" i="34" s="1"/>
  <c r="N67" i="34" s="1"/>
  <c r="I68" i="34"/>
  <c r="I67" i="34" s="1"/>
  <c r="C14" i="39" s="1"/>
  <c r="R75" i="34"/>
  <c r="Q79" i="34"/>
  <c r="H12" i="34"/>
  <c r="C29" i="19"/>
  <c r="L29" i="19" s="1"/>
  <c r="H20" i="34"/>
  <c r="C12" i="19"/>
  <c r="L12" i="19" s="1"/>
  <c r="H66" i="36"/>
  <c r="C8" i="36"/>
  <c r="E39" i="36"/>
  <c r="J67" i="36" s="1"/>
  <c r="H67" i="36"/>
  <c r="E9" i="36"/>
  <c r="J66" i="36" s="1"/>
  <c r="E42" i="29"/>
  <c r="D8" i="29" s="1"/>
  <c r="H76" i="34" s="1"/>
  <c r="I21" i="25"/>
  <c r="I86" i="34"/>
  <c r="M86" i="34"/>
  <c r="N86" i="34" s="1"/>
  <c r="G42" i="29"/>
  <c r="F42" i="29"/>
  <c r="H78" i="34"/>
  <c r="C32" i="19"/>
  <c r="L32" i="19" s="1"/>
  <c r="F49" i="20"/>
  <c r="E49" i="20"/>
  <c r="E47" i="20"/>
  <c r="F47" i="20"/>
  <c r="J53" i="21"/>
  <c r="C23" i="19"/>
  <c r="L23" i="19" s="1"/>
  <c r="I73" i="34"/>
  <c r="I72" i="34" s="1"/>
  <c r="C17" i="39" s="1"/>
  <c r="M73" i="34"/>
  <c r="N73" i="34" s="1"/>
  <c r="N72" i="34" s="1"/>
  <c r="J26" i="37"/>
  <c r="M26" i="37" s="1"/>
  <c r="M27" i="37"/>
  <c r="C24" i="19"/>
  <c r="L24" i="19" s="1"/>
  <c r="H71" i="34"/>
  <c r="G5" i="33"/>
  <c r="I100" i="1" l="1"/>
  <c r="J50" i="37"/>
  <c r="C63" i="36"/>
  <c r="H70" i="36" s="1"/>
  <c r="D8" i="36"/>
  <c r="D63" i="36" s="1"/>
  <c r="E5" i="33"/>
  <c r="H5" i="33"/>
  <c r="F5" i="33"/>
  <c r="D18" i="39"/>
  <c r="F18" i="39" s="1"/>
  <c r="R74" i="34"/>
  <c r="B24" i="37"/>
  <c r="E11" i="39"/>
  <c r="F11" i="39" s="1"/>
  <c r="R48" i="34"/>
  <c r="D8" i="39"/>
  <c r="F8" i="39" s="1"/>
  <c r="P94" i="34"/>
  <c r="R30" i="34"/>
  <c r="U8" i="34"/>
  <c r="T94" i="34"/>
  <c r="U94" i="34" s="1"/>
  <c r="E21" i="39"/>
  <c r="R79" i="34"/>
  <c r="L24" i="37"/>
  <c r="C50" i="37"/>
  <c r="H63" i="34"/>
  <c r="C19" i="19"/>
  <c r="L19" i="19" s="1"/>
  <c r="Q94" i="34"/>
  <c r="R8" i="34"/>
  <c r="E4" i="39"/>
  <c r="F4" i="39" s="1"/>
  <c r="H21" i="34"/>
  <c r="C30" i="19"/>
  <c r="L30" i="19" s="1"/>
  <c r="F12" i="37"/>
  <c r="L12" i="37" s="1"/>
  <c r="L19" i="37"/>
  <c r="H84" i="34"/>
  <c r="C27" i="19"/>
  <c r="L27" i="19" s="1"/>
  <c r="C28" i="19"/>
  <c r="L28" i="19" s="1"/>
  <c r="Q53" i="37"/>
  <c r="R21" i="37"/>
  <c r="N26" i="37"/>
  <c r="I85" i="34"/>
  <c r="M85" i="34"/>
  <c r="N85" i="34" s="1"/>
  <c r="I12" i="34"/>
  <c r="M12" i="34"/>
  <c r="N12" i="34" s="1"/>
  <c r="I20" i="34"/>
  <c r="M20" i="34"/>
  <c r="N20" i="34" s="1"/>
  <c r="I76" i="34"/>
  <c r="I75" i="34" s="1"/>
  <c r="M76" i="34"/>
  <c r="N76" i="34" s="1"/>
  <c r="M78" i="34"/>
  <c r="N78" i="34" s="1"/>
  <c r="N77" i="34" s="1"/>
  <c r="I78" i="34"/>
  <c r="I77" i="34" s="1"/>
  <c r="C20" i="39" s="1"/>
  <c r="O26" i="37"/>
  <c r="R22" i="37"/>
  <c r="S22" i="37" s="1"/>
  <c r="M50" i="37"/>
  <c r="Q54" i="37"/>
  <c r="R54" i="37" s="1"/>
  <c r="M71" i="34"/>
  <c r="N71" i="34" s="1"/>
  <c r="I71" i="34"/>
  <c r="J100" i="1" l="1"/>
  <c r="G100" i="1"/>
  <c r="H100" i="1"/>
  <c r="D8" i="1" s="1"/>
  <c r="C6" i="19" s="1"/>
  <c r="L6" i="19" s="1"/>
  <c r="R94" i="34"/>
  <c r="E8" i="36"/>
  <c r="E63" i="36"/>
  <c r="I70" i="36"/>
  <c r="J70" i="36" s="1"/>
  <c r="I49" i="34"/>
  <c r="C12" i="39" s="1"/>
  <c r="M63" i="34"/>
  <c r="N63" i="34" s="1"/>
  <c r="N60" i="34" s="1"/>
  <c r="I63" i="34"/>
  <c r="I60" i="34" s="1"/>
  <c r="C13" i="39" s="1"/>
  <c r="B50" i="37"/>
  <c r="K24" i="37"/>
  <c r="I84" i="34"/>
  <c r="M84" i="34"/>
  <c r="N84" i="34" s="1"/>
  <c r="I21" i="34"/>
  <c r="M21" i="34"/>
  <c r="N21" i="34" s="1"/>
  <c r="D24" i="39"/>
  <c r="E24" i="39"/>
  <c r="F21" i="39"/>
  <c r="N19" i="34"/>
  <c r="I19" i="34"/>
  <c r="C6" i="39" s="1"/>
  <c r="P53" i="37"/>
  <c r="R53" i="37" s="1"/>
  <c r="L50" i="37"/>
  <c r="Q21" i="37"/>
  <c r="S21" i="37" s="1"/>
  <c r="N24" i="37"/>
  <c r="O24" i="37"/>
  <c r="N75" i="34"/>
  <c r="N74" i="34"/>
  <c r="C19" i="39"/>
  <c r="I74" i="34"/>
  <c r="C18" i="39" s="1"/>
  <c r="N70" i="34"/>
  <c r="N69" i="34"/>
  <c r="I69" i="34"/>
  <c r="C15" i="39" s="1"/>
  <c r="I70" i="34"/>
  <c r="C16" i="39" s="1"/>
  <c r="H10" i="34" l="1"/>
  <c r="I10" i="34" s="1"/>
  <c r="I9" i="34" s="1"/>
  <c r="C5" i="39" s="1"/>
  <c r="F24" i="39"/>
  <c r="M51" i="34"/>
  <c r="N80" i="34"/>
  <c r="N79" i="34"/>
  <c r="I79" i="34"/>
  <c r="C21" i="39" s="1"/>
  <c r="I80" i="34"/>
  <c r="C22" i="39" s="1"/>
  <c r="I48" i="34"/>
  <c r="C11" i="39" s="1"/>
  <c r="O50" i="37"/>
  <c r="Q20" i="37"/>
  <c r="S20" i="37" s="1"/>
  <c r="K50" i="37"/>
  <c r="N50" i="37" s="1"/>
  <c r="M10" i="34" l="1"/>
  <c r="N10" i="34" s="1"/>
  <c r="N9" i="34" s="1"/>
  <c r="I8" i="34"/>
  <c r="C4" i="39" s="1"/>
  <c r="I94" i="34" l="1"/>
  <c r="C24" i="39" s="1"/>
  <c r="N8" i="34"/>
  <c r="N94" i="34"/>
</calcChain>
</file>

<file path=xl/sharedStrings.xml><?xml version="1.0" encoding="utf-8"?>
<sst xmlns="http://schemas.openxmlformats.org/spreadsheetml/2006/main" count="4426" uniqueCount="1892">
  <si>
    <r>
      <t>Porcentaje de avance en la formulación y/o ajuste de los Planes de Ordenación y Manejo de Cuencas (POMCAS), Planes de Manejo de Acuíferos (PMA) y Planes de Manejo de Microcuencas (PMM</t>
    </r>
    <r>
      <rPr>
        <b/>
        <sz val="9"/>
        <color rgb="FF000000"/>
        <rFont val="Calibri"/>
        <family val="2"/>
        <scheme val="minor"/>
      </rPr>
      <t>)</t>
    </r>
  </si>
  <si>
    <t>(Hoja metodológica versión 1,00)</t>
  </si>
  <si>
    <t>Metodología de cálculo</t>
  </si>
  <si>
    <t>Para su cálculo, se diligencia la siguiente información:</t>
  </si>
  <si>
    <t>Número de cuencas objeto de POMCA en la jurisdicción de la CAR según la zonificación hidrográfica:</t>
  </si>
  <si>
    <t>Número de cuencas objeto de POMCA priorizadas para el cuatrienio en la jurisdicción de la CAR:</t>
  </si>
  <si>
    <t>Número de cuencas con POMCAS aprobados, bajo el nuevo marco normativo (Decreto 1076 de 2015) a 31 de diciembre de 2015:</t>
  </si>
  <si>
    <t>Meta de POMCAS aprobados para el cuatrienio 2016-2019 (número):</t>
  </si>
  <si>
    <t>Meta de PMA aprobados para el cuatrienio 2016-2019 (número):</t>
  </si>
  <si>
    <t>Meta de PMM aprobados para el cuatrienio 2016-2019 (número):</t>
  </si>
  <si>
    <t>Datos generales de los POMCAS:</t>
  </si>
  <si>
    <t>Cuencas, acuíferos y microcuencas objeto de planes en la jurisdicción de la CAR</t>
  </si>
  <si>
    <t>Tipo de Plan (a)</t>
  </si>
  <si>
    <t>Código (b)</t>
  </si>
  <si>
    <t>Nombre de Cuenca, Microcuenca, Acuífero</t>
  </si>
  <si>
    <t>Estado de avance a 31 de diciembre de 2015 (c)</t>
  </si>
  <si>
    <t>POMCA</t>
  </si>
  <si>
    <t>PMA</t>
  </si>
  <si>
    <t>PMM</t>
  </si>
  <si>
    <t>Utilice tantas líneas cuantas sean necesarias.</t>
  </si>
  <si>
    <r>
      <t>(a)</t>
    </r>
    <r>
      <rPr>
        <sz val="7"/>
        <color rgb="FF000000"/>
        <rFont val="Times New Roman"/>
        <family val="1"/>
      </rPr>
      <t xml:space="preserve">     </t>
    </r>
    <r>
      <rPr>
        <sz val="9"/>
        <color rgb="FF000000"/>
        <rFont val="Calibri"/>
        <family val="2"/>
      </rPr>
      <t>POMCA, PMA, PMM</t>
    </r>
  </si>
  <si>
    <r>
      <t>(b)</t>
    </r>
    <r>
      <rPr>
        <sz val="7"/>
        <color rgb="FF000000"/>
        <rFont val="Times New Roman"/>
        <family val="1"/>
      </rPr>
      <t xml:space="preserve">     </t>
    </r>
    <r>
      <rPr>
        <sz val="9"/>
        <color rgb="FF000000"/>
        <rFont val="Calibri"/>
        <family val="2"/>
      </rPr>
      <t>Si aplica</t>
    </r>
  </si>
  <si>
    <r>
      <t>(c)</t>
    </r>
    <r>
      <rPr>
        <sz val="7"/>
        <color rgb="FF000000"/>
        <rFont val="Times New Roman"/>
        <family val="1"/>
      </rPr>
      <t xml:space="preserve">     </t>
    </r>
    <r>
      <rPr>
        <sz val="9"/>
        <color rgb="FF000000"/>
        <rFont val="Calibri"/>
        <family val="2"/>
      </rPr>
      <t>Procesos formales previos, En Fase de Aprestamiento, Diagnóstico, En Fase de Prospectiva y Zonificación Ambiental, en Fase de Formulación y Aprobado. Si está aprobado, escriba el número del acto administrativo.</t>
    </r>
  </si>
  <si>
    <t>Meta anual de avance (%) en la formulación de cada plan</t>
  </si>
  <si>
    <t>N</t>
  </si>
  <si>
    <t>Año 1</t>
  </si>
  <si>
    <t>Año 2</t>
  </si>
  <si>
    <t>Año 3</t>
  </si>
  <si>
    <t>Año 4</t>
  </si>
  <si>
    <t>Utilice tantas líneas cuantas sean necesarias e indique las metas anuales teniendo como base la ponderación establecida para cada fase, hasta alcanzar el 100% con la aprobación del plan.</t>
  </si>
  <si>
    <t>Reporte de porcentaje de avance en la formulación de cada plan (*) (%)</t>
  </si>
  <si>
    <t>Código</t>
  </si>
  <si>
    <t>(*) Para el caso de los POMCA, el avance alcanza el 100% cuando ha sido aprobado a través del respectivo acto administrativo, pues de acuerdo con la Guía Técnica para la formulación de Planes de Ordenación y manejo de Cuencas Hidrográficas (Resolución 1907 de 2013), la fase de formulación concluye con la publicidad y aprobación del plan.</t>
  </si>
  <si>
    <t>Porcentaje de avance de la meta anual en la formulación de cada plan</t>
  </si>
  <si>
    <t>Porcentaje promedio de avance anual en la formulación de los planes</t>
  </si>
  <si>
    <t>Tipo de Plan</t>
  </si>
  <si>
    <t>Ponderación regional</t>
  </si>
  <si>
    <t>POMCAS</t>
  </si>
  <si>
    <r>
      <t xml:space="preserve">PAFP </t>
    </r>
    <r>
      <rPr>
        <vertAlign val="subscript"/>
        <sz val="9"/>
        <color rgb="FF000000"/>
        <rFont val="Calibri"/>
        <family val="2"/>
        <scheme val="minor"/>
      </rPr>
      <t>t</t>
    </r>
    <r>
      <rPr>
        <sz val="9"/>
        <color rgb="FF000000"/>
        <rFont val="Calibri"/>
        <family val="2"/>
        <scheme val="minor"/>
      </rPr>
      <t xml:space="preserve"> = Porcentaje de avance en la formulación y/o ajuste de los Planes de Ordenación y Manejo de Cuencas (POMCAS), Planes de Manejo de Acuíferos (PMA) y Planes de Manejo de Microcuencas (PMM)</t>
    </r>
  </si>
  <si>
    <t>Interpretación</t>
  </si>
  <si>
    <t>El indicador hace seguimiento a la función de planificación ambiental relacionada con el recurso hídrico a cargo de las corporaciones autónomas regionales. Cuanto más cercano a cien por ciento, mayor es el cumplimiento de las metas establecidas en la planificación de dicho recurso.</t>
  </si>
  <si>
    <t>Restricciones o Limitaciones</t>
  </si>
  <si>
    <t>Teniendo en cuenta que la formulación de los POMCAS, PMA y PMM que realizan las Corporaciones Autónomas Regionales y de Desarrollo Sostenible en el marco de sus competencias obedecen a procesos técnicos y sociales particulares de cada región, se pueden presentar situaciones de orden operativo, político y social que pueden afectar los cronogramas definidos para la formulación de dichos instrumentos de planificación.</t>
  </si>
  <si>
    <t>Responsable del reporte de las variables del indicador</t>
  </si>
  <si>
    <t>Entidad</t>
  </si>
  <si>
    <t>Dependencia</t>
  </si>
  <si>
    <t>Nombre del funcionario</t>
  </si>
  <si>
    <t>Cargo</t>
  </si>
  <si>
    <t>Correo electrónico</t>
  </si>
  <si>
    <t>Teléfono</t>
  </si>
  <si>
    <t>Dirección</t>
  </si>
  <si>
    <t>Responsable del cálculo del indicador</t>
  </si>
  <si>
    <t>Ministerio de Ambiente y Desarrollo Sostenible MADS</t>
  </si>
  <si>
    <t>Dirección de Ordenamiento Territorial y Coordinación del Sistema Ambiental – SINA</t>
  </si>
  <si>
    <t xml:space="preserve">Información sobre la Hoja Metodológica </t>
  </si>
  <si>
    <t>Fecha</t>
  </si>
  <si>
    <t>Versión</t>
  </si>
  <si>
    <t>Datos del autor o de quien ajustó la hoja metodológica</t>
  </si>
  <si>
    <t>Descripción de los ajustes</t>
  </si>
  <si>
    <r>
      <t>Hoja Metodológica de referencia:</t>
    </r>
    <r>
      <rPr>
        <sz val="9"/>
        <color rgb="FF000000"/>
        <rFont val="Calibri"/>
        <family val="2"/>
        <scheme val="minor"/>
      </rPr>
      <t xml:space="preserve"> MADS (2016). </t>
    </r>
    <r>
      <rPr>
        <i/>
        <sz val="9"/>
        <color rgb="FF000000"/>
        <rFont val="Calibri"/>
        <family val="2"/>
        <scheme val="minor"/>
      </rPr>
      <t>Hoja metodológica del Porcentaje de avance en la formulación de los Planes de Ordenación y Manejo de Cuencas (POMCAS), Planes de Manejo de Acuíferos (PMA) y Planes de Manejo de Microcuencas (PMM) (Versión 1.0).</t>
    </r>
    <r>
      <rPr>
        <sz val="9"/>
        <color rgb="FF000000"/>
        <rFont val="Calibri"/>
        <family val="2"/>
        <scheme val="minor"/>
      </rPr>
      <t xml:space="preserve"> Ministerio de Ambiente y Desarrollo Sostenible MADS, DGOAT-SINA y DRH.</t>
    </r>
  </si>
  <si>
    <t>Observaciones</t>
  </si>
  <si>
    <t>Descripción del Indicador</t>
  </si>
  <si>
    <t>Definición</t>
  </si>
  <si>
    <t>Es el porcentaje de avance en la formulación o ajuste de los Planes de Ordenación y Manejo de Cuencas (POMCAS), Planes de Manejo de Acuíferos (PMA) y Planes de Manejo de Microcuencas (PMM) priorizados por la Corporación.</t>
  </si>
  <si>
    <t>Pertinencia</t>
  </si>
  <si>
    <t>Finalidad / Propósito:</t>
  </si>
  <si>
    <t>El indicador mide el cumplimiento de las metas establecidas en relación con la formulación o ajuste de los Planes de Ordenación y Manejo de Cuencas (POMCAS), Planes de Manejo de Acuíferos (PMA) y Planes de Manejo de Microcuencas (PMM).</t>
  </si>
  <si>
    <t>Seguimiento a las metas del Plan Nacional de Desarrollo 2014-2018 (POMCAS formulados)</t>
  </si>
  <si>
    <t>Normatividad de soporte:</t>
  </si>
  <si>
    <t>Ley 99 de 1993.</t>
  </si>
  <si>
    <t>Decreto 1076 de 2015.</t>
  </si>
  <si>
    <t>Resolución 1907 de 2013.</t>
  </si>
  <si>
    <t>Resolución 509 de 2013.</t>
  </si>
  <si>
    <t>Documentación de Referencia:</t>
  </si>
  <si>
    <t>Política Nacional para la Gestión Integral del Recurso Hídrico</t>
  </si>
  <si>
    <t>Plan Nacional de Desarrollo 2014-2018</t>
  </si>
  <si>
    <t>Guía Técnica para la formulación de Planes de Ordenación y manejo de Cuencas Hidrográficas.</t>
  </si>
  <si>
    <t>Metas / Estándares</t>
  </si>
  <si>
    <t>Marco conceptual</t>
  </si>
  <si>
    <t>El Plan de Ordenación y manejo de Cuencas Hidrográficas (POMCA) es el instrumento a través del cual se realiza la planeación del uso coordinado del suelo, de las aguas, de la flora y la fauna; y el manejo de la cuenca, entendido como la ejecución de obras y tratamientos, en la perspectiva de mantener el equilibrio entre el aprovechamiento social y económico de tales recursos, y la conservación de la estructura físico -biótica de la cuenca y particularmente del recurso hídrico (Artículo 2.2.3.1.5.1 del Decreto 1076 de 2015).</t>
  </si>
  <si>
    <r>
      <t>Plan de Ordenación y Manejo de Cuenca (POMCA)</t>
    </r>
    <r>
      <rPr>
        <sz val="9"/>
        <color rgb="FF000000"/>
        <rFont val="Calibri"/>
        <family val="2"/>
        <scheme val="minor"/>
      </rPr>
      <t>:</t>
    </r>
  </si>
  <si>
    <t>Para la elaboración o ajuste de los POMCAS, las Corporaciones Autónomas Regionales y de Desarrollo Sostenible deberán desarrollar los siguientes procesos formales previos, las fases e hitos establecidos en la Resolución 1907 de 2013:</t>
  </si>
  <si>
    <r>
      <t>1.</t>
    </r>
    <r>
      <rPr>
        <sz val="7"/>
        <color rgb="FF000000"/>
        <rFont val="Times New Roman"/>
        <family val="1"/>
      </rPr>
      <t xml:space="preserve">       </t>
    </r>
    <r>
      <rPr>
        <sz val="9"/>
        <color rgb="FF000000"/>
        <rFont val="Calibri"/>
        <family val="2"/>
        <scheme val="minor"/>
      </rPr>
      <t>Procesos formales previos (Priorización de Cuencas, Conformación o Reconformación de Comisiones Conjuntas, Declaratoria de Cuencas en Ordenación)</t>
    </r>
  </si>
  <si>
    <r>
      <t>2.</t>
    </r>
    <r>
      <rPr>
        <sz val="7"/>
        <color rgb="FF000000"/>
        <rFont val="Times New Roman"/>
        <family val="1"/>
      </rPr>
      <t xml:space="preserve">       </t>
    </r>
    <r>
      <rPr>
        <sz val="9"/>
        <color rgb="FF000000"/>
        <rFont val="Calibri"/>
        <family val="2"/>
        <scheme val="minor"/>
      </rPr>
      <t>Fase de Aprestamiento</t>
    </r>
  </si>
  <si>
    <r>
      <t>3.</t>
    </r>
    <r>
      <rPr>
        <sz val="7"/>
        <color rgb="FF000000"/>
        <rFont val="Times New Roman"/>
        <family val="1"/>
      </rPr>
      <t xml:space="preserve">       </t>
    </r>
    <r>
      <rPr>
        <sz val="9"/>
        <color rgb="FF000000"/>
        <rFont val="Calibri"/>
        <family val="2"/>
        <scheme val="minor"/>
      </rPr>
      <t>Fase Diagnóstico</t>
    </r>
  </si>
  <si>
    <r>
      <t>4.</t>
    </r>
    <r>
      <rPr>
        <sz val="7"/>
        <color rgb="FF000000"/>
        <rFont val="Times New Roman"/>
        <family val="1"/>
      </rPr>
      <t xml:space="preserve">       </t>
    </r>
    <r>
      <rPr>
        <sz val="9"/>
        <color rgb="FF000000"/>
        <rFont val="Calibri"/>
        <family val="2"/>
        <scheme val="minor"/>
      </rPr>
      <t>Fase de Prospectiva y Zonificación Ambiental</t>
    </r>
  </si>
  <si>
    <r>
      <t>5.</t>
    </r>
    <r>
      <rPr>
        <sz val="7"/>
        <color rgb="FF000000"/>
        <rFont val="Times New Roman"/>
        <family val="1"/>
      </rPr>
      <t xml:space="preserve">       </t>
    </r>
    <r>
      <rPr>
        <sz val="9"/>
        <color rgb="FF000000"/>
        <rFont val="Calibri"/>
        <family val="2"/>
        <scheme val="minor"/>
      </rPr>
      <t>Fase de Formulación</t>
    </r>
  </si>
  <si>
    <r>
      <t>Plan de Manejo de Acuíferos (PMA)</t>
    </r>
    <r>
      <rPr>
        <sz val="9"/>
        <color rgb="FF000000"/>
        <rFont val="Calibri"/>
        <family val="2"/>
        <scheme val="minor"/>
      </rPr>
      <t>:</t>
    </r>
  </si>
  <si>
    <t>Para la elaboración o ajuste de PMA con base en el Decreto 1076 de 2015 (Dto 1640 de 2012), las Corporaciones Autónomas Regionales y de Desarrollo Sostenible deberán desarrollar las siguientes fases:</t>
  </si>
  <si>
    <r>
      <t>1.</t>
    </r>
    <r>
      <rPr>
        <sz val="7"/>
        <color rgb="FF000000"/>
        <rFont val="Times New Roman"/>
        <family val="1"/>
      </rPr>
      <t xml:space="preserve">       </t>
    </r>
    <r>
      <rPr>
        <sz val="9"/>
        <color rgb="FF000000"/>
        <rFont val="Calibri"/>
        <family val="2"/>
        <scheme val="minor"/>
      </rPr>
      <t>Fase de Aprestamiento</t>
    </r>
  </si>
  <si>
    <r>
      <t>2.</t>
    </r>
    <r>
      <rPr>
        <sz val="7"/>
        <color rgb="FF000000"/>
        <rFont val="Times New Roman"/>
        <family val="1"/>
      </rPr>
      <t xml:space="preserve">       </t>
    </r>
    <r>
      <rPr>
        <sz val="9"/>
        <color rgb="FF000000"/>
        <rFont val="Calibri"/>
        <family val="2"/>
        <scheme val="minor"/>
      </rPr>
      <t>Fase Diagnóstico</t>
    </r>
  </si>
  <si>
    <r>
      <t>3.</t>
    </r>
    <r>
      <rPr>
        <sz val="7"/>
        <color rgb="FF000000"/>
        <rFont val="Times New Roman"/>
        <family val="1"/>
      </rPr>
      <t xml:space="preserve">       </t>
    </r>
    <r>
      <rPr>
        <sz val="9"/>
        <color rgb="FF000000"/>
        <rFont val="Calibri"/>
        <family val="2"/>
        <scheme val="minor"/>
      </rPr>
      <t>Fase de Formulación</t>
    </r>
  </si>
  <si>
    <r>
      <t>Plan de Manejo de Microcuencas (PMM)</t>
    </r>
    <r>
      <rPr>
        <sz val="9"/>
        <color rgb="FF000000"/>
        <rFont val="Calibri"/>
        <family val="2"/>
        <scheme val="minor"/>
      </rPr>
      <t>:</t>
    </r>
  </si>
  <si>
    <t>Para la elaboración o ajuste de PMM con base en el Decreto 1076 de 2015 (Dto 1640 de 2012), las Corporaciones Autónomas Regionales y de Desarrollo Sostenible deberán desarrollar las siguientes fases:</t>
  </si>
  <si>
    <r>
      <t>3.</t>
    </r>
    <r>
      <rPr>
        <i/>
        <sz val="7"/>
        <color rgb="FF000000"/>
        <rFont val="Times New Roman"/>
        <family val="1"/>
      </rPr>
      <t xml:space="preserve">       </t>
    </r>
    <r>
      <rPr>
        <sz val="9"/>
        <color rgb="FF000000"/>
        <rFont val="Calibri"/>
        <family val="2"/>
        <scheme val="minor"/>
      </rPr>
      <t>Fase de Formulación</t>
    </r>
  </si>
  <si>
    <t>Fórmula de cálculo</t>
  </si>
  <si>
    <t>Donde:</t>
  </si>
  <si>
    <r>
      <t xml:space="preserve">PAFP </t>
    </r>
    <r>
      <rPr>
        <vertAlign val="subscript"/>
        <sz val="9"/>
        <color rgb="FF000000"/>
        <rFont val="Calibri"/>
        <family val="2"/>
        <scheme val="minor"/>
      </rPr>
      <t>t</t>
    </r>
    <r>
      <rPr>
        <sz val="9"/>
        <color rgb="FF000000"/>
        <rFont val="Calibri"/>
        <family val="2"/>
        <scheme val="minor"/>
      </rPr>
      <t xml:space="preserve"> = Porcentaje de avance en la formulación de los Planes de Ordenación y Manejo de Cuencas (POMCAS), Planes de Manejo de Acuíferos (PMA) y Planes de Manejo de Microcuencas (PMM), en el tiempo t.</t>
    </r>
  </si>
  <si>
    <r>
      <t xml:space="preserve">PPAPOMCAS </t>
    </r>
    <r>
      <rPr>
        <vertAlign val="subscript"/>
        <sz val="9"/>
        <color rgb="FF000000"/>
        <rFont val="Calibri"/>
        <family val="2"/>
        <scheme val="minor"/>
      </rPr>
      <t>t</t>
    </r>
    <r>
      <rPr>
        <sz val="9"/>
        <color rgb="FF000000"/>
        <rFont val="Calibri"/>
        <family val="2"/>
        <scheme val="minor"/>
      </rPr>
      <t xml:space="preserve"> = Porcentaje promedio de avance en la formulación de los Planes de Ordenación y Manejo de Cuencas (POMCAS), en el tiempo t.</t>
    </r>
  </si>
  <si>
    <r>
      <t xml:space="preserve">PPAPMA </t>
    </r>
    <r>
      <rPr>
        <vertAlign val="subscript"/>
        <sz val="9"/>
        <color rgb="FF000000"/>
        <rFont val="Calibri"/>
        <family val="2"/>
        <scheme val="minor"/>
      </rPr>
      <t>t</t>
    </r>
    <r>
      <rPr>
        <sz val="9"/>
        <color rgb="FF000000"/>
        <rFont val="Calibri"/>
        <family val="2"/>
        <scheme val="minor"/>
      </rPr>
      <t xml:space="preserve"> = Porcentaje promedio de avance en la formulación de los Planes de Manejo de Acuíferos (PMA), en el tiempo t.</t>
    </r>
  </si>
  <si>
    <r>
      <t xml:space="preserve">PPAPMM </t>
    </r>
    <r>
      <rPr>
        <vertAlign val="subscript"/>
        <sz val="9"/>
        <color rgb="FF000000"/>
        <rFont val="Calibri"/>
        <family val="2"/>
        <scheme val="minor"/>
      </rPr>
      <t>t</t>
    </r>
    <r>
      <rPr>
        <sz val="9"/>
        <color rgb="FF000000"/>
        <rFont val="Calibri"/>
        <family val="2"/>
        <scheme val="minor"/>
      </rPr>
      <t xml:space="preserve"> = Porcentaje promedio de avance en la formulación de los Planes de Microcuencas (PMM), en el tiempo t.</t>
    </r>
  </si>
  <si>
    <t>a = ponderador de POMCAS</t>
  </si>
  <si>
    <t>b = ponderador de PMA</t>
  </si>
  <si>
    <t>c = ponderador de PMM</t>
  </si>
  <si>
    <t>a + b + c = 1</t>
  </si>
  <si>
    <t>Los ponderadores de POMCAS, PMA y PMM serán definidos por cada CAR teniendo en cuenta las metas de los diferentes tipos de planes y las condiciones particulares regionales.</t>
  </si>
  <si>
    <t>Los ponderadores de las fases de POMCAS, PMA y PMM en el cuatrienio son los siguientes:</t>
  </si>
  <si>
    <r>
      <t>Plan de Ordenación y Manejo de Cuenca (POMCA)</t>
    </r>
    <r>
      <rPr>
        <sz val="9"/>
        <color rgb="FF000000"/>
        <rFont val="Calibri"/>
        <family val="2"/>
        <scheme val="minor"/>
      </rPr>
      <t xml:space="preserve">: </t>
    </r>
  </si>
  <si>
    <t>Fase</t>
  </si>
  <si>
    <t>Ponderación fase</t>
  </si>
  <si>
    <t>Ponderación acumulada</t>
  </si>
  <si>
    <r>
      <t>1.</t>
    </r>
    <r>
      <rPr>
        <sz val="7"/>
        <color rgb="FF000000"/>
        <rFont val="Times New Roman"/>
        <family val="1"/>
      </rPr>
      <t xml:space="preserve"> </t>
    </r>
    <r>
      <rPr>
        <sz val="9"/>
        <color rgb="FF000000"/>
        <rFont val="Calibri"/>
        <family val="2"/>
        <scheme val="minor"/>
      </rPr>
      <t>Procesos formales previos</t>
    </r>
  </si>
  <si>
    <r>
      <t>2.</t>
    </r>
    <r>
      <rPr>
        <sz val="7"/>
        <color rgb="FF000000"/>
        <rFont val="Times New Roman"/>
        <family val="1"/>
      </rPr>
      <t xml:space="preserve"> </t>
    </r>
    <r>
      <rPr>
        <sz val="9"/>
        <color rgb="FF000000"/>
        <rFont val="Calibri"/>
        <family val="2"/>
        <scheme val="minor"/>
      </rPr>
      <t>Fase de Aprestamiento</t>
    </r>
  </si>
  <si>
    <r>
      <t>3.</t>
    </r>
    <r>
      <rPr>
        <sz val="7"/>
        <color rgb="FF000000"/>
        <rFont val="Times New Roman"/>
        <family val="1"/>
      </rPr>
      <t xml:space="preserve"> </t>
    </r>
    <r>
      <rPr>
        <sz val="9"/>
        <color rgb="FF000000"/>
        <rFont val="Calibri"/>
        <family val="2"/>
        <scheme val="minor"/>
      </rPr>
      <t>Fase Diagnóstico</t>
    </r>
  </si>
  <si>
    <r>
      <t>4.</t>
    </r>
    <r>
      <rPr>
        <sz val="7"/>
        <color rgb="FF000000"/>
        <rFont val="Times New Roman"/>
        <family val="1"/>
      </rPr>
      <t xml:space="preserve"> </t>
    </r>
    <r>
      <rPr>
        <sz val="9"/>
        <color rgb="FF000000"/>
        <rFont val="Calibri"/>
        <family val="2"/>
        <scheme val="minor"/>
      </rPr>
      <t>Fase de Prospectiva y Zonificación Ambiental</t>
    </r>
  </si>
  <si>
    <r>
      <t>5.</t>
    </r>
    <r>
      <rPr>
        <sz val="7"/>
        <color rgb="FF000000"/>
        <rFont val="Times New Roman"/>
        <family val="1"/>
      </rPr>
      <t xml:space="preserve"> </t>
    </r>
    <r>
      <rPr>
        <sz val="9"/>
        <color rgb="FF000000"/>
        <rFont val="Calibri"/>
        <family val="2"/>
        <scheme val="minor"/>
      </rPr>
      <t>Fase de Formulación</t>
    </r>
  </si>
  <si>
    <r>
      <t>1.</t>
    </r>
    <r>
      <rPr>
        <sz val="7"/>
        <color rgb="FF000000"/>
        <rFont val="Times New Roman"/>
        <family val="1"/>
      </rPr>
      <t xml:space="preserve">                </t>
    </r>
    <r>
      <rPr>
        <sz val="9"/>
        <color rgb="FF000000"/>
        <rFont val="Calibri"/>
        <family val="2"/>
        <scheme val="minor"/>
      </rPr>
      <t xml:space="preserve">Fase de Aprestamiento </t>
    </r>
  </si>
  <si>
    <r>
      <t>2.</t>
    </r>
    <r>
      <rPr>
        <sz val="7"/>
        <color rgb="FF000000"/>
        <rFont val="Times New Roman"/>
        <family val="1"/>
      </rPr>
      <t xml:space="preserve">                </t>
    </r>
    <r>
      <rPr>
        <sz val="9"/>
        <color rgb="FF000000"/>
        <rFont val="Calibri"/>
        <family val="2"/>
        <scheme val="minor"/>
      </rPr>
      <t>Fase Diagnóstico</t>
    </r>
  </si>
  <si>
    <r>
      <t>3.</t>
    </r>
    <r>
      <rPr>
        <sz val="7"/>
        <color rgb="FF000000"/>
        <rFont val="Times New Roman"/>
        <family val="1"/>
      </rPr>
      <t xml:space="preserve">                </t>
    </r>
    <r>
      <rPr>
        <sz val="9"/>
        <color rgb="FF000000"/>
        <rFont val="Calibri"/>
        <family val="2"/>
        <scheme val="minor"/>
      </rPr>
      <t>Fase de Formulación</t>
    </r>
  </si>
  <si>
    <r>
      <t>Plan de Manejo de Microcuencas</t>
    </r>
    <r>
      <rPr>
        <sz val="9"/>
        <color rgb="FF000000"/>
        <rFont val="Calibri"/>
        <family val="2"/>
        <scheme val="minor"/>
      </rPr>
      <t xml:space="preserve"> </t>
    </r>
  </si>
  <si>
    <r>
      <t>1.</t>
    </r>
    <r>
      <rPr>
        <sz val="7"/>
        <color rgb="FF000000"/>
        <rFont val="Times New Roman"/>
        <family val="1"/>
      </rPr>
      <t xml:space="preserve">                </t>
    </r>
    <r>
      <rPr>
        <sz val="9"/>
        <color rgb="FF000000"/>
        <rFont val="Calibri"/>
        <family val="2"/>
        <scheme val="minor"/>
      </rPr>
      <t>Fase de Aprestamiento</t>
    </r>
  </si>
  <si>
    <r>
      <t>Porcentaje de avance de la meta anual en la formulación de cada plan</t>
    </r>
    <r>
      <rPr>
        <sz val="9"/>
        <color rgb="FF000000"/>
        <rFont val="Calibri"/>
        <family val="2"/>
        <scheme val="minor"/>
      </rPr>
      <t xml:space="preserve"> (ejemplo: POMCA de Cuenca Río Frío)</t>
    </r>
  </si>
  <si>
    <t>Es resultado del cociente entre el avance en la formulación de cada plan y la meta anual en la formulación de un determinado plan, al cierre de cada vigencia.</t>
  </si>
  <si>
    <t xml:space="preserve"> * 100</t>
  </si>
  <si>
    <r>
      <t xml:space="preserve">PAMAP </t>
    </r>
    <r>
      <rPr>
        <vertAlign val="subscript"/>
        <sz val="9"/>
        <color rgb="FF000000"/>
        <rFont val="Calibri"/>
        <family val="2"/>
        <scheme val="minor"/>
      </rPr>
      <t>zt</t>
    </r>
    <r>
      <rPr>
        <sz val="9"/>
        <color rgb="FF000000"/>
        <rFont val="Calibri"/>
        <family val="2"/>
        <scheme val="minor"/>
      </rPr>
      <t xml:space="preserve"> = Porcentaje de avance de la meta anual del Plan z, en el tiempo t.</t>
    </r>
  </si>
  <si>
    <r>
      <t xml:space="preserve">PAFP </t>
    </r>
    <r>
      <rPr>
        <vertAlign val="subscript"/>
        <sz val="9"/>
        <color rgb="FF000000"/>
        <rFont val="Calibri"/>
        <family val="2"/>
        <scheme val="minor"/>
      </rPr>
      <t>zt</t>
    </r>
    <r>
      <rPr>
        <sz val="9"/>
        <color rgb="FF000000"/>
        <rFont val="Calibri"/>
        <family val="2"/>
        <scheme val="minor"/>
      </rPr>
      <t xml:space="preserve"> = Porcentaje de avance en la formulación del Plan z, en el tiempo t.</t>
    </r>
  </si>
  <si>
    <r>
      <t>MFP</t>
    </r>
    <r>
      <rPr>
        <vertAlign val="subscript"/>
        <sz val="9"/>
        <color rgb="FF000000"/>
        <rFont val="Calibri"/>
        <family val="2"/>
        <scheme val="minor"/>
      </rPr>
      <t xml:space="preserve"> zt</t>
    </r>
    <r>
      <rPr>
        <sz val="9"/>
        <color rgb="FF000000"/>
        <rFont val="Calibri"/>
        <family val="2"/>
        <scheme val="minor"/>
      </rPr>
      <t xml:space="preserve"> = Meta anual de avance (%) en la formulación del plan z, en el tiempo t.</t>
    </r>
  </si>
  <si>
    <r>
      <t xml:space="preserve">Porcentaje promedio de avance anual en la formulación de los planes </t>
    </r>
    <r>
      <rPr>
        <sz val="9"/>
        <color rgb="FF000000"/>
        <rFont val="Calibri"/>
        <family val="2"/>
        <scheme val="minor"/>
      </rPr>
      <t>(ejemplo: los POMCAS priorizados para el cuatrienio)</t>
    </r>
  </si>
  <si>
    <t>El cálculo del Porcentaje promedio de avance anual en la formulación de los planes se obtiene de la siguiente manera:</t>
  </si>
  <si>
    <r>
      <t xml:space="preserve">PPAP </t>
    </r>
    <r>
      <rPr>
        <vertAlign val="subscript"/>
        <sz val="9"/>
        <color rgb="FF000000"/>
        <rFont val="Calibri"/>
        <family val="2"/>
        <scheme val="minor"/>
      </rPr>
      <t>it</t>
    </r>
    <r>
      <rPr>
        <sz val="9"/>
        <color rgb="FF000000"/>
        <rFont val="Calibri"/>
        <family val="2"/>
        <scheme val="minor"/>
      </rPr>
      <t xml:space="preserve"> = Porcentaje promedio de avance anual en la formulación de los planes i, en el tiempo t.</t>
    </r>
  </si>
  <si>
    <r>
      <t xml:space="preserve">PAMAP </t>
    </r>
    <r>
      <rPr>
        <vertAlign val="subscript"/>
        <sz val="9"/>
        <color rgb="FF000000"/>
        <rFont val="Calibri"/>
        <family val="2"/>
        <scheme val="minor"/>
      </rPr>
      <t>zt</t>
    </r>
    <r>
      <rPr>
        <sz val="9"/>
        <color rgb="FF000000"/>
        <rFont val="Calibri"/>
        <family val="2"/>
        <scheme val="minor"/>
      </rPr>
      <t xml:space="preserve"> = Porcentaje de avance de la meta anual en la formulación del Plan z, en el tiempo t.</t>
    </r>
  </si>
  <si>
    <r>
      <t xml:space="preserve">N </t>
    </r>
    <r>
      <rPr>
        <vertAlign val="subscript"/>
        <sz val="9"/>
        <color rgb="FF000000"/>
        <rFont val="Calibri"/>
        <family val="2"/>
        <scheme val="minor"/>
      </rPr>
      <t>t</t>
    </r>
    <r>
      <rPr>
        <sz val="9"/>
        <color rgb="FF000000"/>
        <rFont val="Calibri"/>
        <family val="2"/>
        <scheme val="minor"/>
      </rPr>
      <t xml:space="preserve"> = número total de planes en el tiempo t</t>
    </r>
  </si>
  <si>
    <r>
      <t xml:space="preserve">i = </t>
    </r>
    <r>
      <rPr>
        <sz val="9"/>
        <color rgb="FF000000"/>
        <rFont val="Calibri"/>
        <family val="2"/>
        <scheme val="minor"/>
      </rPr>
      <t>Planes de Ordenación y Manejo de Cuencas (POMCAS), Planes de Manejo de Acuíferos (PMA) y Planes de Manejo de Microcuencas (PMM)</t>
    </r>
    <r>
      <rPr>
        <i/>
        <sz val="9"/>
        <color rgb="FF000000"/>
        <rFont val="Calibri"/>
        <family val="2"/>
        <scheme val="minor"/>
      </rPr>
      <t xml:space="preserve"> </t>
    </r>
  </si>
  <si>
    <t>Datos reportados por la Corporación</t>
  </si>
  <si>
    <t>Datos establecidos por el MADS</t>
  </si>
  <si>
    <t>Datos calculados por el sistema</t>
  </si>
  <si>
    <t>Porcentaje de cuerpos de agua con planes de ordenamiento del recurso hídrico (PORH) adoptados</t>
  </si>
  <si>
    <t>Es la relación entre el número de cuerpos de agua con planes de ordenamiento del recurso hídrico (PORH) adoptados y la meta de cuerpos de agua priorizados para la adopción de dichos planes por parte de la autoridad ambiental.</t>
  </si>
  <si>
    <t>El indicador mide el cumplimiento de las metas que la autoridad ambiental se ha propuesto alcanzar en relación con el número de cuerpos de agua con planes de ordenamiento del recurso hídrico (PORH) adoptados.</t>
  </si>
  <si>
    <t>Normatividad relacionada:</t>
  </si>
  <si>
    <t>Decreto Ley 2811/74, Decreto-Ley 1875 de 1979</t>
  </si>
  <si>
    <t>Ley 99 de 1993. Ley Marco del Medio Ambiente.</t>
  </si>
  <si>
    <t>Decreto 1076 de 2015,</t>
  </si>
  <si>
    <t>Resolución 509 de 2013. Define los lineamientos para la conformación de los Consejos de Cuenca y su participación en las fases del plan de ordenación y manejo de la cuenca</t>
  </si>
  <si>
    <t>Resolución 1907 de 2013. Expide la Guía técnica para la formulación de los planes de ordenación y manejo de cuencas hidrográficas.</t>
  </si>
  <si>
    <t>Resolución 1207 de 2014. Adopta disposiciones relacionadas con el uso de aguas residuales tratadas.</t>
  </si>
  <si>
    <t>Documentación de referencia:</t>
  </si>
  <si>
    <t>Política Nacional de Gestión Integral del Recurso Hídrico – PNGIRH.</t>
  </si>
  <si>
    <t>El Plan de Ordenamiento del Recurso Hídrico- PORH es el instrumento de planificación que se rige por lo dispuesto en el Decreto 1076 de 2015.</t>
  </si>
  <si>
    <r>
      <t xml:space="preserve">PPORHA </t>
    </r>
    <r>
      <rPr>
        <vertAlign val="subscript"/>
        <sz val="9"/>
        <color rgb="FF000000"/>
        <rFont val="Calibri"/>
        <family val="2"/>
        <scheme val="minor"/>
      </rPr>
      <t>t</t>
    </r>
    <r>
      <rPr>
        <sz val="9"/>
        <color rgb="FF000000"/>
        <rFont val="Calibri"/>
        <family val="2"/>
        <scheme val="minor"/>
      </rPr>
      <t xml:space="preserve"> = Porcentaje de cuerpos de agua con planes de ordenamiento del recurso hídrico (PORH) adoptados, en el tiempo t.</t>
    </r>
  </si>
  <si>
    <r>
      <t xml:space="preserve">PORHA </t>
    </r>
    <r>
      <rPr>
        <vertAlign val="subscript"/>
        <sz val="9"/>
        <color rgb="FF000000"/>
        <rFont val="Calibri"/>
        <family val="2"/>
        <scheme val="minor"/>
      </rPr>
      <t>t</t>
    </r>
    <r>
      <rPr>
        <sz val="9"/>
        <color rgb="FF000000"/>
        <rFont val="Calibri"/>
        <family val="2"/>
        <scheme val="minor"/>
      </rPr>
      <t xml:space="preserve"> = Número de Cuerpos de agua con planes de ordenamiento del recurso hídrico adoptados, en el tiempo t.</t>
    </r>
  </si>
  <si>
    <r>
      <t xml:space="preserve">MPORHA </t>
    </r>
    <r>
      <rPr>
        <vertAlign val="subscript"/>
        <sz val="9"/>
        <color rgb="FF000000"/>
        <rFont val="Calibri"/>
        <family val="2"/>
        <scheme val="minor"/>
      </rPr>
      <t>t</t>
    </r>
    <r>
      <rPr>
        <sz val="9"/>
        <color rgb="FF000000"/>
        <rFont val="Calibri"/>
        <family val="2"/>
        <scheme val="minor"/>
      </rPr>
      <t xml:space="preserve"> = Meta de Cuerpos de agua con plan de ordenamiento del recurso hídrico adoptados, en el tiempo t.</t>
    </r>
  </si>
  <si>
    <t>La meta de número de cuerpos de agua con planes de ordenamiento del recurso hídrico adoptados es establecida en el Plan de Acción de la Corporación.</t>
  </si>
  <si>
    <t>Número total de cuerpos de agua sujeto de reglamentación de planes de ordenamiento del recurso hídrico (PORH):</t>
  </si>
  <si>
    <t>Número total de cuerpos de agua sujeto de reglamentación de planes de ordenamiento del recurso hídrico (PORH) adoptados a 31/12/2015:</t>
  </si>
  <si>
    <t>Número total de Cuerpos de agua con plan de ordenamiento del recurso hídrico (PORH) priorizados por la Corporación para su adopción durante el cuatrienio:</t>
  </si>
  <si>
    <t>Variable</t>
  </si>
  <si>
    <t>Total</t>
  </si>
  <si>
    <t>A</t>
  </si>
  <si>
    <t>Meta de cuerpos de agua con planes de ordenamiento del recurso hídrico (PORH) adoptados MPORHA</t>
  </si>
  <si>
    <t>B</t>
  </si>
  <si>
    <t>Número de cuerpos de agua con planes de ordenamiento del recurso hídrico adoptados (PORHA)</t>
  </si>
  <si>
    <t>C</t>
  </si>
  <si>
    <t>Porcentaje de Cuerpos de agua con planes de ordenamiento del recurso hídrico adoptados (PPORHA) (C = B / A)</t>
  </si>
  <si>
    <t>Cuanto más cercano a cien por ciento, mayor es el cumplimiento de las metas que la autoridad ambiental se ha propuesto alcanzar en relación con el número de cuerpos de agua con planes de ordenamiento del recurso hídrico (PORH) adoptados.</t>
  </si>
  <si>
    <t>Se pueden presentar situaciones de orden operativo, político y social que pueden afectar la ejecución de los presupuestos y el cumplimiento de los cronogramas definidos en el Plan de Acción de la Corporación.</t>
  </si>
  <si>
    <t>Dirección de Ordenamiento Territorial y Coordinación del Sistema Ambiental - SINA</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</si>
  <si>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Cuerpos de agua con planes de ordenamiento del recurso hídrico (PORH) adoptados (Versión 1.0).</t>
    </r>
    <r>
      <rPr>
        <sz val="9"/>
        <color rgb="FF000000"/>
        <rFont val="Calibri"/>
        <family val="2"/>
        <scheme val="minor"/>
      </rPr>
      <t xml:space="preserve"> Ministerio de Ambiente y Desarrollo Sostenible, DGOAT-SINA y DRH.</t>
    </r>
  </si>
  <si>
    <t>Porcentaje de Planes de Saneamiento y Manejo de Vertimientos (PSMV) con seguimiento</t>
  </si>
  <si>
    <t>Es la relación entre el número de Planes de Saneamiento y Manejo de Vertimientos (PSMV) con seguimiento con respecto a la meta de seguimiento de dichos planes por parte de la autoridad ambiental.</t>
  </si>
  <si>
    <t>El indicador mide el cumplimiento de las metas que la autoridad ambiental se ha propuesto alcanzar en relación con el seguimiento a los Planes de Saneamiento y Manejo de Vertimientos (PSMV).</t>
  </si>
  <si>
    <t>Decreto 1076 de 2015</t>
  </si>
  <si>
    <t>Resolución SSPD 20151300054195 de 2015</t>
  </si>
  <si>
    <t>Resolución 1433 de 2004 del MAVDT</t>
  </si>
  <si>
    <t>Resolución 2145 de 2005 de MAVDT</t>
  </si>
  <si>
    <t>El prestador del servicio de alcantarillado como usuario del recurso hídrico, deberá dar cumplimiento a la norma de vertimiento vigente y contar con el respectivo permiso de vertimiento o con el Plan de Saneamiento y Manejo de Vertimientos – PSMV reglamentado por la Resolución 1433 de 2004 del Ministerio de Ambiente y Desarrollo Sostenible.</t>
  </si>
  <si>
    <t>Por su parte, las autoridades ambientales deberán realizar el seguimiento, control y verificación del cumplimiento de lo dispuesto en los permisos de vertimiento, los Planes de Cumplimiento y Planes de Saneamiento y Manejo de Vertimientos, y efectuarán inspecciones periódicas a todos los usuarios.</t>
  </si>
  <si>
    <t>El incumplimiento de los términos, condiciones y obligaciones previstos en el permiso de vertimiento, Plan de Cumplimiento o Plan de Saneamiento y Manejo de Vertimientos, dará lugar a la imposición de las medidas preventivas y sancionatorias, siguiendo el procedimiento previsto en la Ley 1333 de 2009 o la norma que la adicione, modifique o sustituya.</t>
  </si>
  <si>
    <r>
      <t xml:space="preserve">PPSMVCS </t>
    </r>
    <r>
      <rPr>
        <vertAlign val="subscript"/>
        <sz val="9"/>
        <color rgb="FF000000"/>
        <rFont val="Calibri"/>
        <family val="2"/>
        <scheme val="minor"/>
      </rPr>
      <t>t</t>
    </r>
    <r>
      <rPr>
        <sz val="9"/>
        <color rgb="FF000000"/>
        <rFont val="Calibri"/>
        <family val="2"/>
        <scheme val="minor"/>
      </rPr>
      <t xml:space="preserve"> = Porcentaje de Planes de Saneamiento y Manejo de Vertimientos (PSMV) con seguimiento, en el tiempo t.</t>
    </r>
  </si>
  <si>
    <r>
      <t xml:space="preserve">PSMVCS </t>
    </r>
    <r>
      <rPr>
        <vertAlign val="subscript"/>
        <sz val="9"/>
        <color rgb="FF000000"/>
        <rFont val="Calibri"/>
        <family val="2"/>
        <scheme val="minor"/>
      </rPr>
      <t>t</t>
    </r>
    <r>
      <rPr>
        <sz val="9"/>
        <color rgb="FF000000"/>
        <rFont val="Calibri"/>
        <family val="2"/>
        <scheme val="minor"/>
      </rPr>
      <t xml:space="preserve"> = Número de Planes de Saneamiento y Manejo de Vertimientos con seguimiento, en el tiempo t.</t>
    </r>
  </si>
  <si>
    <r>
      <t xml:space="preserve">MPSMVCS </t>
    </r>
    <r>
      <rPr>
        <vertAlign val="subscript"/>
        <sz val="9"/>
        <color rgb="FF000000"/>
        <rFont val="Calibri"/>
        <family val="2"/>
        <scheme val="minor"/>
      </rPr>
      <t>t</t>
    </r>
    <r>
      <rPr>
        <sz val="9"/>
        <color rgb="FF000000"/>
        <rFont val="Calibri"/>
        <family val="2"/>
        <scheme val="minor"/>
      </rPr>
      <t xml:space="preserve"> = Meta de Planes de Saneamiento y Manejo de Vertimientos con seguimiento, en el tiempo t.</t>
    </r>
  </si>
  <si>
    <t>La meta de número de Planes de Saneamiento y Manejo de Vertimientos sujetos a seguimiento es establecida en el Plan de Acción de la Corporación.</t>
  </si>
  <si>
    <t>Número total de Planes de Saneamiento y Manejo de Vertimientos (PSMV) aprobados por la Corporación:</t>
  </si>
  <si>
    <t>Número total de Planes de Saneamiento y Manejo de Vertimientos (PSMV) priorizados por la Corporación para hacer seguimiento en el cuatrienio:</t>
  </si>
  <si>
    <t>Meta de Planes de Saneamiento y Manejo de Vertimientos (PSMV) con seguimiento MPSMVCS</t>
  </si>
  <si>
    <t>Número de Planes de Saneamiento y Manejo de Vertimientos con seguimiento (PSMVCS)</t>
  </si>
  <si>
    <t>Porcentaje de Planes de Saneamiento y Manejo de Vertimientos con seguimiento (PPSMVCS) (C = B / A)</t>
  </si>
  <si>
    <t>Cuanto más cercano a cien por ciento, mayor es el cumplimiento de las metas que la autoridad ambiental se ha propuesto alcanzar en relación con el seguimiento a los Planes de Saneamiento y Manejo de Vertimientos (PSMV)</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</si>
  <si>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Planes de Saneamiento y Manejo de Vertimientos (PSMV) con seguimiento (Versión 1.0).</t>
    </r>
    <r>
      <rPr>
        <sz val="9"/>
        <color rgb="FF000000"/>
        <rFont val="Calibri"/>
        <family val="2"/>
        <scheme val="minor"/>
      </rPr>
      <t xml:space="preserve"> Ministerio de Ambiente y Desarrollo Sostenible, DGOAT-SINA y DRH.</t>
    </r>
  </si>
  <si>
    <t>Porcentaje de cuerpos de agua con reglamentación del uso de las aguas</t>
  </si>
  <si>
    <t>Es la relación entre el número de cuerpos de agua con reglamentación del uso de las aguas y la meta de cuerpos de agua a ser reglamentados en su uso de las aguas por parte de la autoridad ambiental.</t>
  </si>
  <si>
    <t>El indicador mide el cumplimiento de las metas que la autoridad ambiental se ha propuesto alcanzar en relación con el número de cuerpos de agua con reglamentación del uso de las aguas.</t>
  </si>
  <si>
    <t>La reglamentación del uso de las aguas es un instrumento que busca distribuir adecuadamente el agua en las corrientes hídricas, establecer obras de captación y conducción para el uso racional del recurso hídrico, legalizar el uso del agua, incentivar un manejo responsable del caudal otorgado y un uso eficiente del recurso.</t>
  </si>
  <si>
    <t>Así mismo el decreto 1076 de 2015, precisa que: “en todo caso, el Plan de Ordenamiento del Recurso Hídrico deberá definir la conveniencia de adelantar la reglamentación del uso de las aguas, de conformidad con lo establecido en el artículo 2.2.3.2.13.2 del presente Decreto o la norma que lo modifique o sustituya, y la reglamentación de vertimientos según lo dispuesto en el presente decreto o de administrar el cuerpo de agua a través de concesiones de agua y permisos de vertimiento. Así mismo, dará lugar al ajuste de la reglamentación del uso de las aguas, de la reglamentación de vertimientos, de las concesiones, de los permisos de vertimiento, de los planes de cumplimiento y de los planes de saneamiento y manejo de vertimientos y de las metas de reducción, según el caso.”</t>
  </si>
  <si>
    <t>De lo anterior se concluye que adelantar los procedimientos mencionados obedecerá a los resultados de los análisis elaborados en el PORH.</t>
  </si>
  <si>
    <r>
      <t xml:space="preserve">PRUA </t>
    </r>
    <r>
      <rPr>
        <vertAlign val="subscript"/>
        <sz val="9"/>
        <color rgb="FF000000"/>
        <rFont val="Calibri"/>
        <family val="2"/>
        <scheme val="minor"/>
      </rPr>
      <t>t</t>
    </r>
    <r>
      <rPr>
        <sz val="9"/>
        <color rgb="FF000000"/>
        <rFont val="Calibri"/>
        <family val="2"/>
        <scheme val="minor"/>
      </rPr>
      <t xml:space="preserve"> = Porcentaje de cuerpos de agua con reglamentación del uso de las aguas, en el tiempo t.</t>
    </r>
  </si>
  <si>
    <r>
      <t xml:space="preserve">RUA </t>
    </r>
    <r>
      <rPr>
        <vertAlign val="subscript"/>
        <sz val="9"/>
        <color rgb="FF000000"/>
        <rFont val="Calibri"/>
        <family val="2"/>
        <scheme val="minor"/>
      </rPr>
      <t>t</t>
    </r>
    <r>
      <rPr>
        <sz val="9"/>
        <color rgb="FF000000"/>
        <rFont val="Calibri"/>
        <family val="2"/>
        <scheme val="minor"/>
      </rPr>
      <t xml:space="preserve"> = Número de cuerpos de agua con reglamentación del uso de las aguas, en el tiempo t.</t>
    </r>
  </si>
  <si>
    <r>
      <t xml:space="preserve">MRUA </t>
    </r>
    <r>
      <rPr>
        <vertAlign val="subscript"/>
        <sz val="9"/>
        <color rgb="FF000000"/>
        <rFont val="Calibri"/>
        <family val="2"/>
        <scheme val="minor"/>
      </rPr>
      <t>t</t>
    </r>
    <r>
      <rPr>
        <sz val="9"/>
        <color rgb="FF000000"/>
        <rFont val="Calibri"/>
        <family val="2"/>
        <scheme val="minor"/>
      </rPr>
      <t xml:space="preserve"> = Meta de número de cuerpos de agua con reglamentación del uso de las aguas, en el tiempo t.</t>
    </r>
  </si>
  <si>
    <t>La meta de número de cuerpos de agua con reglamentación del uso de las aguas es establecida en el Plan de Acción de la Corporación.</t>
  </si>
  <si>
    <t>Número total de cuerpos de agua sujeto de reglamentación del uso de las aguas:</t>
  </si>
  <si>
    <t>Número total de cuerpos de agua con reglamentación del uso de las aguas a 31/12/2015:</t>
  </si>
  <si>
    <t>Número total de cuerpos de agua a ser reglamentados en su uso de las aguas durante el cuatrienio:</t>
  </si>
  <si>
    <t>Meta de cuerpos de agua con reglamentación del uso de las aguas (MRUA)</t>
  </si>
  <si>
    <t>Número de cuerpos de agua con reglamentación del uso de las aguas (RUA)</t>
  </si>
  <si>
    <t>Porcentaje de Cuerpos de agua con reglamentación del uso de las aguas (PRUA) (C = B / A)</t>
  </si>
  <si>
    <t>Cuanto más cercano a cien por ciento, mayor es el cumplimiento de las metas que la autoridad ambiental se ha propuesto alcanzar en relación con el número de cuerpos de agua con reglamentación del uso de las aguas.</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</si>
  <si>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Cuerpos de agua con reglamentación del uso de las aguas (Versión 1.0).</t>
    </r>
    <r>
      <rPr>
        <sz val="9"/>
        <color rgb="FF000000"/>
        <rFont val="Calibri"/>
        <family val="2"/>
        <scheme val="minor"/>
      </rPr>
      <t xml:space="preserve"> Ministerio de Ambiente y Desarrollo Sostenible, DGOAT-SINA y DRH.</t>
    </r>
  </si>
  <si>
    <t>Porcentaje de Programas de Uso Eficiente y Ahorro del Agua (PUEAA) con seguimiento</t>
  </si>
  <si>
    <t>Es la relación entre el número de Programas de Uso Eficiente y Ahorro del Agua (PUEAA) con seguimiento con respecto a la meta de seguimiento de dichos planes por parte de la autoridad ambiental.</t>
  </si>
  <si>
    <t>El indicador mide el cumplimiento de las metas que la autoridad ambiental se ha propuesto alcanzar en relación con el seguimiento a los Programas de Uso Eficiente y Ahorro del Agua (PUEAA).</t>
  </si>
  <si>
    <t>Ley 1437 de 2011</t>
  </si>
  <si>
    <t>Ley 373 de 1997</t>
  </si>
  <si>
    <t>Ley 1450 de 2011 (literal h del artículo 215) (vigente)</t>
  </si>
  <si>
    <t>La Ley 373 de 1997 define por programa para el uso eficiente y ahorro de agua el conjunto de proyectos y acciones que deben elaborar y adoptar las entidades encargadas de la prestación de los servicios de acueducto, alcantarillado, riego y drenaje, producción hidroeléctrica y demás usuarios del recurso hídrico. Así mismo, la mencionada Ley establece que todo plan ambiental regional y municipal debe incorporar obligatoriamente un programa para el uso eficiente y ahorro de agua.</t>
  </si>
  <si>
    <t>Adicionalmente, la citada Ley determina que las Corporaciones Autónomas Regionales y demás autoridades ambientales encargadas del manejo, protección y control del recurso hídrico en su respectiva jurisdicción, aprobarán la implantación y ejecución de dichos programas en coordinación con otras corporaciones autónomas que compartan las fuentes que abastecen los diferentes usos.</t>
  </si>
  <si>
    <t>El Programa de Uso Eficiente y Ahorro del Agua (PUEAA) es quinquenal y deberá estar basado en el diagnóstico de la oferta hídrica de las fuentes de abastecimiento y la demanda de agua, y contener las metas anuales de reducción de pérdidas, las campañas educativas a la comunidad, la utilización de aguas superficiales, lluvias y subterráneas, los incentivos y otros aspectos que definan las Corporaciones Autónomas Regionales y demás autoridades ambientales, las entidades prestadoras de los servicios de acueducto y alcantarillado, las que manejen proyectos de riego y drenaje, las hidroeléctricas y demás usuarios del recurso, que se consideren convenientes para el cumplimiento del programa.</t>
  </si>
  <si>
    <t>Por su parte, el literal h del artículo 215 de la Ley 1450 de 2011 (vigente) estableció la competencia de las corporaciones autónomas regionales en el seguimiento a los Planes de Uso Eficiente y Ahorro del Agua.</t>
  </si>
  <si>
    <r>
      <t xml:space="preserve">PPUEAACS </t>
    </r>
    <r>
      <rPr>
        <vertAlign val="subscript"/>
        <sz val="9"/>
        <color rgb="FF000000"/>
        <rFont val="Calibri"/>
        <family val="2"/>
        <scheme val="minor"/>
      </rPr>
      <t>t</t>
    </r>
    <r>
      <rPr>
        <sz val="9"/>
        <color rgb="FF000000"/>
        <rFont val="Calibri"/>
        <family val="2"/>
        <scheme val="minor"/>
      </rPr>
      <t xml:space="preserve"> = Porcentaje de Programas de Uso Eficiente y Ahorro del Agua (PUEAA) con seguimiento, en el tiempo t.</t>
    </r>
  </si>
  <si>
    <r>
      <t xml:space="preserve">PUEAACS </t>
    </r>
    <r>
      <rPr>
        <vertAlign val="subscript"/>
        <sz val="9"/>
        <color rgb="FF000000"/>
        <rFont val="Calibri"/>
        <family val="2"/>
        <scheme val="minor"/>
      </rPr>
      <t>t</t>
    </r>
    <r>
      <rPr>
        <sz val="9"/>
        <color rgb="FF000000"/>
        <rFont val="Calibri"/>
        <family val="2"/>
        <scheme val="minor"/>
      </rPr>
      <t xml:space="preserve"> = Número de Programas de Uso Eficiente y Ahorro del Agua con seguimiento, en el tiempo t.</t>
    </r>
  </si>
  <si>
    <r>
      <t xml:space="preserve">MPUEAACS </t>
    </r>
    <r>
      <rPr>
        <vertAlign val="subscript"/>
        <sz val="9"/>
        <color rgb="FF000000"/>
        <rFont val="Calibri"/>
        <family val="2"/>
        <scheme val="minor"/>
      </rPr>
      <t>t</t>
    </r>
    <r>
      <rPr>
        <sz val="9"/>
        <color rgb="FF000000"/>
        <rFont val="Calibri"/>
        <family val="2"/>
        <scheme val="minor"/>
      </rPr>
      <t xml:space="preserve"> = Meta de Programas de Uso Eficiente y Ahorro del Agua con seguimiento, en el tiempo t.</t>
    </r>
  </si>
  <si>
    <t>La meta de número de Programas de Uso Eficiente y Ahorro del Agua sujetos a seguimiento es establecida en el Plan de Acción de la Corporación.</t>
  </si>
  <si>
    <t>Número total de Programas de Uso Eficiente y Ahorro del Agua (PUEAA) aprobados por la Corporación:</t>
  </si>
  <si>
    <t>Número total de Programas de Uso Eficiente y Ahorro del Agua (PUEAA) priorizados por la Corporación para hacer seguimiento en el cuatrienio:</t>
  </si>
  <si>
    <t>Meta de Programas de Uso Eficiente y Ahorro del Agua (PUEAA) con seguimiento MPUEAACS</t>
  </si>
  <si>
    <t>Número de Programas de Uso Eficiente y Ahorro del Agua con seguimiento (PPUEAACS)</t>
  </si>
  <si>
    <t>Porcentaje de Programas de Uso Eficiente y Ahorro del Agua con seguimiento (PPUEAACS) (C = B / A)</t>
  </si>
  <si>
    <t>Cuanto más cercano a cien por ciento, mayor es el cumplimiento de las metas que la autoridad ambiental se ha propuesto alcanzar en relación con el seguimiento a los Programas de Uso Eficiente y Ahorro del Agua (PUEAA)</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</si>
  <si>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Programas de Uso Eficiente y Ahorro del Agua (PUEAA) con seguimiento (Versión 1.0).</t>
    </r>
    <r>
      <rPr>
        <sz val="9"/>
        <color rgb="FF000000"/>
        <rFont val="Calibri"/>
        <family val="2"/>
        <scheme val="minor"/>
      </rPr>
      <t xml:space="preserve"> Ministerio de Ambiente y Desarrollo Sostenible, DGOAT-SINA y DRH.</t>
    </r>
  </si>
  <si>
    <t>Porcentaje de Planes de Ordenación y Manejo de Cuencas (POMCAS), Planes de Manejo de Acuíferos (PMA) y Planes de Manejo de Microcuencas (PMM) en ejecución</t>
  </si>
  <si>
    <t>Es el porcentaje de Planes de Ordenación y Manejo de Cuencas (POMCAS), Planes de Manejo de Acuíferos (PMA) y Planes de Manejo de Microcuencas (PMM) en ejecución, en relación con los Planes de Ordenación y Manejo de Cuencas (POMCAS), Planes de Manejo de Acuíferos (PMA) y Planes de Manejo de Microcuencas (PMM) aprobados en la corporación.</t>
  </si>
  <si>
    <t>El indicador mide el cumplimiento de las metas establecidas en relación con la ejecución de los Planes de Ordenación y Manejo de Cuencas (POMCAS), Planes de Manejo de Acuíferos (PMA) y Planes de Manejo de Microcuencas (PMM).</t>
  </si>
  <si>
    <t>Seguimiento a las metas del Plan Nacional de Desarrollo 2014-2018 (Planes Estratégicos de Macrocuenca, POMCA y PMA acuíferos en implementación)</t>
  </si>
  <si>
    <r>
      <t>Normatividad de soporte</t>
    </r>
    <r>
      <rPr>
        <sz val="9"/>
        <color rgb="FF000000"/>
        <rFont val="Calibri"/>
        <family val="2"/>
        <scheme val="minor"/>
      </rPr>
      <t>:</t>
    </r>
  </si>
  <si>
    <t>Resolución 1907 de 2013</t>
  </si>
  <si>
    <t>El Plan de Ordenación y manejo de Cuencas Hidrográficas (POMCA) es el instrumento a través del cual se realiza la planeación del adecuado uso del suelo, de las aguas, de la flora y la fauna; y el manejo de la cuenca, entendido como la ejecución de obras y tratamientos, con el propósito de mantener el equilibrio entre el aprovechamiento social y el aprovechamiento económico de tales recursos, así como la conservación de la estructura físico -biótica de la cuenca y particularmente del recurso hídrico.</t>
  </si>
  <si>
    <t>La implementación de los POMCAS es resultado de un esfuerzo conjunto de diversas instituciones presentes en la región. El indicador se centra en la implementación de las acciones previstas en los POMCAS que están a cargo de las corporaciones autónomas regionales, incluyendo el seguimiento por parte de la autoridad ambiental a los compromisos de las demás entidades responsables de la ejecución de los POMCAS.</t>
  </si>
  <si>
    <r>
      <t xml:space="preserve">PPEE </t>
    </r>
    <r>
      <rPr>
        <vertAlign val="subscript"/>
        <sz val="9"/>
        <color rgb="FF000000"/>
        <rFont val="Calibri"/>
        <family val="2"/>
        <scheme val="minor"/>
      </rPr>
      <t>t</t>
    </r>
    <r>
      <rPr>
        <sz val="9"/>
        <color rgb="FF000000"/>
        <rFont val="Calibri"/>
        <family val="2"/>
        <scheme val="minor"/>
      </rPr>
      <t xml:space="preserve"> = Porcentaje de Planes de Ordenación y Manejo de Cuencas (POMCAS), Planes de Manejo de Acuíferos (PMA) y Planes de Manejo de Microcuencas (PMM) en ejecución, en el tiempo t.</t>
    </r>
  </si>
  <si>
    <r>
      <t xml:space="preserve">PPOMCASEE </t>
    </r>
    <r>
      <rPr>
        <vertAlign val="subscript"/>
        <sz val="9"/>
        <color rgb="FF000000"/>
        <rFont val="Calibri"/>
        <family val="2"/>
        <scheme val="minor"/>
      </rPr>
      <t>t</t>
    </r>
    <r>
      <rPr>
        <sz val="9"/>
        <color rgb="FF000000"/>
        <rFont val="Calibri"/>
        <family val="2"/>
        <scheme val="minor"/>
      </rPr>
      <t xml:space="preserve"> = Porcentaje de Planes de Ordenación y Manejo de Cuencas (POMCAS) en ejecución, en el tiempo t.</t>
    </r>
  </si>
  <si>
    <r>
      <t xml:space="preserve">PPMAEE </t>
    </r>
    <r>
      <rPr>
        <vertAlign val="subscript"/>
        <sz val="9"/>
        <color rgb="FF000000"/>
        <rFont val="Calibri"/>
        <family val="2"/>
        <scheme val="minor"/>
      </rPr>
      <t>t</t>
    </r>
    <r>
      <rPr>
        <sz val="9"/>
        <color rgb="FF000000"/>
        <rFont val="Calibri"/>
        <family val="2"/>
        <scheme val="minor"/>
      </rPr>
      <t xml:space="preserve"> = Porcentaje de Planes de Manejo de Acuíferos (PMA) en ejecución, en el tiempo t.</t>
    </r>
  </si>
  <si>
    <r>
      <t xml:space="preserve">PPMMME </t>
    </r>
    <r>
      <rPr>
        <vertAlign val="subscript"/>
        <sz val="9"/>
        <color rgb="FF000000"/>
        <rFont val="Calibri"/>
        <family val="2"/>
        <scheme val="minor"/>
      </rPr>
      <t>t</t>
    </r>
    <r>
      <rPr>
        <sz val="9"/>
        <color rgb="FF000000"/>
        <rFont val="Calibri"/>
        <family val="2"/>
        <scheme val="minor"/>
      </rPr>
      <t xml:space="preserve"> = Porcentaje de Planes de Manejo de Microcuencas (PMM) en ejecución, en el tiempo t.</t>
    </r>
  </si>
  <si>
    <t>a = ponderador de PPOMCASEE</t>
  </si>
  <si>
    <t>b = ponderador de PPMAEE</t>
  </si>
  <si>
    <t>c = ponderador de PPMMME</t>
  </si>
  <si>
    <r>
      <t>Nota:</t>
    </r>
    <r>
      <rPr>
        <sz val="9"/>
        <color rgb="FF000000"/>
        <rFont val="Calibri"/>
        <family val="2"/>
        <scheme val="minor"/>
      </rPr>
      <t xml:space="preserve"> los ponderadores de las acciones serán definidos por las CAR teniendo en cuenta el presupuesto asignado para cada una de ellas. Por su parte, la ejecución de cada acción corresponde a la ejecución presupuestal de la acción (compromisos / presupuesto definitivo).</t>
    </r>
  </si>
  <si>
    <r>
      <t xml:space="preserve">Porcentaje de POMCAS en ejecución </t>
    </r>
    <r>
      <rPr>
        <sz val="9"/>
        <color rgb="FF000000"/>
        <rFont val="Calibri"/>
        <family val="2"/>
        <scheme val="minor"/>
      </rPr>
      <t>(PPOMCASEE)</t>
    </r>
  </si>
  <si>
    <r>
      <t xml:space="preserve">POMCASEE </t>
    </r>
    <r>
      <rPr>
        <vertAlign val="subscript"/>
        <sz val="9"/>
        <color rgb="FF000000"/>
        <rFont val="Calibri"/>
        <family val="2"/>
        <scheme val="minor"/>
      </rPr>
      <t>t</t>
    </r>
    <r>
      <rPr>
        <sz val="9"/>
        <color rgb="FF000000"/>
        <rFont val="Calibri"/>
        <family val="2"/>
        <scheme val="minor"/>
      </rPr>
      <t xml:space="preserve"> = Número de POMCAS en ejecución, en el tiempo t.</t>
    </r>
  </si>
  <si>
    <t>POMCASF = Número de POMCAS aprobados.</t>
  </si>
  <si>
    <r>
      <t>Porcentaje de PMA en ejecución (</t>
    </r>
    <r>
      <rPr>
        <sz val="9"/>
        <color rgb="FF000000"/>
        <rFont val="Calibri"/>
        <family val="2"/>
        <scheme val="minor"/>
      </rPr>
      <t>PPMAEE)</t>
    </r>
  </si>
  <si>
    <r>
      <t xml:space="preserve">PMAEE </t>
    </r>
    <r>
      <rPr>
        <vertAlign val="subscript"/>
        <sz val="9"/>
        <color rgb="FF000000"/>
        <rFont val="Calibri"/>
        <family val="2"/>
        <scheme val="minor"/>
      </rPr>
      <t>t</t>
    </r>
    <r>
      <rPr>
        <sz val="9"/>
        <color rgb="FF000000"/>
        <rFont val="Calibri"/>
        <family val="2"/>
        <scheme val="minor"/>
      </rPr>
      <t xml:space="preserve"> = Número de POMCAS en ejecución, en el tiempo t.</t>
    </r>
  </si>
  <si>
    <t>PMAF = Número de POMCAS aprobados.</t>
  </si>
  <si>
    <r>
      <t>Porcentaje de PMM en ejecución (</t>
    </r>
    <r>
      <rPr>
        <sz val="9"/>
        <color rgb="FF000000"/>
        <rFont val="Calibri"/>
        <family val="2"/>
        <scheme val="minor"/>
      </rPr>
      <t>PPMMEE)</t>
    </r>
  </si>
  <si>
    <r>
      <t xml:space="preserve">PPMMEE </t>
    </r>
    <r>
      <rPr>
        <vertAlign val="subscript"/>
        <sz val="9"/>
        <color rgb="FF000000"/>
        <rFont val="Calibri"/>
        <family val="2"/>
        <scheme val="minor"/>
      </rPr>
      <t>t</t>
    </r>
    <r>
      <rPr>
        <sz val="9"/>
        <color rgb="FF000000"/>
        <rFont val="Calibri"/>
        <family val="2"/>
        <scheme val="minor"/>
      </rPr>
      <t xml:space="preserve"> = Porcentaje de Planes de Manejo de Microcuencas (PMM) en ejecución, en el tiempo t.</t>
    </r>
  </si>
  <si>
    <r>
      <t xml:space="preserve">PMMEE </t>
    </r>
    <r>
      <rPr>
        <vertAlign val="subscript"/>
        <sz val="9"/>
        <color rgb="FF000000"/>
        <rFont val="Calibri"/>
        <family val="2"/>
        <scheme val="minor"/>
      </rPr>
      <t>t</t>
    </r>
    <r>
      <rPr>
        <sz val="9"/>
        <color rgb="FF000000"/>
        <rFont val="Calibri"/>
        <family val="2"/>
        <scheme val="minor"/>
      </rPr>
      <t xml:space="preserve"> = Número de PMM en ejecución, en el tiempo t.</t>
    </r>
  </si>
  <si>
    <t>PMMF = Número de PMM aprobados.</t>
  </si>
  <si>
    <t>Indicador complementario:</t>
  </si>
  <si>
    <t>Ejecución presupuestal de acciones relacionadas con la implementación de los POMCAS, PMA y PMM</t>
  </si>
  <si>
    <t>.</t>
  </si>
  <si>
    <r>
      <t xml:space="preserve">EPPAM </t>
    </r>
    <r>
      <rPr>
        <vertAlign val="subscript"/>
        <sz val="9"/>
        <color rgb="FF000000"/>
        <rFont val="Calibri"/>
        <family val="2"/>
        <scheme val="minor"/>
      </rPr>
      <t>t</t>
    </r>
    <r>
      <rPr>
        <sz val="9"/>
        <color rgb="FF000000"/>
        <rFont val="Calibri"/>
        <family val="2"/>
        <scheme val="minor"/>
      </rPr>
      <t xml:space="preserve"> = Ejecución presupuestal de acciones relacionadas con la implementación de los POMCAS, PMA y PMM, en el año t.</t>
    </r>
  </si>
  <si>
    <r>
      <t xml:space="preserve">CPAM </t>
    </r>
    <r>
      <rPr>
        <vertAlign val="subscript"/>
        <sz val="9"/>
        <color rgb="FF000000"/>
        <rFont val="Calibri"/>
        <family val="2"/>
        <scheme val="minor"/>
      </rPr>
      <t>it</t>
    </r>
    <r>
      <rPr>
        <sz val="9"/>
        <color rgb="FF000000"/>
        <rFont val="Calibri"/>
        <family val="2"/>
        <scheme val="minor"/>
      </rPr>
      <t xml:space="preserve"> = Compromisos correspondientes a la acción i relacionada con la implementación de los POMCAS, PMA y PMM, en el año t.</t>
    </r>
  </si>
  <si>
    <r>
      <t xml:space="preserve">PDPAM </t>
    </r>
    <r>
      <rPr>
        <vertAlign val="subscript"/>
        <sz val="9"/>
        <color rgb="FF000000"/>
        <rFont val="Calibri"/>
        <family val="2"/>
        <scheme val="minor"/>
      </rPr>
      <t>it</t>
    </r>
    <r>
      <rPr>
        <sz val="9"/>
        <color rgb="FF000000"/>
        <rFont val="Calibri"/>
        <family val="2"/>
        <scheme val="minor"/>
      </rPr>
      <t xml:space="preserve"> = Presupuesto definitivo a la acción i relacionada con la implementación de los POMCAS, PMA y PMM, en el año t.</t>
    </r>
  </si>
  <si>
    <t>Reporte de ejecución de POMCAS, PMA y PMM</t>
  </si>
  <si>
    <t>Número / Año</t>
  </si>
  <si>
    <t>Acumulado</t>
  </si>
  <si>
    <t>Número de POMCAS aprobados</t>
  </si>
  <si>
    <t>Número de POMCAS en ejecución</t>
  </si>
  <si>
    <t>Número de PMA aprobados</t>
  </si>
  <si>
    <t>D</t>
  </si>
  <si>
    <t>Número de PMA en ejecución</t>
  </si>
  <si>
    <t>E</t>
  </si>
  <si>
    <t>Número de PMM aprobados</t>
  </si>
  <si>
    <t>F</t>
  </si>
  <si>
    <t>Número de PMM en ejecución</t>
  </si>
  <si>
    <t>G</t>
  </si>
  <si>
    <t>Porcentaje de POMCAS en ejecución (G = B / A)</t>
  </si>
  <si>
    <t>H</t>
  </si>
  <si>
    <t>Porcentaje de PMA en ejecución (H = D /C)</t>
  </si>
  <si>
    <t>I</t>
  </si>
  <si>
    <t>Porcentaje de PMM en ejecución (I = F / E)</t>
  </si>
  <si>
    <t>Nombre de acción / proyecto (*)</t>
  </si>
  <si>
    <t>Plan</t>
  </si>
  <si>
    <t>PPTO Inicial</t>
  </si>
  <si>
    <t>PPTO. Def.</t>
  </si>
  <si>
    <t>Compromisos</t>
  </si>
  <si>
    <t>Pagos</t>
  </si>
  <si>
    <t>(*) nombre del proyecto o actividad en el Plan de Acción de la Corporación. Utilice tantas filas cuantas sean necesarias</t>
  </si>
  <si>
    <t>Cuanto más cercano a cien por ciento, mayor es el cumplimiento de las metas establecidas en relación con la implementación de los Planes de Ordenación y Manejo de Cuencas (POMCAS), Planes de Manejo de Acuíferos (PMA) y Planes de Manejo de Microcuencas (PMM) aprobados.</t>
  </si>
  <si>
    <t>Se pueden presentar situaciones de orden operativo, político y social que pueden afectar los cronogramas definidos.</t>
  </si>
  <si>
    <r>
      <t>Hoja Metodológica de referencia:</t>
    </r>
    <r>
      <rPr>
        <sz val="9"/>
        <color rgb="FF000000"/>
        <rFont val="Calibri"/>
        <family val="2"/>
        <scheme val="minor"/>
      </rPr>
      <t xml:space="preserve"> MADS (2016). </t>
    </r>
    <r>
      <rPr>
        <i/>
        <sz val="9"/>
        <color rgb="FF000000"/>
        <rFont val="Calibri"/>
        <family val="2"/>
        <scheme val="minor"/>
      </rPr>
      <t>Hoja metodológica de Planes de Ordenación y Manejo de Cuencas (POMCAS), Planes de Manejo de Acuíferos (PMA) y Planes de Manejo de Microcuencas (PMM) en ejecución (Versión 1.0).</t>
    </r>
    <r>
      <rPr>
        <sz val="9"/>
        <color rgb="FF000000"/>
        <rFont val="Calibri"/>
        <family val="2"/>
        <scheme val="minor"/>
      </rPr>
      <t xml:space="preserve"> Ministerio de Ambiente y Desarrollo Sostenible MADS, DGOAT-SINA y DRH.</t>
    </r>
  </si>
  <si>
    <t>Porcentaje de entes territoriales asesorados en la incorporación, planificación y ejecución de acciones relacionadas con cambio climático en el marco de los instrumentos de planificación territorial</t>
  </si>
  <si>
    <t>Es la relación entre el número de entes territoriales asesorados en la incorporación, planificación y ejecución de acciones relacionadas con cambio climático en el marco de los instrumentos de planificación territorial, con respecto a la meta de entes territoriales a ser asesorados durante un periodo de gobierno en los departamentos y municipios.</t>
  </si>
  <si>
    <t>El indicador mide el cumplimiento de las metas establecidas, por parte de la Corporación Autónoma Regional, en relación con la asesoría a los entes territoriales en la incorporación, planificación y ejecución de acciones de cambio climático en sus instrumentos de planificación territorial.</t>
  </si>
  <si>
    <t>Cumplimiento y Seguimiento a las metas del Plan Nacional de Desarrollo 2014-2018 (Entidades territoriales que incorporan en los instrumentos de planificación acciones de cambio climático)</t>
  </si>
  <si>
    <t>Convención Marco de Cambio Climático CMCC</t>
  </si>
  <si>
    <t>Objetivos de Desarrollo Sostenible, Objetivo 13: adoptar medidas urgentes para combatir el cambio climático y sus efectos.</t>
  </si>
  <si>
    <t>Ley 99 de 1993, Artículo 31, numerales 4 y 5.</t>
  </si>
  <si>
    <t>Ley 1753 de 2015, Plan Nacional de Desarrollo (Crecimiento Verde), Artículo 170 y ss.</t>
  </si>
  <si>
    <t>Documentos de referencia:</t>
  </si>
  <si>
    <t>Plan Nacional de Desarrollo</t>
  </si>
  <si>
    <t>Acuerdo COP 21 y Guía para la incorporación de cambio climático en el ciclo del ordenamiento territorial.</t>
  </si>
  <si>
    <t>Mayor información: http://cambioclimatico.minambiente.gov.co/</t>
  </si>
  <si>
    <t>El Plan Nacional de Desarrollo 2014-2018 (crecimiento verde) establece que las entidades territoriales incorporen, en sus instrumentos formales de planificación del desarrollo y de ordenamiento territorial, acciones de adaptación y/o mitigación al cambio climático; mediante la reducción de vulnerabilidad, el incremento de la capacidad adaptativa y la reducción de la exposición y sensibilidad; así como la reducción de emisiones de Gases de Efecto Invernadero. Cabe indicar que los instrumentos formales de planificación del desarrollo y de ordenamiento territorial abarcan los Planes de Desarrollo departamentales y municipales y Planes de Ordenamiento Territorial.</t>
  </si>
  <si>
    <t>En éste mismo sentido la Ley 99 de 1993 en su Artículo 31, numerales 4 y 5, contempla que “asesorar a los Departamentos, Distritos y Municipios de su comprensión territorial en la definición de los planes de desarrollo ambiental y en sus programas y proyectos en materia de protección del medio ambiente” y “Participar con los demás organismos y entes competentes en el ámbito de su jurisdicción, en los procesos de planificación y ordenamiento territorial a fin de que el factor ambiental sea tenido en cuenta en las decisiones que se adopten”</t>
  </si>
  <si>
    <t>Las autoridades ambientales juegan un papel central como asesores técnicos de la incorporación del cambio climático en sus instrumentos de planificación de los entes territoriales, tanto a nivel departamental como municipal.</t>
  </si>
  <si>
    <t>Por asesoría se entienden las siguientes acciones:</t>
  </si>
  <si>
    <r>
      <t>·</t>
    </r>
    <r>
      <rPr>
        <sz val="7"/>
        <color rgb="FF000000"/>
        <rFont val="Times New Roman"/>
        <family val="1"/>
      </rPr>
      <t xml:space="preserve">        </t>
    </r>
    <r>
      <rPr>
        <sz val="9"/>
        <color rgb="FF000000"/>
        <rFont val="Calibri"/>
        <family val="2"/>
      </rPr>
      <t>Elaborar informes de análisis de la incorporación de cambio climático en el proceso de formulación de los Planes de Desarrollo departamentales y municipales y en los Planes de Ordenamiento Territorial.</t>
    </r>
  </si>
  <si>
    <r>
      <t>·</t>
    </r>
    <r>
      <rPr>
        <sz val="7"/>
        <color rgb="FF000000"/>
        <rFont val="Times New Roman"/>
        <family val="1"/>
      </rPr>
      <t xml:space="preserve">        </t>
    </r>
    <r>
      <rPr>
        <sz val="9"/>
        <color rgb="FF000000"/>
        <rFont val="Calibri"/>
        <family val="2"/>
      </rPr>
      <t>Entregar a los territorios documentos con recomendaciones y orientaciones específicas para la incorporación, planificación y ejecución de acciones de cambio climático en los instrumentos de planificación del desarrollo y de ordenamiento territorial</t>
    </r>
  </si>
  <si>
    <r>
      <t>·</t>
    </r>
    <r>
      <rPr>
        <sz val="7"/>
        <color rgb="FF000000"/>
        <rFont val="Times New Roman"/>
        <family val="1"/>
      </rPr>
      <t xml:space="preserve">        </t>
    </r>
    <r>
      <rPr>
        <sz val="9"/>
        <color rgb="FF000000"/>
        <rFont val="Calibri"/>
        <family val="2"/>
      </rPr>
      <t>Elaborar estudios para medir el riesgo climático en la jurisdicción y realizar la socialización con los entes territoriales.</t>
    </r>
  </si>
  <si>
    <r>
      <t>·</t>
    </r>
    <r>
      <rPr>
        <sz val="7"/>
        <color rgb="FF000000"/>
        <rFont val="Times New Roman"/>
        <family val="1"/>
      </rPr>
      <t xml:space="preserve">        </t>
    </r>
    <r>
      <rPr>
        <sz val="9"/>
        <color rgb="FF000000"/>
        <rFont val="Calibri"/>
        <family val="2"/>
      </rPr>
      <t>Elaboración y difusión de estudios sobre las oportunidades del cambio climático a nivel regional.</t>
    </r>
  </si>
  <si>
    <r>
      <t>·</t>
    </r>
    <r>
      <rPr>
        <sz val="7"/>
        <color rgb="FF000000"/>
        <rFont val="Times New Roman"/>
        <family val="1"/>
      </rPr>
      <t xml:space="preserve">        </t>
    </r>
    <r>
      <rPr>
        <sz val="9"/>
        <color rgb="FF000000"/>
        <rFont val="Calibri"/>
        <family val="2"/>
      </rPr>
      <t>Fortalecer los sistemas de información que permitan generar conocimiento del cambio climático y sus efectos a nivel regional y local.</t>
    </r>
  </si>
  <si>
    <r>
      <t>·</t>
    </r>
    <r>
      <rPr>
        <sz val="7"/>
        <color rgb="FF000000"/>
        <rFont val="Times New Roman"/>
        <family val="1"/>
      </rPr>
      <t xml:space="preserve">        </t>
    </r>
    <r>
      <rPr>
        <sz val="9"/>
        <color rgb="FF000000"/>
        <rFont val="Calibri"/>
        <family val="2"/>
      </rPr>
      <t>Realizar eventos de capacitación para la incorporación de cambio climático en los Planes de Desarrollo departamentales y municipales y en los Planes de Ordenamiento Territorial.</t>
    </r>
  </si>
  <si>
    <r>
      <t xml:space="preserve">PETACC </t>
    </r>
    <r>
      <rPr>
        <vertAlign val="subscript"/>
        <sz val="9"/>
        <color rgb="FF000000"/>
        <rFont val="Calibri"/>
        <family val="2"/>
        <scheme val="minor"/>
      </rPr>
      <t>t</t>
    </r>
    <r>
      <rPr>
        <sz val="9"/>
        <color rgb="FF000000"/>
        <rFont val="Calibri"/>
        <family val="2"/>
        <scheme val="minor"/>
      </rPr>
      <t xml:space="preserve"> = Porcentaje de entes territoriales asesorados en la incorporación, planificación y ejecución de cambio climático en los instrumentos de planificación territorial, en el tiempo t.</t>
    </r>
  </si>
  <si>
    <r>
      <t xml:space="preserve">ETACC </t>
    </r>
    <r>
      <rPr>
        <vertAlign val="subscript"/>
        <sz val="9"/>
        <color rgb="FF000000"/>
        <rFont val="Calibri"/>
        <family val="2"/>
        <scheme val="minor"/>
      </rPr>
      <t>t</t>
    </r>
    <r>
      <rPr>
        <sz val="9"/>
        <color rgb="FF000000"/>
        <rFont val="Calibri"/>
        <family val="2"/>
        <scheme val="minor"/>
      </rPr>
      <t xml:space="preserve"> = Número de entes territoriales efectivamente asesorados en la incorporación, planificación y ejecución de cambio climático en los instrumentos de planificación territorial, en el tiempo t.</t>
    </r>
  </si>
  <si>
    <r>
      <t xml:space="preserve">METACC </t>
    </r>
    <r>
      <rPr>
        <vertAlign val="subscript"/>
        <sz val="9"/>
        <color rgb="FF000000"/>
        <rFont val="Calibri"/>
        <family val="2"/>
        <scheme val="minor"/>
      </rPr>
      <t>t</t>
    </r>
    <r>
      <rPr>
        <sz val="9"/>
        <color rgb="FF000000"/>
        <rFont val="Calibri"/>
        <family val="2"/>
        <scheme val="minor"/>
      </rPr>
      <t xml:space="preserve"> = Meta de entes territoriales a ser asesorados en la incorporación, planificación y ejecución de cambio climático en los instrumentos de planificación territorial, en el tiempo t.</t>
    </r>
  </si>
  <si>
    <t>Meta de entes territoriales a ser asesorados en la incorporación, planificación y ejecución de cambio climático en los instrumentos de planificación territorial (METACC)</t>
  </si>
  <si>
    <t>Entes territoriales efectivamente asesorados en la incorporación, planificación y ejecución de cambio climático en los instrumentos de planificación territorial (ETACC)</t>
  </si>
  <si>
    <t>Porcentaje de entes territoriales asesorados en la incorporación, planificación y ejecución de cambio climático en los instrumentos de planificación territorial (PETACC)</t>
  </si>
  <si>
    <t>Detalle de acciones de asesoría realizadas en la vigencia (utilice tantas filas cuantas sean necesarias)</t>
  </si>
  <si>
    <t>Acciones</t>
  </si>
  <si>
    <t>Nombres de entidades territoriales</t>
  </si>
  <si>
    <t>Cuanto más cercano a cien por ciento, mayor es el cumplimiento de las metas establecidas en relación con la asesoría a los entes territoriales en la incorporación de cambio climático en los instrumentos de planificación territorial.</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</si>
  <si>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entes territoriales asesorados en la incorporación de cambio climático en los instrumentos de planificación territorial (Versión 1.0).</t>
    </r>
    <r>
      <rPr>
        <sz val="9"/>
        <color rgb="FF000000"/>
        <rFont val="Calibri"/>
        <family val="2"/>
        <scheme val="minor"/>
      </rPr>
      <t xml:space="preserve"> Ministerio de Ambiente y Desarrollo Sostenible MADS, DGOAT-SINA y DCC.</t>
    </r>
  </si>
  <si>
    <t xml:space="preserve">Número de entes territoriales </t>
  </si>
  <si>
    <t>Porcentaje de suelos degradados en recuperación o rehabilitación</t>
  </si>
  <si>
    <t>Es la relación entre la superficie de suelos en restauración y en rehabilitación, con respecto a la meta de suelos en restauración y rehabilitación priorizadas por la Corporación.</t>
  </si>
  <si>
    <t>El indicador mide el cumplimiento de las metas de la Corporación en materia de restauración y rehabilitación de suelos, como contribución a la implementación regional de la Política de Gestión Sostenible del Suelo.</t>
  </si>
  <si>
    <t>Normas soporte:</t>
  </si>
  <si>
    <t>Ley 99 de 1993</t>
  </si>
  <si>
    <t>Decreto 1076 de 2015. Artículo 2.2.1.1.18.7. “En todo caso los propietarios están obligados a…… cooperar en las labores de prevención o corrección que adelante la autoridad ambiental competente”</t>
  </si>
  <si>
    <t>La estrategia transversal “Crecimiento Verde” del Plan Nacional de Desarrollo 2014-2018, “Todos por un nuevo país: Paz, Equidad y Educación”, tiene entre sus objetivos: “Proteger y asegurar el uso sostenible del capital natural y mejorar la calidad y la gobernanza ambiental”, y plantea como una de sus acciones prioritarias, aprobar e implementar la política para la gestión sostenible del suelo, “(…) a través de la cual se definirán los lineamientos para su uso sostenible relacionados con 1) promover la investigación, innovación y transferencia de tecnología para el conocimiento de los suelos, su conservación, recuperación, uso y manejo sostenible; 2) articular instrumentos normativos relacionados con la gestión del suelo y; 3) adelantar procesos de monitoreo y seguimiento a la calidad de los suelos”.</t>
  </si>
  <si>
    <t>Política de Gestión Sostenible del Suelo</t>
  </si>
  <si>
    <t>La Política de Gestión Sostenible del Suelo concibe los suelos como sistemas complejos y dinámicos, que se constituyen en componente fundamental del ambiente, y cumplen múltiples funciones vitales para la supervivencia humana y las relaciones sociales. Entre los servicios ecosistémicos asociados al suelo se destacan: producción de alimentos; filtrado e intercambio de gases; depuración de la contaminación; regulación climática e hídrica; ciclado de nutrientes; filtrado de agua; soporte para industria, infraestructura y turismo; entre otros.</t>
  </si>
  <si>
    <t>Los suelos hacen parte de la diversidad natural y biológica y están compuestos por minerales, agua, aire y organismos vivos; sus usos son esencialmente culturales, según las prácticas y las costumbres de los individuos y las comunidades, las cuales están predeterminadas por normas, reglas u orientaciones sociales, comunitarias o estatales.</t>
  </si>
  <si>
    <t>Así mismo, son indispensables y determinantes para la estructura y el funcionamiento de los ciclos del agua, del aire y de los nutrientes, así como para la biodiversidad. Esto en razón a que el suelo es parte esencial de los ciclos biogeoquímicos, en los cuales hay distribución, transporte, almacenamiento y transformación de materiales y energía necesarios para la vida en el planeta.</t>
  </si>
  <si>
    <t>A pesar de su importancia, el uso insostenible del suelo, entre otras actividades antrópicas, ocasiona su degradación, la cual resulta particularmente preocupante, por el efecto negativo en los ecosistemas, los organismos y las comunidades.</t>
  </si>
  <si>
    <t>Los procesos de degradación más relevantes en Colombia son la erosión, el sellamiento de suelos, la contaminación, la pérdida de la materia orgánica, la salinización, la compactación y la desertificación.</t>
  </si>
  <si>
    <t>Los procesos de recuperación o rehabilitación de suelos degradados deben dar cuenta de las acciones adelantadas para el mejoramiento de las condiciones del suelo (propiedades físicas, químicas y bilógicas) y las acciones para el monitoreo y seguimiento al mejoramiento de su calidad de acuerdo con las orientaciones establecidas en la Política para la Gestión Sostenible del Suelo. La Corporación partiendo de la información línea base disponible deberá identificar y priorizar las áreas con suelos degradados a intervenir, las cuales serán objeto de seguimiento al presente indicador.</t>
  </si>
  <si>
    <t>Entre la información línea base, se encuentra el mapa de degradación de suelos por erosión a escala 1:100.000 elaborado por el IDEAM y el MADS, los estudios de suelos e información del IGAC, las investigaciones desarrolladas por los Institutos de Investigación y las Universidades y la generada por las Corporaciones.</t>
  </si>
  <si>
    <t>Porcentaje de suelos degradados en recuperación o rehabilitación.</t>
  </si>
  <si>
    <r>
      <t xml:space="preserve">PSER </t>
    </r>
    <r>
      <rPr>
        <vertAlign val="subscript"/>
        <sz val="9"/>
        <color rgb="FF000000"/>
        <rFont val="Calibri"/>
        <family val="2"/>
        <scheme val="minor"/>
      </rPr>
      <t>t</t>
    </r>
    <r>
      <rPr>
        <sz val="9"/>
        <color rgb="FF000000"/>
        <rFont val="Calibri"/>
        <family val="2"/>
        <scheme val="minor"/>
      </rPr>
      <t xml:space="preserve"> = Porcentaje de suelos degradados en recuperación o rehabilitación, en el tiempo t.</t>
    </r>
  </si>
  <si>
    <r>
      <t xml:space="preserve">SER </t>
    </r>
    <r>
      <rPr>
        <vertAlign val="subscript"/>
        <sz val="9"/>
        <color rgb="FF000000"/>
        <rFont val="Calibri"/>
        <family val="2"/>
        <scheme val="minor"/>
      </rPr>
      <t>it</t>
    </r>
    <r>
      <rPr>
        <sz val="9"/>
        <color rgb="FF000000"/>
        <rFont val="Calibri"/>
        <family val="2"/>
        <scheme val="minor"/>
      </rPr>
      <t xml:space="preserve"> = Superficie de suelos degradados en recuperación o rehabilitación (ha), en el tiempo t.</t>
    </r>
  </si>
  <si>
    <r>
      <t xml:space="preserve">MSER </t>
    </r>
    <r>
      <rPr>
        <vertAlign val="subscript"/>
        <sz val="9"/>
        <color rgb="FF000000"/>
        <rFont val="Calibri"/>
        <family val="2"/>
        <scheme val="minor"/>
      </rPr>
      <t>it</t>
    </r>
    <r>
      <rPr>
        <sz val="9"/>
        <color rgb="FF000000"/>
        <rFont val="Calibri"/>
        <family val="2"/>
        <scheme val="minor"/>
      </rPr>
      <t xml:space="preserve"> = Meta de suelos degradados en recuperación o rehabilitación (ha), en el tiempo t.</t>
    </r>
  </si>
  <si>
    <t>Inversión asociada a recuperación o rehabilitación de suelos degradados (Millones de $)</t>
  </si>
  <si>
    <r>
      <t xml:space="preserve">IRSD </t>
    </r>
    <r>
      <rPr>
        <vertAlign val="subscript"/>
        <sz val="9"/>
        <color rgb="FF000000"/>
        <rFont val="Calibri"/>
        <family val="2"/>
        <scheme val="minor"/>
      </rPr>
      <t>t</t>
    </r>
    <r>
      <rPr>
        <sz val="9"/>
        <color rgb="FF000000"/>
        <rFont val="Calibri"/>
        <family val="2"/>
        <scheme val="minor"/>
      </rPr>
      <t xml:space="preserve"> = Inversión asociada a recuperación o rehabilitación de suelos degradados, en el año t.</t>
    </r>
  </si>
  <si>
    <r>
      <t xml:space="preserve">PDARSD </t>
    </r>
    <r>
      <rPr>
        <vertAlign val="subscript"/>
        <sz val="9"/>
        <color rgb="FF000000"/>
        <rFont val="Calibri"/>
        <family val="2"/>
        <scheme val="minor"/>
      </rPr>
      <t>i</t>
    </r>
    <r>
      <rPr>
        <sz val="9"/>
        <color rgb="FF000000"/>
        <rFont val="Calibri"/>
        <family val="2"/>
        <scheme val="minor"/>
      </rPr>
      <t xml:space="preserve"> = Presupuesto definitivo asociado a la ejecución de la acción o proyecto i relacionado con la recuperación o rehabilitación de suelos degradados, en el año t.</t>
    </r>
  </si>
  <si>
    <t>Para su cálculo, se reporta la siguiente información:</t>
  </si>
  <si>
    <t>Meta de suelos degradados en recuperación o rehabilitación (ha)</t>
  </si>
  <si>
    <t>Áreas de suelos degradados en recuperación o rehabilitación (ha)</t>
  </si>
  <si>
    <t>Porcentaje de suelos degradados en recuperación o rehabilitación (C = B / A)</t>
  </si>
  <si>
    <t>(*) Adicione tantas filas cuantas sean necesarias.</t>
  </si>
  <si>
    <t xml:space="preserve">Tipo de acción </t>
  </si>
  <si>
    <t>Área de intervención (ha)</t>
  </si>
  <si>
    <t>Ppto. inicial</t>
  </si>
  <si>
    <t>Presupuesto Definitivo</t>
  </si>
  <si>
    <r>
      <t>Cuanto más cercano a cien por ciento, mayor es el cumplimiento de las metas establecidas por la Corporación en materia de recuperación o rehabilitación</t>
    </r>
    <r>
      <rPr>
        <b/>
        <sz val="9"/>
        <color rgb="FF000000"/>
        <rFont val="Calibri"/>
        <family val="2"/>
        <scheme val="minor"/>
      </rPr>
      <t xml:space="preserve"> </t>
    </r>
    <r>
      <rPr>
        <sz val="9"/>
        <color rgb="FF000000"/>
        <rFont val="Calibri"/>
        <family val="2"/>
        <scheme val="minor"/>
      </rPr>
      <t>de suelos degradados.</t>
    </r>
  </si>
  <si>
    <t>Se pueden presentar situaciones de orden operativo, financiero, político y social que pueden afectar los presupuestos y los cronogramas definidos en el Plan de Acción de la Corporación.</t>
  </si>
  <si>
    <r>
      <t>Hoja Metodológica de referencia:</t>
    </r>
    <r>
      <rPr>
        <sz val="9"/>
        <color rgb="FF000000"/>
        <rFont val="Calibri"/>
        <family val="2"/>
        <scheme val="minor"/>
      </rPr>
      <t xml:space="preserve"> MADS (2016). </t>
    </r>
    <r>
      <rPr>
        <i/>
        <sz val="9"/>
        <color rgb="FF000000"/>
        <rFont val="Calibri"/>
        <family val="2"/>
        <scheme val="minor"/>
      </rPr>
      <t>Hoja metodológica Porcentaje de suelos degradados en recuperación o rehabilitación. (Versión 1.0).</t>
    </r>
    <r>
      <rPr>
        <sz val="9"/>
        <color rgb="FF000000"/>
        <rFont val="Calibri"/>
        <family val="2"/>
        <scheme val="minor"/>
      </rPr>
      <t xml:space="preserve"> Ministerio de Ambiente y Desarrollo Sostenible MADS, DGOAT-SINA y DAASU.</t>
    </r>
  </si>
  <si>
    <t>Porcentaje de la superficie de áreas protegidas regionales declaradas, homologadas o recategorizadas, inscritas en el RUNAP</t>
  </si>
  <si>
    <t>Mide la superficie en hectáreas de las áreas protegidas regionales, declaradas homologadas o recategorizadas inscritas en el RUNAP, con respecto a la meta de áreas protegidas regionales definida en el Plan de Acción de la Corporación. Comprende las áreas protegidas tanto continentales como marinas, costeras e insulares.</t>
  </si>
  <si>
    <t>El indicador busca hacer seguimiento a la contribución de las CAR a la Política Nacional de Gestión Integral de la Biodiversidad y sus Servicios Ecosistémicos y específicamente a la estrategia de declaración de áreas protegidas.</t>
  </si>
  <si>
    <t>Contribución a la Meta del plan de desarrollo (Hectáreas de Áreas Protegidas declaradas en el SINAP)</t>
  </si>
  <si>
    <t>Resolución 1125 de 2015.</t>
  </si>
  <si>
    <t>Política Nacional de Gestión Integral de la Biodiversidad y sus Servicios Ecosistémicos.</t>
  </si>
  <si>
    <t>Ruta declaratoria de áreas protegidas del Sistema Nacional de Áreas Protegidas (SINAP).</t>
  </si>
  <si>
    <t>Plan Nacional de Desarrollo 2014-2018.</t>
  </si>
  <si>
    <t>El Convenio sobre Diversidad Biológica, aprobado por la Ley 165 de 1994, señala que los objetivos de conservación de la biodiversidad que se persiguen son: la conservación de la diversidad, la utilización sostenible de sus componentes y la participación justa y equitativa en los beneficios que se deriven del uso de recursos genéticos.</t>
  </si>
  <si>
    <t>La Decisión VII.28 de la Séptima Conferencia de las Partes -COP 7- del Convenio sobre Diversidad Biológica, aprobó el Programa Temático de Áreas Protegidas que confirma que es indispensable hacer esfuerzos para establecer y mantener sistemas de áreas protegidas, aplicando el enfoque ecosistémico con el objetivo de establecer y mantener sistemas completos, eficazmente manejados y ecológicamente representativos de áreas protegidas.</t>
  </si>
  <si>
    <r>
      <t xml:space="preserve">La Meta 11 de Aichi planteada en el marco del plan estratégico de biodiversidad definido en Nagoya establece que para </t>
    </r>
    <r>
      <rPr>
        <b/>
        <sz val="9"/>
        <color rgb="FF000000"/>
        <rFont val="Calibri"/>
        <family val="2"/>
        <scheme val="minor"/>
      </rPr>
      <t xml:space="preserve">2020, </t>
    </r>
    <r>
      <rPr>
        <sz val="9"/>
        <color rgb="FF000000"/>
        <rFont val="Calibri"/>
        <family val="2"/>
        <scheme val="minor"/>
      </rPr>
      <t xml:space="preserve">al menos el </t>
    </r>
    <r>
      <rPr>
        <b/>
        <sz val="9"/>
        <color rgb="FF000000"/>
        <rFont val="Calibri"/>
        <family val="2"/>
        <scheme val="minor"/>
      </rPr>
      <t xml:space="preserve">17 por ciento de las zonas terrestres </t>
    </r>
    <r>
      <rPr>
        <sz val="9"/>
        <color rgb="FF000000"/>
        <rFont val="Calibri"/>
        <family val="2"/>
        <scheme val="minor"/>
      </rPr>
      <t xml:space="preserve">y de aguas continentales y el </t>
    </r>
    <r>
      <rPr>
        <b/>
        <sz val="9"/>
        <color rgb="FF000000"/>
        <rFont val="Calibri"/>
        <family val="2"/>
        <scheme val="minor"/>
      </rPr>
      <t xml:space="preserve">10 por ciento de las zonas marinas y costeras, </t>
    </r>
    <r>
      <rPr>
        <sz val="9"/>
        <color rgb="FF000000"/>
        <rFont val="Calibri"/>
        <family val="2"/>
        <scheme val="minor"/>
      </rPr>
      <t xml:space="preserve">especialmente aquellas de particular importancia para la diversidad biológica y los servicios de los ecosistemas, </t>
    </r>
    <r>
      <rPr>
        <b/>
        <sz val="9"/>
        <color rgb="FF000000"/>
        <rFont val="Calibri"/>
        <family val="2"/>
        <scheme val="minor"/>
      </rPr>
      <t xml:space="preserve">se conservan por medio de sistemas de áreas protegidas administrados de manera eficaz y equitativa, ecológicamente representativos y bien conectados </t>
    </r>
    <r>
      <rPr>
        <sz val="9"/>
        <color rgb="FF000000"/>
        <rFont val="Calibri"/>
        <family val="2"/>
        <scheme val="minor"/>
      </rPr>
      <t>y otras medidas de conservación eficaces basadas en áreas, y están integradas en los paisajes terrestres y marinos más amplios.</t>
    </r>
  </si>
  <si>
    <t>En tal sentido, el Decreto 1076 de 2015 define un área protegida como una superficie definida geográficamente que haya sido designada, regulada y administrada a fin de alcanzar objetivos específicos de conservación.</t>
  </si>
  <si>
    <t>De acuerdo con el Decreto 1076 de 2015, las categorías de áreas protegidas son: Sistema de Parques Nacionales Naturales, Reserva Forestal Protectora Nacional, Distrito de Manejo Integrado Nacional, Reserva Forestal Protectora Regional, Distrito de Manejo Integrado Regional, Distrito de Conservación de Suelos, Área de Recreación y Reserva Natural de la Sociedad Civil.</t>
  </si>
  <si>
    <r>
      <t xml:space="preserve">PAPR </t>
    </r>
    <r>
      <rPr>
        <vertAlign val="subscript"/>
        <sz val="9"/>
        <color rgb="FF000000"/>
        <rFont val="Calibri"/>
        <family val="2"/>
        <scheme val="minor"/>
      </rPr>
      <t>t</t>
    </r>
    <r>
      <rPr>
        <sz val="9"/>
        <color rgb="FF000000"/>
        <rFont val="Calibri"/>
        <family val="2"/>
        <scheme val="minor"/>
      </rPr>
      <t xml:space="preserve"> = Porcentaje de áreas protegidas regionales declaradas, homologadas o recategorizadas, inscritas en el RUNAP, en el tiempo t.</t>
    </r>
  </si>
  <si>
    <r>
      <t xml:space="preserve">SAPR </t>
    </r>
    <r>
      <rPr>
        <vertAlign val="subscript"/>
        <sz val="9"/>
        <color rgb="FF000000"/>
        <rFont val="Calibri"/>
        <family val="2"/>
        <scheme val="minor"/>
      </rPr>
      <t>it</t>
    </r>
    <r>
      <rPr>
        <sz val="9"/>
        <color rgb="FF000000"/>
        <rFont val="Calibri"/>
        <family val="2"/>
        <scheme val="minor"/>
      </rPr>
      <t xml:space="preserve"> = Superficie de áreas protegidas regionales declaradas, homologadas o recategorizadas, inscritas en el RUNAP (ha), en el tiempo t.</t>
    </r>
  </si>
  <si>
    <r>
      <t xml:space="preserve">MAPR </t>
    </r>
    <r>
      <rPr>
        <vertAlign val="subscript"/>
        <sz val="9"/>
        <color rgb="FF000000"/>
        <rFont val="Calibri"/>
        <family val="2"/>
        <scheme val="minor"/>
      </rPr>
      <t>it</t>
    </r>
    <r>
      <rPr>
        <sz val="9"/>
        <color rgb="FF000000"/>
        <rFont val="Calibri"/>
        <family val="2"/>
        <scheme val="minor"/>
      </rPr>
      <t xml:space="preserve"> = Meta de áreas protegidas regionales declaradas, homologadas o recategorizadas, inscritas en el RUNAP (ha), en el tiempo t.</t>
    </r>
  </si>
  <si>
    <t>Continentales</t>
  </si>
  <si>
    <t>Meta de áreas protegidas regionales a ser homologadas o recategorizadas, e inscritas en el RUNAP en el cuatrienio (ha)</t>
  </si>
  <si>
    <t>(*) si aplica. Para evitar doble contabilidad, se clasifican en el grupo de áreas marinas, costeras e insulares, aquellas áreas protegidas con superficie tanto en áreas marinas y continentales.</t>
  </si>
  <si>
    <t>AREAS PROTEGIDAS CONTINENTALES</t>
  </si>
  <si>
    <t>Número de áreas protegidas en proceso de declaratoria (*)</t>
  </si>
  <si>
    <t>Meta de áreas inscritas en el RUNAP</t>
  </si>
  <si>
    <t>Sin iniciar</t>
  </si>
  <si>
    <t>FASE I: Preparación</t>
  </si>
  <si>
    <t>FASE II: Aprestamiento</t>
  </si>
  <si>
    <t>FASE III: Declaratoria o Ampliación</t>
  </si>
  <si>
    <t>(*) Ubique cada área protegida sólo en la última etapa que se encuentre</t>
  </si>
  <si>
    <t>La suma de las áreas protegidas debe ser igual a la meta de número de áreas protegidas en el cuatrienio</t>
  </si>
  <si>
    <t>Superficie de áreas protegidas en proceso de declaratoria (*)</t>
  </si>
  <si>
    <t>(*) Ubique la superficie de cada área protegida sólo en la última etapa que se encuentre</t>
  </si>
  <si>
    <t>La suma de las áreas protegidas debe ser igual a la meta de superficie de áreas protegidas en el cuatrienio.</t>
  </si>
  <si>
    <t>AREAS PROTEGIDAS MARINAS, COSTERAS E INSULARES</t>
  </si>
  <si>
    <t>Relación de áreas protegidas en proceso de declaración</t>
  </si>
  <si>
    <t>Nombre de área protegida</t>
  </si>
  <si>
    <t>Tipo (continental, marina, costera, insular)</t>
  </si>
  <si>
    <t>Categoría</t>
  </si>
  <si>
    <t>Superficie en acto administrativo (ha) (*)</t>
  </si>
  <si>
    <t>Superficie en shape (ha)(a)</t>
  </si>
  <si>
    <t>Estado de avance (b)</t>
  </si>
  <si>
    <t>Acto administrativo</t>
  </si>
  <si>
    <t>de declaratoria</t>
  </si>
  <si>
    <t>(a) superficie estimada</t>
  </si>
  <si>
    <t>(b) en preparación, en aprestamiento, en declaración y declarado. Si está declarado, escriba el número del acto administrativo correspondiente.</t>
  </si>
  <si>
    <t>Cuanto más cercano a cien por ciento, mayor es el cumplimiento de las metas establecidas por la Corporación en materia de declaración de nuevas áreas protegidas.</t>
  </si>
  <si>
    <t>Se pueden llegar a presentar superposiciones en áreas protegidas declaradas u homologadas, es decir, que sobre una misma área se hayan declarado una figura regional o una nacional, con distintas definiciones y regímenes de manejo. Para efectos del presente indicador sólo se cuantificará una vez el área, eliminando en el reporte de área las superposiciones, es decir, que se deberá contar solo una vez las áreas traslapadas.</t>
  </si>
  <si>
    <r>
      <t>Lo anterior teniendo en cuenta que el artículo 2.2.2.1.3.5 del Decreto 1076 de 2015 (artículo 26 del Decreto 2372 de 2010) contempla que “</t>
    </r>
    <r>
      <rPr>
        <i/>
        <sz val="9"/>
        <color rgb="FF000000"/>
        <rFont val="Calibri"/>
        <family val="2"/>
        <scheme val="minor"/>
      </rPr>
      <t>No podrán superponerse categorías de manejo de áreas públicas</t>
    </r>
    <r>
      <rPr>
        <sz val="9"/>
        <color rgb="FF000000"/>
        <rFont val="Calibri"/>
        <family val="2"/>
        <scheme val="minor"/>
      </rPr>
      <t xml:space="preserve">”. Por tal razón, recomendamos a las Autoridades Ambientales revisar la información oficial que se encuentra en el RUNAP y cotejarla con sus procesos de declaratoria para evitar traslapes que pueden llegar a limitar el registro de las áreas protegidas en el RUNAP. </t>
    </r>
  </si>
  <si>
    <r>
      <t>Hoja Metodológica de referencia:</t>
    </r>
    <r>
      <rPr>
        <sz val="9"/>
        <color rgb="FF000000"/>
        <rFont val="Calibri"/>
        <family val="2"/>
        <scheme val="minor"/>
      </rPr>
      <t xml:space="preserve"> MADS (2016). </t>
    </r>
    <r>
      <rPr>
        <i/>
        <sz val="9"/>
        <color rgb="FF000000"/>
        <rFont val="Calibri"/>
        <family val="2"/>
        <scheme val="minor"/>
      </rPr>
      <t>Hoja metodológica Porcentaje de la Superficie de áreas protegidas regionales declaradas, homologadas o recategorizadas, inscritas en el RUNAP (Versión 1.0).</t>
    </r>
    <r>
      <rPr>
        <sz val="9"/>
        <color rgb="FF000000"/>
        <rFont val="Calibri"/>
        <family val="2"/>
        <scheme val="minor"/>
      </rPr>
      <t xml:space="preserve"> Ministerio de Ambiente y Desarrollo Sostenible MADS y Parques Nacionales de Colombia.</t>
    </r>
  </si>
  <si>
    <t>Se recomienda a las Autoridades Ambientales enviar adicionalmente reportes cualitativos del avance de los procesos de declaratoria regionales de manera periódica (mensualmente) a Parques Nacionales Naturales de Colombia, dado que en el marco de la Coordinación del SINAP y Administración del RUNAP debe entregar el respectivo reporte oficial al DNP y diferentes entidades.</t>
  </si>
  <si>
    <t>Porcentaje de páramos delimitados por el MADS, con zonificación y régimen de usos adoptados por la CAR</t>
  </si>
  <si>
    <t>Es el porcentaje de páramos con zonificación y régimen de usos adoptados por la CAR, en relación con los páramos delimitados por el MADS en la jurisdicción de la Corporación.</t>
  </si>
  <si>
    <t>Mide el avance en la zonificación y en la determinación del régimen de usos, de las áreas de páramo delimitadas por el MADS, que están ubicados en la jurisdicción de la Corporación. De esta manera, el indicador busca hacer seguimiento a la contribución de las CAR a la ejecución de la Política Nacional de Gestión Integral de la Biodiversidad y sus Servicios Ecosistémicos.</t>
  </si>
  <si>
    <t>Ley 1753 de 2015</t>
  </si>
  <si>
    <t>Resolución 769 de 2002</t>
  </si>
  <si>
    <t>Resolución 839 de 2003</t>
  </si>
  <si>
    <t>Resolución 1128 de 2006</t>
  </si>
  <si>
    <t>Resolución 937 de 2011</t>
  </si>
  <si>
    <t>Los ecosistemas de páramos han sido reconocidos como áreas de especial importancia ecológica que cuentan con una protección especial por parte del Estado, toda vez que resultan de vital importancia por los servicios ecosistémicos que prestan a la población colombiana, especialmente los relacionados con la estabilidad de los ciclos climáticos e hidrológicos y con la regulación de los flujos de agua en cantidad y calidad.</t>
  </si>
  <si>
    <t>Por ello, el artículo 1° de la Ley 99 de 1993, establece entre los Principios Generales Ambientales que las zonas de páramos, subpáramos, los nacimientos de agua y las zonas de recarga de acuíferos serán objeto de protección especial.</t>
  </si>
  <si>
    <t>El artículo 173 de la Ley 1753 de 2015 determina que en las áreas delimitadas como páramos no se podrán adelantar actividades agropecuarias ni de exploración o explotación de recursos naturales no renovables, ni construcción de refinerías de hidrocarburos.</t>
  </si>
  <si>
    <t>El Parágrafo 3 del mencionado artículo establece que “dentro de los tres (3) años siguientes a la delimitación, las autoridades ambientales deberán zonificar y determinar el régimen de usos del área de páramo delimitada, de acuerdo con los lineamientos que para el efecto defina el Ministerio de Ambiente y Desarrollo Sostenible”.</t>
  </si>
  <si>
    <r>
      <t xml:space="preserve">PPDZRU </t>
    </r>
    <r>
      <rPr>
        <vertAlign val="subscript"/>
        <sz val="9"/>
        <color rgb="FF000000"/>
        <rFont val="Calibri"/>
        <family val="2"/>
        <scheme val="minor"/>
      </rPr>
      <t>t</t>
    </r>
    <r>
      <rPr>
        <sz val="9"/>
        <color rgb="FF000000"/>
        <rFont val="Calibri"/>
        <family val="2"/>
        <scheme val="minor"/>
      </rPr>
      <t xml:space="preserve"> = Porcentaje de los páramos delimitados por el MADS, a los cuales la CAR les expide el Acto Administrativo de zonificación y régimen de usos, en el tiempo t.</t>
    </r>
  </si>
  <si>
    <r>
      <t xml:space="preserve">PZRU </t>
    </r>
    <r>
      <rPr>
        <vertAlign val="subscript"/>
        <sz val="9"/>
        <color rgb="FF000000"/>
        <rFont val="Calibri"/>
        <family val="2"/>
        <scheme val="minor"/>
      </rPr>
      <t>it</t>
    </r>
    <r>
      <rPr>
        <sz val="9"/>
        <color rgb="FF000000"/>
        <rFont val="Calibri"/>
        <family val="2"/>
        <scheme val="minor"/>
      </rPr>
      <t xml:space="preserve"> = Número de páramos previamente delimitados por el MADS en la jurisdicción de la CAR, a los cuales la CAR les expide el Acto Administrativo de zonificación y régimen de usos, en el tiempo t.</t>
    </r>
  </si>
  <si>
    <r>
      <t xml:space="preserve">PD </t>
    </r>
    <r>
      <rPr>
        <vertAlign val="subscript"/>
        <sz val="9"/>
        <color rgb="FF000000"/>
        <rFont val="Calibri"/>
        <family val="2"/>
        <scheme val="minor"/>
      </rPr>
      <t>it</t>
    </r>
    <r>
      <rPr>
        <sz val="9"/>
        <color rgb="FF000000"/>
        <rFont val="Calibri"/>
        <family val="2"/>
        <scheme val="minor"/>
      </rPr>
      <t xml:space="preserve"> = Número de páramos delimitados por el MADS en la jurisdicción de la CAR, en el tiempo t.</t>
    </r>
  </si>
  <si>
    <t>Reporte de avance</t>
  </si>
  <si>
    <t>Etapa</t>
  </si>
  <si>
    <t>Año 0 (2015) (*)</t>
  </si>
  <si>
    <t>Páramos delimitados por el MADS (número) ubicados en la jurisdicción de la Corporación</t>
  </si>
  <si>
    <t>Actos Administrativos de la CAR que adoptan la Zonificación y régimen de usos de páramos (número)</t>
  </si>
  <si>
    <t>Cuanto más cercano a cien por ciento, mayor es el cumplimiento de las metas de la autoridad ambiental en la gestión de paramos ubicados en la jurisdicción de la Corporación.</t>
  </si>
  <si>
    <r>
      <t>Hoja Metodológica de referencia:</t>
    </r>
    <r>
      <rPr>
        <sz val="9"/>
        <color rgb="FF000000"/>
        <rFont val="Calibri"/>
        <family val="2"/>
        <scheme val="minor"/>
      </rPr>
      <t xml:space="preserve"> MADS (2016). </t>
    </r>
    <r>
      <rPr>
        <i/>
        <sz val="9"/>
        <color rgb="FF000000"/>
        <rFont val="Calibri"/>
        <family val="2"/>
        <scheme val="minor"/>
      </rPr>
      <t>Hoja metodológica Porcentaje de páramos delimitados, con zonificación y régimen de usos (Versión 1.0).</t>
    </r>
    <r>
      <rPr>
        <sz val="9"/>
        <color rgb="FF000000"/>
        <rFont val="Calibri"/>
        <family val="2"/>
        <scheme val="minor"/>
      </rPr>
      <t xml:space="preserve"> Ministerio de Ambiente y Desarrollo Sostenible MADS, DGOAT-SINA y DBBSE.</t>
    </r>
  </si>
  <si>
    <t>Observaciones.</t>
  </si>
  <si>
    <t>Porcentaje de avance en la formulación del Plan de Ordenación Forestal</t>
  </si>
  <si>
    <t>Es el porcentaje de avance en la formulación del Plan de Ordenación Forestal, con respecto a la meta de Ordenación Forestal definida en el Plan de Acción de la Corporación.</t>
  </si>
  <si>
    <t>Mide el avance del Plan de Ordenación Forestal, con respecto a la meta de Ordenación Forestal definida en el Plan de Acción de la Corporación. De esta manera, el indicador busca hacer seguimiento a la contribución de las CAR a la Política Nacional de Gestión Integral de la Biodiversidad y sus Servicios Ecosistémicos, así como a los instrumentos de política relacionados con el recurso forestal.</t>
  </si>
  <si>
    <r>
      <t>·</t>
    </r>
    <r>
      <rPr>
        <sz val="7"/>
        <color rgb="FF000000"/>
        <rFont val="Times New Roman"/>
        <family val="1"/>
      </rPr>
      <t xml:space="preserve">        </t>
    </r>
    <r>
      <rPr>
        <sz val="9"/>
        <color rgb="FF000000"/>
        <rFont val="Calibri"/>
        <family val="2"/>
      </rPr>
      <t>Ley 2ª de 1959</t>
    </r>
  </si>
  <si>
    <r>
      <t>·</t>
    </r>
    <r>
      <rPr>
        <sz val="7"/>
        <color rgb="FF000000"/>
        <rFont val="Times New Roman"/>
        <family val="1"/>
      </rPr>
      <t xml:space="preserve">        </t>
    </r>
    <r>
      <rPr>
        <sz val="9"/>
        <color rgb="FF000000"/>
        <rFont val="Calibri"/>
        <family val="2"/>
      </rPr>
      <t>Ley 99 de 1993</t>
    </r>
  </si>
  <si>
    <r>
      <t>·</t>
    </r>
    <r>
      <rPr>
        <sz val="7"/>
        <color rgb="FF000000"/>
        <rFont val="Times New Roman"/>
        <family val="1"/>
      </rPr>
      <t xml:space="preserve">        </t>
    </r>
    <r>
      <rPr>
        <sz val="9"/>
        <color rgb="FF000000"/>
        <rFont val="Calibri"/>
        <family val="2"/>
      </rPr>
      <t>Decreto-Ley 2811 de 1974.</t>
    </r>
  </si>
  <si>
    <r>
      <t>·</t>
    </r>
    <r>
      <rPr>
        <sz val="7"/>
        <color rgb="FF000000"/>
        <rFont val="Times New Roman"/>
        <family val="1"/>
      </rPr>
      <t xml:space="preserve">        </t>
    </r>
    <r>
      <rPr>
        <sz val="9"/>
        <color rgb="FF000000"/>
        <rFont val="Calibri"/>
        <family val="2"/>
      </rPr>
      <t>Decreto 1076 de 2015.</t>
    </r>
  </si>
  <si>
    <t>Los artículos 8°, 79 y 80 de la Constitución Política de Colombia, señalan que es deber del Estado proteger la diversidad e integridad del ambiente, conservar las áreas de especial importancia ecológica, fomentar la educación para el logro de estos fines, planificar el manejo y aprovechamiento de los recursos naturales para garantizar su desarrollo sostenible, su conservación, restauración o sustitución.</t>
  </si>
  <si>
    <t>El Plan de ordenación forestal es el estudio elaborado por las Corporaciones que, fundamentado en la descripción de los aspectos bióticos, abióticos, sociales y económicos, tiene por objeto asegurar que el interesado en utilizar el recurso en un área forestal productora, desarrolle su actividad en forma planificada para así garantizar el manejo adecuado y el aprovechamiento sostenible del recurso</t>
  </si>
  <si>
    <r>
      <t xml:space="preserve">PAPOF </t>
    </r>
    <r>
      <rPr>
        <vertAlign val="subscript"/>
        <sz val="9"/>
        <color rgb="FF000000"/>
        <rFont val="Calibri"/>
        <family val="2"/>
        <scheme val="minor"/>
      </rPr>
      <t>t</t>
    </r>
    <r>
      <rPr>
        <sz val="9"/>
        <color rgb="FF000000"/>
        <rFont val="Calibri"/>
        <family val="2"/>
        <scheme val="minor"/>
      </rPr>
      <t xml:space="preserve"> = Porcentaje de avance en la formulación del Plan de Ordenación Forestal, en el tiempo t.</t>
    </r>
  </si>
  <si>
    <r>
      <t xml:space="preserve">APOF </t>
    </r>
    <r>
      <rPr>
        <vertAlign val="subscript"/>
        <sz val="9"/>
        <color rgb="FF000000"/>
        <rFont val="Calibri"/>
        <family val="2"/>
        <scheme val="minor"/>
      </rPr>
      <t>it</t>
    </r>
    <r>
      <rPr>
        <sz val="9"/>
        <color rgb="FF000000"/>
        <rFont val="Calibri"/>
        <family val="2"/>
        <scheme val="minor"/>
      </rPr>
      <t xml:space="preserve"> = Superficie de avance en la formulación del Plan de Ordenación Forestal (ha), en el tiempo t.</t>
    </r>
  </si>
  <si>
    <r>
      <t xml:space="preserve">MAPOF </t>
    </r>
    <r>
      <rPr>
        <vertAlign val="subscript"/>
        <sz val="9"/>
        <color rgb="FF000000"/>
        <rFont val="Calibri"/>
        <family val="2"/>
        <scheme val="minor"/>
      </rPr>
      <t>it</t>
    </r>
    <r>
      <rPr>
        <sz val="9"/>
        <color rgb="FF000000"/>
        <rFont val="Calibri"/>
        <family val="2"/>
        <scheme val="minor"/>
      </rPr>
      <t xml:space="preserve"> = Meta de avance en la formulación del Plan de Ordenación Forestal (ha), en el tiempo t.</t>
    </r>
  </si>
  <si>
    <t>Meta de nuevas hectáreas forestales a ser ordenadas en el Plan de Ordenación Forestal en el cuatrienio (ha)</t>
  </si>
  <si>
    <t>Meta de hectáreas forestales a ser actualizadas en el Plan de Ordenación Forestal en el cuatrienio (ha) -si aplica-</t>
  </si>
  <si>
    <t>Meta: hectáreas forestales sujeto de ordenación en el cuatrienio (ha) (B+C)</t>
  </si>
  <si>
    <t>Superficie total del Plan de Ordenación Forestal a 31/12/2019 (ha)</t>
  </si>
  <si>
    <t>Superficie a ser ordenada en el Plan de Ordenación Forestal (*)</t>
  </si>
  <si>
    <t>Meta: hectáreas forestales sujeto de ordenación (a)</t>
  </si>
  <si>
    <t>En formulación</t>
  </si>
  <si>
    <t>En actualización</t>
  </si>
  <si>
    <t>Plan forestal adoptado</t>
  </si>
  <si>
    <t>(*) Ubique cada superficie sólo en la última etapa que se encuentre</t>
  </si>
  <si>
    <t>La suma de la superficie de las áreas en proceso de ordenación debe ser igual a la meta de hectáreas forestales a ser ordenadas.</t>
  </si>
  <si>
    <t>Relación de áreas a ser ordenadas en el Plan de Ordenación Forestal</t>
  </si>
  <si>
    <t>Nombre del área a ser ordenada</t>
  </si>
  <si>
    <t>Municipios donde se ubica</t>
  </si>
  <si>
    <t>Superficie (ha)</t>
  </si>
  <si>
    <t>Estado de avance (a)</t>
  </si>
  <si>
    <t>Acto administrativo de adopción</t>
  </si>
  <si>
    <t>(a) en formulación, en actualización, en adopción, adoptado. Si está adoptado, escriba el número del acto administrativo correspondiente.</t>
  </si>
  <si>
    <t>Cuanto más cercano a cien por ciento, mayor es el cumplimiento de las metas establecidas por la Corporación en materia de ordenación de las áreas forestales.</t>
  </si>
  <si>
    <r>
      <t>Hoja Metodológica de referencia:</t>
    </r>
    <r>
      <rPr>
        <sz val="9"/>
        <color rgb="FF000000"/>
        <rFont val="Calibri"/>
        <family val="2"/>
        <scheme val="minor"/>
      </rPr>
      <t xml:space="preserve"> MADS (2016). </t>
    </r>
    <r>
      <rPr>
        <i/>
        <sz val="9"/>
        <color rgb="FF000000"/>
        <rFont val="Calibri"/>
        <family val="2"/>
        <scheme val="minor"/>
      </rPr>
      <t>Hoja metodológica Porcentaje de avance en la formulación del Plan de Ordenación Forestal (Versión 1.0).</t>
    </r>
    <r>
      <rPr>
        <sz val="9"/>
        <color rgb="FF000000"/>
        <rFont val="Calibri"/>
        <family val="2"/>
        <scheme val="minor"/>
      </rPr>
      <t xml:space="preserve"> Ministerio de Ambiente y Desarrollo Sostenible MADS, DGOAT-SINA y DBBSE.</t>
    </r>
  </si>
  <si>
    <t>Porcentaje de áreas protegidas con planes de manejo en ejecución</t>
  </si>
  <si>
    <t xml:space="preserve">Descripción del Indicador </t>
  </si>
  <si>
    <t>Es la relación entre el número de áreas protegidas con planes de manejo en ejecución y el número de áreas protegidas regionales en jurisdicción de la Corporación registradas en el RUNAP, cuya administración es responsabilidad de la autoridad ambiental. Comprende áreas protegidas tanto continentales como marinas, costeras e insulares.</t>
  </si>
  <si>
    <t>El indicador mide que la autoridad ambiental realice acciones dirigidas a la implementación de los planes de manejo de las áreas protegidas, cuya administración es responsabilidad de la autoridad ambiental. De esta manera, la Corporación contribuye a la ejecución a nivel regional de la Política Nacional de Gestión de la Biodiversidad y sus Servicios Ecosistémicos.</t>
  </si>
  <si>
    <t>Política Nacional de Gestión Integral de la Biodiversidad y sus Servicios Ecosistémicos</t>
  </si>
  <si>
    <t>El mencionado Decreto, establece las categorías de áreas protegidas nacionales y regionales.</t>
  </si>
  <si>
    <t>Adicionalmente, el Decreto ibídem, establece que cada una de las áreas protegidas que integran el SINAP contarán con un plan de manejo que será el principal instrumento de planificación que orienta su gestión de conservación para un periodo de cinco (5) años de manera que se evidencien resultados frente al logro de los objetivos de conservación que motivaron su designación y su contribución al desarrollo del SINAP. Este plan deberá formularse dentro del año siguiente a la declaratoria o en el caso de las áreas existentes que se integren al SINAP dentro del año siguiente al registro.</t>
  </si>
  <si>
    <t>Indicador Porcentaje de áreas protegidas con planes de manejo en ejecución</t>
  </si>
  <si>
    <r>
      <t xml:space="preserve">PAPME </t>
    </r>
    <r>
      <rPr>
        <vertAlign val="subscript"/>
        <sz val="9"/>
        <color rgb="FF000000"/>
        <rFont val="Calibri"/>
        <family val="2"/>
        <scheme val="minor"/>
      </rPr>
      <t>t</t>
    </r>
    <r>
      <rPr>
        <sz val="9"/>
        <color rgb="FF000000"/>
        <rFont val="Calibri"/>
        <family val="2"/>
        <scheme val="minor"/>
      </rPr>
      <t xml:space="preserve"> = Porcentaje de áreas protegidas con planes de manejo en ejecución, en el tiempo t.</t>
    </r>
  </si>
  <si>
    <r>
      <t xml:space="preserve">APME </t>
    </r>
    <r>
      <rPr>
        <vertAlign val="subscript"/>
        <sz val="9"/>
        <color rgb="FF000000"/>
        <rFont val="Calibri"/>
        <family val="2"/>
        <scheme val="minor"/>
      </rPr>
      <t>it</t>
    </r>
    <r>
      <rPr>
        <sz val="9"/>
        <color rgb="FF000000"/>
        <rFont val="Calibri"/>
        <family val="2"/>
        <scheme val="minor"/>
      </rPr>
      <t xml:space="preserve"> = Número de áreas protegidas </t>
    </r>
    <r>
      <rPr>
        <i/>
        <sz val="9"/>
        <color rgb="FF000000"/>
        <rFont val="Calibri"/>
        <family val="2"/>
        <scheme val="minor"/>
      </rPr>
      <t>i</t>
    </r>
    <r>
      <rPr>
        <sz val="9"/>
        <color rgb="FF000000"/>
        <rFont val="Calibri"/>
        <family val="2"/>
        <scheme val="minor"/>
      </rPr>
      <t xml:space="preserve"> con planes de manejo en ejecución, en el tiempo t.</t>
    </r>
  </si>
  <si>
    <r>
      <t xml:space="preserve">APCAR </t>
    </r>
    <r>
      <rPr>
        <vertAlign val="subscript"/>
        <sz val="9"/>
        <color rgb="FF000000"/>
        <rFont val="Calibri"/>
        <family val="2"/>
        <scheme val="minor"/>
      </rPr>
      <t>it</t>
    </r>
    <r>
      <rPr>
        <sz val="9"/>
        <color rgb="FF000000"/>
        <rFont val="Calibri"/>
        <family val="2"/>
        <scheme val="minor"/>
      </rPr>
      <t xml:space="preserve"> = Número de áreas protegidas </t>
    </r>
    <r>
      <rPr>
        <i/>
        <sz val="9"/>
        <color rgb="FF000000"/>
        <rFont val="Calibri"/>
        <family val="2"/>
        <scheme val="minor"/>
      </rPr>
      <t>i</t>
    </r>
    <r>
      <rPr>
        <sz val="9"/>
        <color rgb="FF000000"/>
        <rFont val="Calibri"/>
        <family val="2"/>
        <scheme val="minor"/>
      </rPr>
      <t xml:space="preserve"> cuya administración es responsabilidad de la Corporación Autónoma Regional, en el tiempo t.</t>
    </r>
  </si>
  <si>
    <t>Inversión asociada a la ejecución de los planes de manejo de áreas protegidas</t>
  </si>
  <si>
    <r>
      <t xml:space="preserve">IPMAP </t>
    </r>
    <r>
      <rPr>
        <vertAlign val="subscript"/>
        <sz val="9"/>
        <color rgb="FF000000"/>
        <rFont val="Calibri"/>
        <family val="2"/>
        <scheme val="minor"/>
      </rPr>
      <t>t</t>
    </r>
    <r>
      <rPr>
        <sz val="9"/>
        <color rgb="FF000000"/>
        <rFont val="Calibri"/>
        <family val="2"/>
        <scheme val="minor"/>
      </rPr>
      <t xml:space="preserve"> = Inversión asociada a la ejecución de los planes de manejo de las áreas protegidas a cargo de la Corporación Autónoma Regional, en el año t.</t>
    </r>
  </si>
  <si>
    <r>
      <t xml:space="preserve">PDAP </t>
    </r>
    <r>
      <rPr>
        <vertAlign val="subscript"/>
        <sz val="9"/>
        <color rgb="FF000000"/>
        <rFont val="Calibri"/>
        <family val="2"/>
        <scheme val="minor"/>
      </rPr>
      <t>i</t>
    </r>
    <r>
      <rPr>
        <sz val="9"/>
        <color rgb="FF000000"/>
        <rFont val="Calibri"/>
        <family val="2"/>
        <scheme val="minor"/>
      </rPr>
      <t xml:space="preserve"> = Presupuesto definitivo asociado a la ejecución del plan de manejo del área protegida i, en el año t.</t>
    </r>
  </si>
  <si>
    <t>VARIABLE</t>
  </si>
  <si>
    <t>CONTINENTALES</t>
  </si>
  <si>
    <t>MARINAS, COSTERAS E INSULARES</t>
  </si>
  <si>
    <t>TOTAL</t>
  </si>
  <si>
    <t xml:space="preserve">Número de áreas protegidas cuya administración es responsabilidad de la Corporación Autónoma Regional </t>
  </si>
  <si>
    <t>Número de áreas protegidas con plan de manejo adoptado</t>
  </si>
  <si>
    <t>Número de áreas protegidas con plan de manejo en ejecución</t>
  </si>
  <si>
    <t>Nombre de AP</t>
  </si>
  <si>
    <t>Categoría de AP</t>
  </si>
  <si>
    <t>Ppto.</t>
  </si>
  <si>
    <t>Inicial</t>
  </si>
  <si>
    <t>Presupuesto</t>
  </si>
  <si>
    <t>Definitivo</t>
  </si>
  <si>
    <t>Cuanto más cercano a cien por ciento, mayores son las acciones que la autoridad ambiental realiza para la ejecución de los planes de manejo de las áreas protegidas que están a cargo de la Corporación Autónoma Regional.</t>
  </si>
  <si>
    <r>
      <t>Hoja Metodológica de referencia:</t>
    </r>
    <r>
      <rPr>
        <sz val="9"/>
        <color rgb="FF000000"/>
        <rFont val="Calibri"/>
        <family val="2"/>
        <scheme val="minor"/>
      </rPr>
      <t xml:space="preserve"> MADS (2016). </t>
    </r>
    <r>
      <rPr>
        <i/>
        <sz val="9"/>
        <color rgb="FF000000"/>
        <rFont val="Calibri"/>
        <family val="2"/>
        <scheme val="minor"/>
      </rPr>
      <t>Hoja metodológica Porcentaje de áreas protegidas con planes de manejo en ejecución (Versión 1.0).</t>
    </r>
    <r>
      <rPr>
        <sz val="9"/>
        <color rgb="FF000000"/>
        <rFont val="Calibri"/>
        <family val="2"/>
        <scheme val="minor"/>
      </rPr>
      <t xml:space="preserve"> Ministerio de Ambiente y Desarrollo Sostenible y Parques Nacionales Naturales.</t>
    </r>
  </si>
  <si>
    <t>Se recomienda a las autoridades ambientales que una vez el plan de manejo ya esté aprobado y soportado bajo acto administrativo este sea cargado en la Plataforma del RUNAP. http://runap.parquesnacionales.gov.co)</t>
  </si>
  <si>
    <t>Porcentaje de especies amenazadas con medidas de conservación y manejo en ejecución</t>
  </si>
  <si>
    <t>Es la relación entre el número de especies amenazadas con medidas de conservación y manejo en ejecución y el número de especies que cuentan con medidas de manejo formuladas, tanto para fauna y flora como en el medio continental y marino.</t>
  </si>
  <si>
    <t>El indicador mide que la autoridad ambiental realice acciones dirigidas a la implementación de las medidas de conservación y manejo de especies amenazadas. De esta manera, la Corporación contribuye a la ejecución a nivel regional de la Política Nacional de Gestión de la Biodiversidad y sus Servicios Ecosistémicos, así como de las Metas Aichi.</t>
  </si>
  <si>
    <t>Decreto 1071 de 2015, compilatorio del Decreto 1124 de 2013, por el cual se adopta el Plan de Acción Nacional para la Conservación y Manejo de Tiburones, Rayas y Quimeras de Colombia – PAN Tiburones Colombia</t>
  </si>
  <si>
    <t>Resolución 2210 de 2010</t>
  </si>
  <si>
    <t>Resolución 0192 de 2014</t>
  </si>
  <si>
    <t>El Plan Estratégico para la Diversidad Biológica 2011-2020 y las Metas de Aichi se agrupan en los siguientes objetivos estratégicos:</t>
  </si>
  <si>
    <r>
      <t>A.</t>
    </r>
    <r>
      <rPr>
        <sz val="7"/>
        <color rgb="FF000000"/>
        <rFont val="Times New Roman"/>
        <family val="1"/>
      </rPr>
      <t xml:space="preserve">    </t>
    </r>
    <r>
      <rPr>
        <sz val="9"/>
        <color rgb="FF000000"/>
        <rFont val="Calibri"/>
        <family val="2"/>
      </rPr>
      <t>Abordar las causas subyacentes de la pérdida de diversidad biológica mediante la incorporación de la diversidad biológica en todos los ámbitos gubernamentales y de la sociedad.</t>
    </r>
  </si>
  <si>
    <r>
      <t>B.</t>
    </r>
    <r>
      <rPr>
        <sz val="7"/>
        <color rgb="FF000000"/>
        <rFont val="Times New Roman"/>
        <family val="1"/>
      </rPr>
      <t xml:space="preserve">    </t>
    </r>
    <r>
      <rPr>
        <sz val="9"/>
        <color rgb="FF000000"/>
        <rFont val="Calibri"/>
        <family val="2"/>
      </rPr>
      <t>Reducir las presiones directas sobre la diversidad biológica y promover la utilización sostenible.</t>
    </r>
  </si>
  <si>
    <r>
      <t>C.</t>
    </r>
    <r>
      <rPr>
        <sz val="7"/>
        <color rgb="FF000000"/>
        <rFont val="Times New Roman"/>
        <family val="1"/>
      </rPr>
      <t xml:space="preserve">    </t>
    </r>
    <r>
      <rPr>
        <sz val="9"/>
        <color rgb="FF000000"/>
        <rFont val="Calibri"/>
        <family val="2"/>
      </rPr>
      <t>Mejorar la situación de la diversidad biológica salvaguardando los ecosistemas, las especies y la diversidad genética.</t>
    </r>
  </si>
  <si>
    <r>
      <t>D.</t>
    </r>
    <r>
      <rPr>
        <sz val="7"/>
        <color rgb="FF000000"/>
        <rFont val="Times New Roman"/>
        <family val="1"/>
      </rPr>
      <t xml:space="preserve">    </t>
    </r>
    <r>
      <rPr>
        <sz val="9"/>
        <color rgb="FF000000"/>
        <rFont val="Calibri"/>
        <family val="2"/>
      </rPr>
      <t>Aumentar los beneficios de la diversidad biológica y los servicios de los ecosistemas para todos</t>
    </r>
  </si>
  <si>
    <t>La Resolución 192 de 2014 define Especie Amenazada, como aquella que ha sido declarada como tal por Tratados o Convenios Internacionales aprobados y ratificados por Colombia o haya sido declarada en alguna categoría de amenaza por el Ministerio de Ambiente y Desarrollo Sostenible.</t>
  </si>
  <si>
    <t>Especie en Peligro Crítico (CR): Aquellas que están enfrentando un riesgo de extinción extremadamente alto en estado de vida silvestre.</t>
  </si>
  <si>
    <t>Especie en Peligro (EN): Aquellas que están enfrentando un riesgo de extinción muy alto en estado de vida silvestre.</t>
  </si>
  <si>
    <t>Especie Vulnerable (VU): Aquellas que están enfrentando un riesgo de extinción alto en estado de vida silvestre.</t>
  </si>
  <si>
    <t>Adicionalmente, la Resolución 192 de 2014 establece que “el Ministerio de Ambiente y Desarrollo Sostenible en conjunto con las demás entidades del SINA, definirán las medidas de conservación y manejo de las especies amenazadas, sin perjuicio de las funciones y competencias asignadas a otras entidades públicas”</t>
  </si>
  <si>
    <t>Indicador Porcentaje de especies amenazadas con medidas de manejo en ejecución</t>
  </si>
  <si>
    <t xml:space="preserve"> x 100</t>
  </si>
  <si>
    <r>
      <t xml:space="preserve">PEAMME </t>
    </r>
    <r>
      <rPr>
        <vertAlign val="subscript"/>
        <sz val="9"/>
        <color rgb="FF000000"/>
        <rFont val="Calibri"/>
        <family val="2"/>
        <scheme val="minor"/>
      </rPr>
      <t>t</t>
    </r>
    <r>
      <rPr>
        <sz val="9"/>
        <color rgb="FF000000"/>
        <rFont val="Calibri"/>
        <family val="2"/>
        <scheme val="minor"/>
      </rPr>
      <t xml:space="preserve"> = Porcentaje de especies amenazadas con medidas de conservación y manejo en ejecución, en tiempo t.</t>
    </r>
  </si>
  <si>
    <r>
      <t xml:space="preserve">EAMME </t>
    </r>
    <r>
      <rPr>
        <vertAlign val="subscript"/>
        <sz val="9"/>
        <color rgb="FF000000"/>
        <rFont val="Calibri"/>
        <family val="2"/>
        <scheme val="minor"/>
      </rPr>
      <t>it</t>
    </r>
    <r>
      <rPr>
        <sz val="9"/>
        <color rgb="FF000000"/>
        <rFont val="Calibri"/>
        <family val="2"/>
        <scheme val="minor"/>
      </rPr>
      <t xml:space="preserve"> = Número de especies amenazadas </t>
    </r>
    <r>
      <rPr>
        <i/>
        <sz val="9"/>
        <color rgb="FF000000"/>
        <rFont val="Calibri"/>
        <family val="2"/>
        <scheme val="minor"/>
      </rPr>
      <t>i</t>
    </r>
    <r>
      <rPr>
        <sz val="9"/>
        <color rgb="FF000000"/>
        <rFont val="Calibri"/>
        <family val="2"/>
        <scheme val="minor"/>
      </rPr>
      <t xml:space="preserve"> con medidas de conservación y manejo en ejecución, en el tiempo t.</t>
    </r>
  </si>
  <si>
    <r>
      <t xml:space="preserve">EAMMF </t>
    </r>
    <r>
      <rPr>
        <vertAlign val="subscript"/>
        <sz val="9"/>
        <color rgb="FF000000"/>
        <rFont val="Calibri"/>
        <family val="2"/>
        <scheme val="minor"/>
      </rPr>
      <t>it</t>
    </r>
    <r>
      <rPr>
        <sz val="9"/>
        <color rgb="FF000000"/>
        <rFont val="Calibri"/>
        <family val="2"/>
        <scheme val="minor"/>
      </rPr>
      <t xml:space="preserve"> = Número de especies amenazadas </t>
    </r>
    <r>
      <rPr>
        <i/>
        <sz val="9"/>
        <color rgb="FF000000"/>
        <rFont val="Calibri"/>
        <family val="2"/>
        <scheme val="minor"/>
      </rPr>
      <t>i</t>
    </r>
    <r>
      <rPr>
        <sz val="9"/>
        <color rgb="FF000000"/>
        <rFont val="Calibri"/>
        <family val="2"/>
        <scheme val="minor"/>
      </rPr>
      <t xml:space="preserve"> con medidas de conservación y manejo formuladas, en el tiempo t.</t>
    </r>
  </si>
  <si>
    <t>Inversión asociada a la ejecución de las medidas de conservación y manejo de especies amenazadas</t>
  </si>
  <si>
    <r>
      <t xml:space="preserve">IMMEA </t>
    </r>
    <r>
      <rPr>
        <vertAlign val="subscript"/>
        <sz val="9"/>
        <color rgb="FF000000"/>
        <rFont val="Calibri"/>
        <family val="2"/>
        <scheme val="minor"/>
      </rPr>
      <t>t</t>
    </r>
    <r>
      <rPr>
        <sz val="9"/>
        <color rgb="FF000000"/>
        <rFont val="Calibri"/>
        <family val="2"/>
        <scheme val="minor"/>
      </rPr>
      <t xml:space="preserve"> = Inversión asociada a la ejecución de las medidas de conservación y manejo de especies amenazadas, en el año t.</t>
    </r>
  </si>
  <si>
    <r>
      <t xml:space="preserve">PDEA </t>
    </r>
    <r>
      <rPr>
        <vertAlign val="subscript"/>
        <sz val="9"/>
        <color rgb="FF000000"/>
        <rFont val="Calibri"/>
        <family val="2"/>
        <scheme val="minor"/>
      </rPr>
      <t>i</t>
    </r>
    <r>
      <rPr>
        <sz val="9"/>
        <color rgb="FF000000"/>
        <rFont val="Calibri"/>
        <family val="2"/>
        <scheme val="minor"/>
      </rPr>
      <t xml:space="preserve"> = Presupuesto definitivo asociado a la ejecución de medidas de conservación y manejo de la especie amenazada i, en el año t.</t>
    </r>
  </si>
  <si>
    <t>ESPECIES AMENAZADAS CONTINENTALES</t>
  </si>
  <si>
    <t>ESPECIES AMENAZADAS MARINAS</t>
  </si>
  <si>
    <t>FLORA</t>
  </si>
  <si>
    <t>FAUNA</t>
  </si>
  <si>
    <t>CR</t>
  </si>
  <si>
    <t>EN</t>
  </si>
  <si>
    <t>VU</t>
  </si>
  <si>
    <t>Número de especies amenazadas presentes en la jurisdicción</t>
  </si>
  <si>
    <t>Número de especies amenazadas con medidas de conservación y manejo formulado</t>
  </si>
  <si>
    <t>Número de especies amenazadas con medidas de conservación y manejo en ejecución</t>
  </si>
  <si>
    <t>(CR) Especie en peligro crítico</t>
  </si>
  <si>
    <t>(EN) Especie en peligro</t>
  </si>
  <si>
    <t>(VU) Especie vulnerable</t>
  </si>
  <si>
    <t>Inversión asociada a la ejecución de las medidas de conservación y manejo de especies amenazadas (Millones de $)</t>
  </si>
  <si>
    <t>Tipo (Continental o marina)</t>
  </si>
  <si>
    <t>Tipo (Flora o fauna)</t>
  </si>
  <si>
    <t>Nombre (común y/o científico)</t>
  </si>
  <si>
    <t>Cuanto más cercano a cien por ciento, mayores son las acciones que la autoridad ambiental realiza para la ejecución de las medidas de conservación y manejo de las especies amenazadas que cuentan con plan de manejo, dadas las prioridades regionales que se han definido en este campo.</t>
  </si>
  <si>
    <t>Ministerio de Ambiente y Desarrollo Sostenible - MADS</t>
  </si>
  <si>
    <r>
      <t>Hoja Metodológica de referencia:</t>
    </r>
    <r>
      <rPr>
        <sz val="9"/>
        <color rgb="FF000000"/>
        <rFont val="Calibri"/>
        <family val="2"/>
        <scheme val="minor"/>
      </rPr>
      <t xml:space="preserve"> MADS (2016). </t>
    </r>
    <r>
      <rPr>
        <i/>
        <sz val="9"/>
        <color rgb="FF000000"/>
        <rFont val="Calibri"/>
        <family val="2"/>
        <scheme val="minor"/>
      </rPr>
      <t>Hoja metodológica Porcentaje de especies amenazadas con medidas de manejo en ejecución (Versión 1.0).</t>
    </r>
    <r>
      <rPr>
        <sz val="9"/>
        <color rgb="FF000000"/>
        <rFont val="Calibri"/>
        <family val="2"/>
        <scheme val="minor"/>
      </rPr>
      <t xml:space="preserve"> Ministerio de Ambiente y Desarrollo Sostenible MADS, DGOAT-SINA, DBBSE y DAMCRA.</t>
    </r>
  </si>
  <si>
    <t>- La formulación de las medidas de conservación y manejo estaran a cargo del MADS y/o de las CARs.</t>
  </si>
  <si>
    <t>- Como limitación tambien se identifica la información disponible que sobre estas especies pueda tener cada CAR.</t>
  </si>
  <si>
    <t>Porcentaje de especies invasoras con medidas de prevención, control y manejo en ejecución</t>
  </si>
  <si>
    <t>Es la relación entre el número de especies invasoras con medidas de prevención, control y manejo en ejecución y el número de especies que cuentan con medidas de prevención, control y manejo formulado, tanto para fauna y flora como en el medio continental y marino.</t>
  </si>
  <si>
    <t>El indicador mide que la autoridad ambiental realice acciones dirigidas a la implementación de las medidas de prevención, control y manejo de especies invasoras. De esta manera, la Corporación contribuye a la ejecución a nivel regional de la Política Nacional de Gestión de la Biodiversidad y sus Servicios Ecosistémicos, así como al cumplimiento de las Metas Aichi.</t>
  </si>
  <si>
    <t>Resolución 848 de 2008, especies exóticas invasoras.</t>
  </si>
  <si>
    <t>Resolución 132 de 2010, pez león.</t>
  </si>
  <si>
    <t>Resolución 207 de 2010, pez león y caracol tigre.</t>
  </si>
  <si>
    <t>Resolución 654 de 2011, caracol gigante africano.</t>
  </si>
  <si>
    <t>Resolución 675 de 2013, adopta el Plan y Protocolo de manejo del pez león.</t>
  </si>
  <si>
    <t>Plan de Acción para la Prevención, Manejo y Control de las Especies Introducidas, Trasplantadas e Invasoras.</t>
  </si>
  <si>
    <t>Baptiste M.P., Castaño N., Cárdenas D., Gutiérrez F. P., Gil D.L. y Lasso C.A. (eds). 2010. Análisis de riesgo y propuesta de categorización de especies introducidas para Colombia. Instituto de Investigación de Recursos Biológicos Alexander von Humboldt. Bogotá, D. C., Colombia. 200 p.</t>
  </si>
  <si>
    <t>Las especies invasoras, son la segunda causa de pérdida de biodiversidad en el mundo, ya que afectan su funcionalidad y estructura además de traer consecuencias de alto impacto en el ámbito económico, la salud pública y la cultura (Baptiste et al., 2010).</t>
  </si>
  <si>
    <t>El Convenio sobre Diversidad Biológica, aprobado en Colombia a través de la Ley 165 de 1994, se refiere en el artículo 8° a las obligaciones de los países parte y en su literal h) establece: “impedirá que se introduzcan, controlará o erradicará las especies exóticas que amenacen a ecosistemas, hábitats o especies.</t>
  </si>
  <si>
    <t>Se entiende por especies exóticas de carácter invasor aquellas que han sido capaces de colonizar efectivamente un área en donde se ha interrumpido la barrera geográfica y se han propagado sin asistencia humana directa en hábitats naturales o seminaturales y cuyo establecimiento y expansión amenaza los ecosistemas, hábitats o especies con daños económicos o ambientales (Resolución 848 de 2008).</t>
  </si>
  <si>
    <t>El artículo 3° de la Resolución 848 de 2008 establece que las autoridades ambientales regionales deberán tomar medidas para la prevención, control y manejo de las especies introducidas exóticas, invasoras y trasplantadas presentes en el territorio nacional, que se estimen pertinentes, tales como el otorgamiento de permisos de caza de control y demás medidas de manejo que resulten aplicables conforme a las disposiciones legales vigentes.</t>
  </si>
  <si>
    <r>
      <t xml:space="preserve">PEIME </t>
    </r>
    <r>
      <rPr>
        <vertAlign val="subscript"/>
        <sz val="9"/>
        <color rgb="FF000000"/>
        <rFont val="Calibri"/>
        <family val="2"/>
        <scheme val="minor"/>
      </rPr>
      <t>t</t>
    </r>
    <r>
      <rPr>
        <sz val="9"/>
        <color rgb="FF000000"/>
        <rFont val="Calibri"/>
        <family val="2"/>
        <scheme val="minor"/>
      </rPr>
      <t xml:space="preserve"> = Porcentaje de especies invasoras con medidas de prevención, control y manejo en ejecución, en tiempo t.</t>
    </r>
  </si>
  <si>
    <r>
      <t xml:space="preserve">EIPMEE </t>
    </r>
    <r>
      <rPr>
        <vertAlign val="subscript"/>
        <sz val="9"/>
        <color rgb="FF000000"/>
        <rFont val="Calibri"/>
        <family val="2"/>
        <scheme val="minor"/>
      </rPr>
      <t>it</t>
    </r>
    <r>
      <rPr>
        <sz val="9"/>
        <color rgb="FF000000"/>
        <rFont val="Calibri"/>
        <family val="2"/>
        <scheme val="minor"/>
      </rPr>
      <t xml:space="preserve"> = Número de especies invasoras </t>
    </r>
    <r>
      <rPr>
        <i/>
        <sz val="9"/>
        <color rgb="FF000000"/>
        <rFont val="Calibri"/>
        <family val="2"/>
        <scheme val="minor"/>
      </rPr>
      <t>i</t>
    </r>
    <r>
      <rPr>
        <sz val="9"/>
        <color rgb="FF000000"/>
        <rFont val="Calibri"/>
        <family val="2"/>
        <scheme val="minor"/>
      </rPr>
      <t xml:space="preserve"> con medidas de prevención, control y manejo en ejecución, en tiempo t.</t>
    </r>
  </si>
  <si>
    <r>
      <t xml:space="preserve">EIPMEF </t>
    </r>
    <r>
      <rPr>
        <vertAlign val="subscript"/>
        <sz val="9"/>
        <color rgb="FF000000"/>
        <rFont val="Calibri"/>
        <family val="2"/>
        <scheme val="minor"/>
      </rPr>
      <t>it</t>
    </r>
    <r>
      <rPr>
        <sz val="9"/>
        <color rgb="FF000000"/>
        <rFont val="Calibri"/>
        <family val="2"/>
        <scheme val="minor"/>
      </rPr>
      <t xml:space="preserve"> = Número de especies invasoras </t>
    </r>
    <r>
      <rPr>
        <i/>
        <sz val="9"/>
        <color rgb="FF000000"/>
        <rFont val="Calibri"/>
        <family val="2"/>
        <scheme val="minor"/>
      </rPr>
      <t>i</t>
    </r>
    <r>
      <rPr>
        <sz val="9"/>
        <color rgb="FF000000"/>
        <rFont val="Calibri"/>
        <family val="2"/>
        <scheme val="minor"/>
      </rPr>
      <t xml:space="preserve"> con medidas de prevención, control y manejo formulado, en el tiempo t.</t>
    </r>
  </si>
  <si>
    <t>Inversión asociada a la ejecución de medidas de manejo de especies invasoras</t>
  </si>
  <si>
    <r>
      <t xml:space="preserve">IPMEI </t>
    </r>
    <r>
      <rPr>
        <vertAlign val="subscript"/>
        <sz val="9"/>
        <color rgb="FF000000"/>
        <rFont val="Calibri"/>
        <family val="2"/>
        <scheme val="minor"/>
      </rPr>
      <t>t</t>
    </r>
    <r>
      <rPr>
        <sz val="9"/>
        <color rgb="FF000000"/>
        <rFont val="Calibri"/>
        <family val="2"/>
        <scheme val="minor"/>
      </rPr>
      <t xml:space="preserve"> = Inversión asociada a la ejecución de las medidas de prevención, control y manejo de especies invasoras, en el año t.</t>
    </r>
  </si>
  <si>
    <r>
      <t xml:space="preserve">PDEI </t>
    </r>
    <r>
      <rPr>
        <vertAlign val="subscript"/>
        <sz val="9"/>
        <color rgb="FF000000"/>
        <rFont val="Calibri"/>
        <family val="2"/>
        <scheme val="minor"/>
      </rPr>
      <t>i</t>
    </r>
    <r>
      <rPr>
        <sz val="9"/>
        <color rgb="FF000000"/>
        <rFont val="Calibri"/>
        <family val="2"/>
        <scheme val="minor"/>
      </rPr>
      <t xml:space="preserve"> = Presupuesto definitivo asociado a la ejecución de las medidas de prevención, control y manejo de la especie invasora i, en el año t.</t>
    </r>
  </si>
  <si>
    <t>CONTINENTAL</t>
  </si>
  <si>
    <t>MARINA</t>
  </si>
  <si>
    <t>SUBTOTAL</t>
  </si>
  <si>
    <t>Número de especies invasoras en la jurisdicción</t>
  </si>
  <si>
    <t>Número de especies invasoras con medidas de prevención, control y manejo formulado</t>
  </si>
  <si>
    <t>Número de especies invasoras con medidas de prevención, control y manejo en ejecución</t>
  </si>
  <si>
    <t>Inversión asociada a la ejecución de las medidas de prevención, control y manejo de especies invasoras (Millones de $)</t>
  </si>
  <si>
    <t>Cuanto más cercano a cien por ciento, mayores son las acciones que la autoridad ambiental realiza para la ejecución de las medidas de prevención, control y manejo de las especies invasoras que cuentan con medidas de prevención, control y manejo, dadas las prioridades regionales que se han definido en este campo.</t>
  </si>
  <si>
    <t>Se pueden presentar situaciones de orden operativo, financiero, político y social que pueden afectar los presupuestos y los cronogramas definidos en el Plan de Acción de la Corporación. Así mismo, pueden existir limitaciones de información sobre las especies invasoras presentes en la Corporación.</t>
  </si>
  <si>
    <r>
      <t>Hoja Metodológica de referencia:</t>
    </r>
    <r>
      <rPr>
        <sz val="9"/>
        <color rgb="FF000000"/>
        <rFont val="Calibri"/>
        <family val="2"/>
        <scheme val="minor"/>
      </rPr>
      <t xml:space="preserve"> MADS (2016). </t>
    </r>
    <r>
      <rPr>
        <i/>
        <sz val="9"/>
        <color rgb="FF000000"/>
        <rFont val="Calibri"/>
        <family val="2"/>
        <scheme val="minor"/>
      </rPr>
      <t>Hoja metodológica Porcentaje de especies invasoras con medidas de manejo en ejecución (Versión 1.0).</t>
    </r>
    <r>
      <rPr>
        <sz val="9"/>
        <color rgb="FF000000"/>
        <rFont val="Calibri"/>
        <family val="2"/>
        <scheme val="minor"/>
      </rPr>
      <t xml:space="preserve"> Ministerio de Ambiente y Desarrollo Sostenible MADS, DGOAT-SINA, DBBSE y DAMCRA.</t>
    </r>
  </si>
  <si>
    <t>La formulación de las medidas de prevención, control y manejo estarán a cargo del MADS y/o las CARs.</t>
  </si>
  <si>
    <t>Porcentaje de áreas de ecosistemas en restauración, rehabilitación y reforestación</t>
  </si>
  <si>
    <t>Mide la superficie de ecosistemas en restauración, rehabilitación y reforestación, con respecto a la meta de áreas en restauración, rehabilitación y recuperación priorizadas por la Corporación.</t>
  </si>
  <si>
    <t>El indicador busca hacer seguimiento a la contribución de las CAR a la Política Nacional de Gestión Integral de la Biodiversidad y sus Servicios Ecosistémicos y específicamente las acciones relacionadas con la restauración, recuperación y rehabilitación de ecosistemas.</t>
  </si>
  <si>
    <t>Contribución a la Meta del plan de desarrollo (Hectáreas en Proceso de Restauración)</t>
  </si>
  <si>
    <t>Plan Nacional de Restauración</t>
  </si>
  <si>
    <t>El Plan Nacional de Restauración concibe la restauración, en su visión amplia, como el restablecimiento parcial o totalmente la composición, estructura y función de la biodiversidad, que hayan sido alterados o degradados.</t>
  </si>
  <si>
    <t>La restauración ecológica, por su parte, es el proceso de ayudar al restablecimiento de un ecosistema que se ha degradado, dañado o destruido. Es una actividad deliberada que inicia o acelera la recuperación de un ecosistema con respecto a su salud, integridad y sostenibilidad y busca iniciar o facilitar la reanudación de estos procesos, los cuales retornarán el ecosistema a la trayectoria deseada.</t>
  </si>
  <si>
    <t>La rehabilitación de ecosistemas enfatiza la reparación de los procesos, la productividad y los servicios de un ecosistema. Comparte con la restauración un enfoque fundamental en los ecosistemas históricos o preexistentes como modelos o referencias, pero las dos actividades difieren en sus metas y estrategias.</t>
  </si>
  <si>
    <t>La recuperación de ecosistemas incluye la estabilización del terreno, el aseguramiento de la seguridad pública, el mejoramiento estético y, por lo general, el retorno de las tierras a lo que se consideraría un propósito útil dentro del contexto regional.</t>
  </si>
  <si>
    <t>Se debe tener en cuenta que la restauración es un proceso a largo plazo por lo que sólo el establecimiento (revegetación) no significa que el ecosistema haya sido restaurado, si no que corresponde a una fase en el proceso, por lo tanto, las hectáreas establecidas se encuentran en “Proceso de restauración”.</t>
  </si>
  <si>
    <t>Se considera que el proyecto de restauración, en este caso el área, se encuentra en proceso de restauración cuando se han realizado las etapas de un proyecto de restauración.</t>
  </si>
  <si>
    <t>Las mencionadas etapas de un proyecto de restauración, identificadas en el Plan Nacional de Restauración, son: a. planeación del proyecto de restauración; b. ejecución; c. mantenimiento; d. monitoreo; y e. divulgación de modelos regionales.</t>
  </si>
  <si>
    <r>
      <t xml:space="preserve">PAERRR </t>
    </r>
    <r>
      <rPr>
        <vertAlign val="subscript"/>
        <sz val="9"/>
        <color rgb="FF000000"/>
        <rFont val="Calibri"/>
        <family val="2"/>
        <scheme val="minor"/>
      </rPr>
      <t>t</t>
    </r>
    <r>
      <rPr>
        <sz val="9"/>
        <color rgb="FF000000"/>
        <rFont val="Calibri"/>
        <family val="2"/>
        <scheme val="minor"/>
      </rPr>
      <t xml:space="preserve"> = Porcentaje de áreas de ecosistemas en restauración, rehabilitación y recuperación, en el tiempo t.</t>
    </r>
  </si>
  <si>
    <r>
      <t xml:space="preserve">AERRR </t>
    </r>
    <r>
      <rPr>
        <vertAlign val="subscript"/>
        <sz val="9"/>
        <color rgb="FF000000"/>
        <rFont val="Calibri"/>
        <family val="2"/>
        <scheme val="minor"/>
      </rPr>
      <t>it</t>
    </r>
    <r>
      <rPr>
        <sz val="9"/>
        <color rgb="FF000000"/>
        <rFont val="Calibri"/>
        <family val="2"/>
        <scheme val="minor"/>
      </rPr>
      <t xml:space="preserve"> = Superficie de áreas en restauración, rehabilitación y recuperación (ha), en el tiempo t.</t>
    </r>
  </si>
  <si>
    <r>
      <t xml:space="preserve">MAERRR </t>
    </r>
    <r>
      <rPr>
        <vertAlign val="subscript"/>
        <sz val="9"/>
        <color rgb="FF000000"/>
        <rFont val="Calibri"/>
        <family val="2"/>
        <scheme val="minor"/>
      </rPr>
      <t>it</t>
    </r>
    <r>
      <rPr>
        <sz val="9"/>
        <color rgb="FF000000"/>
        <rFont val="Calibri"/>
        <family val="2"/>
        <scheme val="minor"/>
      </rPr>
      <t xml:space="preserve"> = Meta de áreas en restauración, rehabilitación y recuperación (ha), en el tiempo t.</t>
    </r>
  </si>
  <si>
    <t>Inversión asociada a restauración, rehabilitación y recuperación de los ecosistemas naturales</t>
  </si>
  <si>
    <t>(Millones de $)</t>
  </si>
  <si>
    <r>
      <t xml:space="preserve">IRRR </t>
    </r>
    <r>
      <rPr>
        <vertAlign val="subscript"/>
        <sz val="9"/>
        <color rgb="FF000000"/>
        <rFont val="Calibri"/>
        <family val="2"/>
        <scheme val="minor"/>
      </rPr>
      <t>t</t>
    </r>
    <r>
      <rPr>
        <sz val="9"/>
        <color rgb="FF000000"/>
        <rFont val="Calibri"/>
        <family val="2"/>
        <scheme val="minor"/>
      </rPr>
      <t xml:space="preserve"> = Inversión asociada a restauración, rehabilitación y recuperación de los ecosistemas naturales, en el año t.</t>
    </r>
  </si>
  <si>
    <r>
      <t xml:space="preserve">PDIRRR </t>
    </r>
    <r>
      <rPr>
        <vertAlign val="subscript"/>
        <sz val="9"/>
        <color rgb="FF000000"/>
        <rFont val="Calibri"/>
        <family val="2"/>
        <scheme val="minor"/>
      </rPr>
      <t>i</t>
    </r>
    <r>
      <rPr>
        <sz val="9"/>
        <color rgb="FF000000"/>
        <rFont val="Calibri"/>
        <family val="2"/>
        <scheme val="minor"/>
      </rPr>
      <t xml:space="preserve"> = Presupuesto definitivo asociado a la ejecución de la acción o proyecto i relacionado con la restauración, rehabilitación y recuperación de los ecosistemas naturales, en el año t.</t>
    </r>
  </si>
  <si>
    <t>Meta de áreas de ecosistemas en restauración, rehabilitación y recuperación (ha)</t>
  </si>
  <si>
    <t>Áreas de ecosistemas en restauración ecológica</t>
  </si>
  <si>
    <t>Áreas de ecosistemas en rehabilitación</t>
  </si>
  <si>
    <t>Áreas de ecosistemas en recuperación</t>
  </si>
  <si>
    <t>Inversión asociada a restauración, rehabilitación y recuperación de los ecosistemas (Millones de $)</t>
  </si>
  <si>
    <t>Tipo de acción (restauración, rehabilitación o recuperación)</t>
  </si>
  <si>
    <t>Área en restauración, rehabilitación o recuperación (ha)</t>
  </si>
  <si>
    <t>Cuanto más cercano a cien por ciento, mayor es el cumplimiento de las metas establecidas por la Corporación en materia de restauración, rehabilitación y reforestación.</t>
  </si>
  <si>
    <r>
      <t>Hoja Metodológica de referencia:</t>
    </r>
    <r>
      <rPr>
        <sz val="9"/>
        <color rgb="FF000000"/>
        <rFont val="Calibri"/>
        <family val="2"/>
        <scheme val="minor"/>
      </rPr>
      <t xml:space="preserve"> MADS (2016). </t>
    </r>
    <r>
      <rPr>
        <i/>
        <sz val="9"/>
        <color rgb="FF000000"/>
        <rFont val="Calibri"/>
        <family val="2"/>
        <scheme val="minor"/>
      </rPr>
      <t>Hoja metodológica Porcentaje de áreas de ecosistemas en restauración, rehabilitación y reforestación (Versión 1.0).</t>
    </r>
    <r>
      <rPr>
        <sz val="9"/>
        <color rgb="FF000000"/>
        <rFont val="Calibri"/>
        <family val="2"/>
        <scheme val="minor"/>
      </rPr>
      <t xml:space="preserve"> Ministerio de Ambiente y Desarrollo Sostenible MADS, DGOAT-SINA, DBBSE y DAMCRA.</t>
    </r>
  </si>
  <si>
    <t>Implementación de acciones en manejo integrado de zonas costeras</t>
  </si>
  <si>
    <t>Es el porcentaje de avance en la ejecución, por parte de la corporación autónoma regional, de las acciones relacionadas con el manejo integrado de zonas costeras en el marco del Plan de Acción.</t>
  </si>
  <si>
    <t>El indicador mide el cumplimiento de las metas que la autoridad ambiental se ha propuesto alcanzar en relación con el manejo integrado de zonas costeras, en el marco del Plan de Acción de la Corporación. De esta manera, contribuye a la implementación regional de la Política nacional ambiental para el desarrollo sostenible de los espacios oceánicos y las zonas costeras e insulares de Colombia.</t>
  </si>
  <si>
    <t>Ley 99 de 1993, Ley Marco de Medio Ambiente.</t>
  </si>
  <si>
    <t>Ley 1450 de 2011 (artículos 207 y 208) (vigentes).</t>
  </si>
  <si>
    <t>Decreto 1076 de 2015, Decreto Único Reglamentario.</t>
  </si>
  <si>
    <t>Resolución 1602 de 1995, manglares</t>
  </si>
  <si>
    <t>Resolución 20 de 1996, manglares</t>
  </si>
  <si>
    <t>Resolución 924 de 1997, manglares</t>
  </si>
  <si>
    <t>Política nacional ambiental para el desarrollo sostenible de los espacios oceánicos y las zonas costeras e insulares de Colombia – PNAOCI 2000</t>
  </si>
  <si>
    <t>La Política Nacional Ambiental para el Desarrollo Sostenible de los Espacios Oceánicos y las Zonas Costeras e Insulares de Colombia- PNAOCI-, , señala que el manejo integrado costero es un proceso de planificación especial dirigido hacia un área compleja y dinámica, que se enfoca en la interfase mar – tierra y que considera los siguientes aspectos: algunos conceptos fijos y otros flexibles que la demarcan, una ética de conservación de los ecosistemas, metas socioeconómicas, un estilo de manejo activo participativo y de solución de problemas, y una fuerte base científica.</t>
  </si>
  <si>
    <t>La mencionada política promueve el ordenamiento territorial para asignar usos sostenibles al territorio marítimo y costero nacional, la formas mejoradas de gobierno que armonicen y articulen la planificación del desarrollo costero sectorial, la conservación y restauración de los bienes y servicios que proveen sus ecosistemas, la generación de conocimiento que permita la obtención de información estratégica para la toma de decisiones de manejo integrado de esta áreas, y los procesos de autogestión comunitaria y de aprendizaje que permitan integrar a los múltiples usuarios de la zona costera en la gestión de su manejo sostenible.</t>
  </si>
  <si>
    <t>Las principales temáticas en el Manejo Integrado de Zonas Costeras en las que tienen competencia las Corporaciones Autónomas Regionales son:</t>
  </si>
  <si>
    <r>
      <t>1)</t>
    </r>
    <r>
      <rPr>
        <sz val="7"/>
        <color rgb="FF000000"/>
        <rFont val="Times New Roman"/>
        <family val="1"/>
      </rPr>
      <t xml:space="preserve">      </t>
    </r>
    <r>
      <rPr>
        <sz val="9"/>
        <color rgb="FF000000"/>
        <rFont val="Calibri"/>
        <family val="2"/>
        <scheme val="minor"/>
      </rPr>
      <t>Planificación y ordenamiento de la Unidad Ambiental Costera UAC</t>
    </r>
  </si>
  <si>
    <r>
      <t>a)</t>
    </r>
    <r>
      <rPr>
        <sz val="7"/>
        <color rgb="FF000000"/>
        <rFont val="Times New Roman"/>
        <family val="1"/>
      </rPr>
      <t xml:space="preserve">      </t>
    </r>
    <r>
      <rPr>
        <sz val="9"/>
        <color rgb="FF000000"/>
        <rFont val="Calibri"/>
        <family val="2"/>
        <scheme val="minor"/>
      </rPr>
      <t>Participación en la Formulación del POMIUAC en el marco de la Unidad Ambiental Costera correspondiente a su jurisdicción y en el Diagnóstico y Zonificación de los Manglares.</t>
    </r>
  </si>
  <si>
    <r>
      <t>2)</t>
    </r>
    <r>
      <rPr>
        <sz val="7"/>
        <color rgb="FF000000"/>
        <rFont val="Times New Roman"/>
        <family val="1"/>
      </rPr>
      <t xml:space="preserve">      </t>
    </r>
    <r>
      <rPr>
        <sz val="9"/>
        <color rgb="FF000000"/>
        <rFont val="Calibri"/>
        <family val="2"/>
        <scheme val="minor"/>
      </rPr>
      <t>Gestión ambiental en las zonas costeras de su jurisdicción</t>
    </r>
  </si>
  <si>
    <r>
      <t>a)</t>
    </r>
    <r>
      <rPr>
        <sz val="7"/>
        <color rgb="FF000000"/>
        <rFont val="Times New Roman"/>
        <family val="1"/>
      </rPr>
      <t xml:space="preserve">      </t>
    </r>
    <r>
      <rPr>
        <sz val="9"/>
        <color rgb="FF000000"/>
        <rFont val="Calibri"/>
        <family val="2"/>
        <scheme val="minor"/>
      </rPr>
      <t>Manejo de ecosistemas marinos y costeros.</t>
    </r>
  </si>
  <si>
    <r>
      <t>3)</t>
    </r>
    <r>
      <rPr>
        <sz val="7"/>
        <color rgb="FF000000"/>
        <rFont val="Times New Roman"/>
        <family val="1"/>
      </rPr>
      <t xml:space="preserve">      </t>
    </r>
    <r>
      <rPr>
        <sz val="9"/>
        <color rgb="FF000000"/>
        <rFont val="Calibri"/>
        <family val="2"/>
        <scheme val="minor"/>
      </rPr>
      <t>Articulación junto con los entes territoriales en el manejo integrado de zonas costeras.</t>
    </r>
  </si>
  <si>
    <r>
      <t>4)</t>
    </r>
    <r>
      <rPr>
        <sz val="7"/>
        <color rgb="FF000000"/>
        <rFont val="Times New Roman"/>
        <family val="1"/>
      </rPr>
      <t xml:space="preserve">      </t>
    </r>
    <r>
      <rPr>
        <sz val="9"/>
        <color rgb="FF000000"/>
        <rFont val="Calibri"/>
        <family val="2"/>
        <scheme val="minor"/>
      </rPr>
      <t>Educación y participación en manejo integrado de zonas costeras.</t>
    </r>
  </si>
  <si>
    <r>
      <t>5)</t>
    </r>
    <r>
      <rPr>
        <sz val="7"/>
        <color rgb="FF000000"/>
        <rFont val="Times New Roman"/>
        <family val="1"/>
      </rPr>
      <t xml:space="preserve">      </t>
    </r>
    <r>
      <rPr>
        <sz val="9"/>
        <color rgb="FF000000"/>
        <rFont val="Calibri"/>
        <family val="2"/>
        <scheme val="minor"/>
      </rPr>
      <t>Gestión de Información en manejo integrado de zonas costeras</t>
    </r>
  </si>
  <si>
    <r>
      <t>a)</t>
    </r>
    <r>
      <rPr>
        <sz val="7"/>
        <color rgb="FF000000"/>
        <rFont val="Times New Roman"/>
        <family val="1"/>
      </rPr>
      <t xml:space="preserve">      </t>
    </r>
    <r>
      <rPr>
        <sz val="9"/>
        <color rgb="FF000000"/>
        <rFont val="Calibri"/>
        <family val="2"/>
        <scheme val="minor"/>
      </rPr>
      <t>Monitoreo de la calidad ambiental en las zonas marinas y costeras</t>
    </r>
  </si>
  <si>
    <r>
      <t>b)</t>
    </r>
    <r>
      <rPr>
        <sz val="7"/>
        <color rgb="FF000000"/>
        <rFont val="Times New Roman"/>
        <family val="1"/>
      </rPr>
      <t xml:space="preserve">      </t>
    </r>
    <r>
      <rPr>
        <sz val="9"/>
        <color rgb="FF000000"/>
        <rFont val="Calibri"/>
        <family val="2"/>
        <scheme val="minor"/>
      </rPr>
      <t>Fortalecimiento de los sistemas de información regional ambiental en el ámbito marino-costero</t>
    </r>
  </si>
  <si>
    <r>
      <t>c)</t>
    </r>
    <r>
      <rPr>
        <sz val="7"/>
        <color rgb="FF000000"/>
        <rFont val="Times New Roman"/>
        <family val="1"/>
      </rPr>
      <t xml:space="preserve">       </t>
    </r>
    <r>
      <rPr>
        <sz val="9"/>
        <color rgb="FF000000"/>
        <rFont val="Calibri"/>
        <family val="2"/>
        <scheme val="minor"/>
      </rPr>
      <t>Monitoreo de ecosistemas y recursos acuáticos marinos y costeros</t>
    </r>
  </si>
  <si>
    <t>Cabe señalar que las acciones a ser realizadas por las Corporaciones deben corresponder a las competencias otorgadas por la normatividad y en el marco de sus funciones misionales.</t>
  </si>
  <si>
    <t>Porcentaje de ejecución de acciones relacionadas con el manejo integrado de zonas costeras</t>
  </si>
  <si>
    <t>Es el promedio ponderado de la ejecución de acciones relacionadas con el manejo integrado de las zonas costeras.</t>
  </si>
  <si>
    <r>
      <t xml:space="preserve">ETAMIZC </t>
    </r>
    <r>
      <rPr>
        <vertAlign val="subscript"/>
        <sz val="9"/>
        <color rgb="FF000000"/>
        <rFont val="Calibri"/>
        <family val="2"/>
        <scheme val="minor"/>
      </rPr>
      <t>t</t>
    </r>
    <r>
      <rPr>
        <sz val="9"/>
        <color rgb="FF000000"/>
        <rFont val="Calibri"/>
        <family val="2"/>
        <scheme val="minor"/>
      </rPr>
      <t xml:space="preserve"> = Porcentaje de ejecución total de acciones en manejo integrado de zonas costeras, en el tiempo t.</t>
    </r>
  </si>
  <si>
    <r>
      <t xml:space="preserve">EAMIZC </t>
    </r>
    <r>
      <rPr>
        <vertAlign val="subscript"/>
        <sz val="9"/>
        <color rgb="FF000000"/>
        <rFont val="Calibri"/>
        <family val="2"/>
        <scheme val="minor"/>
      </rPr>
      <t>It</t>
    </r>
    <r>
      <rPr>
        <sz val="9"/>
        <color rgb="FF000000"/>
        <rFont val="Calibri"/>
        <family val="2"/>
        <scheme val="minor"/>
      </rPr>
      <t xml:space="preserve"> = Porcentaje de ejecución de la acción </t>
    </r>
    <r>
      <rPr>
        <i/>
        <sz val="9"/>
        <color rgb="FF000000"/>
        <rFont val="Calibri"/>
        <family val="2"/>
        <scheme val="minor"/>
      </rPr>
      <t>i</t>
    </r>
    <r>
      <rPr>
        <sz val="9"/>
        <color rgb="FF000000"/>
        <rFont val="Calibri"/>
        <family val="2"/>
        <scheme val="minor"/>
      </rPr>
      <t xml:space="preserve"> relacionada con el manejo integrado de zonas costeras, en el tiempo t.</t>
    </r>
  </si>
  <si>
    <r>
      <t xml:space="preserve"> a </t>
    </r>
    <r>
      <rPr>
        <vertAlign val="subscript"/>
        <sz val="9"/>
        <color rgb="FF000000"/>
        <rFont val="Calibri"/>
        <family val="2"/>
        <scheme val="minor"/>
      </rPr>
      <t>i</t>
    </r>
    <r>
      <rPr>
        <sz val="9"/>
        <color rgb="FF000000"/>
        <rFont val="Calibri"/>
        <family val="2"/>
        <scheme val="minor"/>
      </rPr>
      <t xml:space="preserve"> = ponderador de la acción i de manejo integrado de zonas costeras</t>
    </r>
  </si>
  <si>
    <r>
      <t xml:space="preserve">Σ a </t>
    </r>
    <r>
      <rPr>
        <vertAlign val="subscript"/>
        <sz val="9"/>
        <color rgb="FF000000"/>
        <rFont val="Calibri"/>
        <family val="2"/>
        <scheme val="minor"/>
      </rPr>
      <t>i</t>
    </r>
    <r>
      <rPr>
        <sz val="9"/>
        <color rgb="FF000000"/>
        <rFont val="Calibri"/>
        <family val="2"/>
        <scheme val="minor"/>
      </rPr>
      <t xml:space="preserve"> = 1.</t>
    </r>
  </si>
  <si>
    <r>
      <t>Nota:</t>
    </r>
    <r>
      <rPr>
        <sz val="9"/>
        <color rgb="FF000000"/>
        <rFont val="Calibri"/>
        <family val="2"/>
        <scheme val="minor"/>
      </rPr>
      <t xml:space="preserve"> los ponderadores de las acciones serán definidos por las CAR teniendo en cuenta el peso asignado para cada una de ellas.</t>
    </r>
  </si>
  <si>
    <t>Porcentaje de ejecución de acciones relacionadas con el manejo integrado de zonas costeras.</t>
  </si>
  <si>
    <t>Número de acciones relacionadas con el manejo integrado de zonas Costeras</t>
  </si>
  <si>
    <t>Ejecución física de las acciones relacionadas con el manejo integrado de zonas costeras</t>
  </si>
  <si>
    <t>Temática</t>
  </si>
  <si>
    <t>Ejecución Física (%)</t>
  </si>
  <si>
    <t>% Ejecución Física Cuatrienal</t>
  </si>
  <si>
    <t>% Ejecución Física Anual</t>
  </si>
  <si>
    <t>Ponderación (100%)</t>
  </si>
  <si>
    <t>Ejecución ponderada (%)</t>
  </si>
  <si>
    <t>Planificación y ordenamiento de UAC</t>
  </si>
  <si>
    <t>Gestión ambiental en las zonas costeras</t>
  </si>
  <si>
    <t>Articulación junto con los entes territoriales en el manejo integrado de zonas costeras</t>
  </si>
  <si>
    <t>Educación y participación en MIZC</t>
  </si>
  <si>
    <t>Gestión de Información en MIZC</t>
  </si>
  <si>
    <t>(*) Nombre de la acción, actividad o proyecto en el Plan de Acción de la Corporación.</t>
  </si>
  <si>
    <t>Cuanto más cercano a cien por ciento, mayor es el cumplimiento de las metas que la autoridad ambiental se ha propuesto alcanzar en relación con el manejo integrado de zonas costeras, en el marco del Plan de Acción de la Corporación.</t>
  </si>
  <si>
    <t>Se pueden presentar situaciones de orden operativo, financiero, político y social que pueden afectar los presupuestos y los cronogramas definidos en el Plan de Acción de la Corporación. Así mismo, pueden existir limitaciones sobre la disponibilidad de información.</t>
  </si>
  <si>
    <r>
      <t xml:space="preserve">Hoja Metodológica de referencia: MADS (2016). </t>
    </r>
    <r>
      <rPr>
        <i/>
        <sz val="9"/>
        <color rgb="FF000000"/>
        <rFont val="Calibri"/>
        <family val="2"/>
        <scheme val="minor"/>
      </rPr>
      <t>Hoja metodológica Ejecución de acciones en Manejo Integrado de Zonas Costeras (Versión 1.0).</t>
    </r>
    <r>
      <rPr>
        <sz val="9"/>
        <color rgb="FF000000"/>
        <rFont val="Calibri"/>
        <family val="2"/>
        <scheme val="minor"/>
      </rPr>
      <t xml:space="preserve"> Ministerio de Ambiente y Desarrollo Sostenible MADS, DGOAT-SINA y DAMCRA.</t>
    </r>
  </si>
  <si>
    <t>Porcentaje de Planes de Gestión Integral de Residuos Sólidos (PGIRS) con seguimiento a metas de aprovechamiento</t>
  </si>
  <si>
    <t>Es la relación entre el número de Planes de Gestión Integral de Residuos Sólidos (PGIRS) con seguimiento con respecto a la meta de seguimiento de dichos planes por parte de la autoridad ambiental, exclusivamente en lo relacionado con las metas de aprovechamiento.</t>
  </si>
  <si>
    <t>El indicador mide el cumplimiento de las metas que la autoridad ambiental se ha propuesto alcanzar en relación con el seguimiento a los Planes de Gestión Integral de Residuos Sólidos (PGIRS), exclusivamente en lo relacionado con las metas de aprovechamiento.</t>
  </si>
  <si>
    <t>Decreto 1076 de 2015, Decreto Único Reglamentario Sector Ambiente, Articulo 2.2.6.1.1.1 al 2.2.7.3.1.7.</t>
  </si>
  <si>
    <t>Decreto 1077 de 2015. Artículo 2.3.2.2.3.90. Programa de aprovechamiento.</t>
  </si>
  <si>
    <t>Resolución 754 de 2014</t>
  </si>
  <si>
    <t>Metodología para la formulación, implementación, evaluación, seguimiento, control y actualización de los Planes de Gestión Integral de Residuos Sólidos (PGIRS)</t>
  </si>
  <si>
    <t>El Decreto 1077 de 2015 define el Plan de Gestión Integral de Residuos Sólidos como el “instrumento de planeación municipal o regional que contiene un conjunto ordenado de objetivos, metas, programas, proyectos, actividades y recursos definidos por uno o más entes territoriales para el manejo de los residuos sólidos, basado en la política de gestión integral de los mismos, el cual se ejecutará durante un período determinado, basándose en un diagnóstico inicial, en su proyección hacia el futuro y en un plan financiero viable que permita garantizar el mejoramiento continuo del manejo de residuos y la prestación del servicio de aseo a nivel municipal o regional, evaluado a través de la medición de resultados. Corresponde a la entidad territorial la formulación, implementación, evaluación, seguimiento y control y actualización del PGIRS”.</t>
  </si>
  <si>
    <t>El parágrafo del artículo 2.3.2.2.3.90 del mencionado decreto determina que “a las autoridades ambientales competentes, les corresponde realizar el control y seguimiento de la ejecución del PGIRS, exclusivamente en lo relacionado con las metas de aprovechamiento y las autorizaciones ambientales que requiera el prestador del servicio de aseo, de conformidad con la normatividad ambiental vigente”.</t>
  </si>
  <si>
    <t>Por su parte, la Resolución 754 de 2014 adopta la metodología para la formulación, implementación, evaluación, seguimiento, control y actualización de los Planes de Gestión Integral de Residuos Sólidos (PGIRS).</t>
  </si>
  <si>
    <r>
      <t xml:space="preserve">PPGIRSCS </t>
    </r>
    <r>
      <rPr>
        <vertAlign val="subscript"/>
        <sz val="9"/>
        <color rgb="FF000000"/>
        <rFont val="Calibri"/>
        <family val="2"/>
        <scheme val="minor"/>
      </rPr>
      <t>t</t>
    </r>
    <r>
      <rPr>
        <sz val="9"/>
        <color rgb="FF000000"/>
        <rFont val="Calibri"/>
        <family val="2"/>
        <scheme val="minor"/>
      </rPr>
      <t xml:space="preserve"> = Porcentaje de Planes de Gestión Integral de Residuos Sólidos (PGIRS) con seguimiento, exclusivamente en lo relacionado con las metas de aprovechamiento en el tiempo t.</t>
    </r>
  </si>
  <si>
    <r>
      <t xml:space="preserve">PGIRSCS </t>
    </r>
    <r>
      <rPr>
        <vertAlign val="subscript"/>
        <sz val="9"/>
        <color rgb="FF000000"/>
        <rFont val="Calibri"/>
        <family val="2"/>
        <scheme val="minor"/>
      </rPr>
      <t>t</t>
    </r>
    <r>
      <rPr>
        <sz val="9"/>
        <color rgb="FF000000"/>
        <rFont val="Calibri"/>
        <family val="2"/>
        <scheme val="minor"/>
      </rPr>
      <t xml:space="preserve"> = Número de Planes de Gestión Integral de Residuos Sólidos con seguimiento a las metas de aprovechamiento, en el tiempo t.</t>
    </r>
  </si>
  <si>
    <r>
      <t xml:space="preserve">MPGIRSCS </t>
    </r>
    <r>
      <rPr>
        <vertAlign val="subscript"/>
        <sz val="9"/>
        <color rgb="FF000000"/>
        <rFont val="Calibri"/>
        <family val="2"/>
        <scheme val="minor"/>
      </rPr>
      <t>t</t>
    </r>
    <r>
      <rPr>
        <sz val="9"/>
        <color rgb="FF000000"/>
        <rFont val="Calibri"/>
        <family val="2"/>
        <scheme val="minor"/>
      </rPr>
      <t xml:space="preserve"> = Meta de Planes de Gestión Integral de Residuos Sólidos con seguimiento a las metas de aprovechamiento, en el tiempo t.</t>
    </r>
  </si>
  <si>
    <t>La meta de número de Planes de Gestión Integral de Residuos Sólidos sujetos a seguimiento es establecida en el Plan de Acción de la Corporación. (Exclusivamente en lo relacionado con las metas de aprovechamiento)</t>
  </si>
  <si>
    <t>Número total de Planes de Gestión Integral de Residuos Sólidos (PGIRS) de la jurisdicción de la Corporación:</t>
  </si>
  <si>
    <t>Número total de Planes de Gestión Integral de Residuos Sólidos (PGIRS) priorizados por la Corporación para hacer seguimiento, exclusivamente en lo relacionado con las metas de aprovechamiento, en el cuatrienio:</t>
  </si>
  <si>
    <t>Meta de Planes de Gestión Integral de Residuos Sólidos (PGIRS) con seguimiento a las metas de aprovechamiento MPGIRSCS</t>
  </si>
  <si>
    <t>Número de Planes de Gestión Integral de Residuos Sólidos con seguimiento a las metas de aprovechamiento (PPGIRSCS)</t>
  </si>
  <si>
    <t>Porcentaje de Planes de Gestión Integral de Residuos Sólidos con seguimiento exclusivamente en lo relacionado con las metas de aprovechamiento (PPGIRSCS)</t>
  </si>
  <si>
    <t>Cuanto más cercano a cien por ciento, mayor es el cumplimiento de las metas que la autoridad ambiental se ha propuesto alcanzar en relación con el seguimiento a los Planes de Gestión Integral de Residuos Sólidos (PGIRS)</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</si>
  <si>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Planes de Gestión Integral de Residuos Sólidos (PGIRS) con seguimiento (Versión 1.0).</t>
    </r>
    <r>
      <rPr>
        <sz val="9"/>
        <color rgb="FF000000"/>
        <rFont val="Calibri"/>
        <family val="2"/>
        <scheme val="minor"/>
      </rPr>
      <t xml:space="preserve"> Ministerio de Ambiente y Desarrollo Sostenible, DGOAT-SINA y DAASU.</t>
    </r>
  </si>
  <si>
    <t>Porcentaje de sectores con acompañamiento para la reconversión hacia sistemas sostenibles de producción</t>
  </si>
  <si>
    <t>Es la relación entre el número de sectores acompañados por la Corporación Autónoma Regional en la reconversión hacia sistemas sostenibles de producción, y la meta de sectores priorizados por la autoridad ambiental para dicho acompañamiento.</t>
  </si>
  <si>
    <t>El indicador mide el cumplimiento de las metas establecidas en relación con los sectores priorizados por la Corporación para hacerles acompañamiento en la reconversión hacia sistemas sostenibles de producción. De esta manera, contribuye a la implementación de la Política de Producción y Consumo Sostenible y de la Estrategia de Crecimiento Verde del Plan Nacional de Desarrollo 2014-2018.</t>
  </si>
  <si>
    <t>Decreto 1076 de 2016.</t>
  </si>
  <si>
    <t>Ley 1753 de 2015, Plan Nacional de Desarrollo.</t>
  </si>
  <si>
    <t>Política de Producción y Consumo Sostenible (PPyCS)</t>
  </si>
  <si>
    <t>Plan Nacional de Desarrollo PND 2015-2018</t>
  </si>
  <si>
    <r>
      <t xml:space="preserve">El Ministerio de Ambiente formuló en 2010 la </t>
    </r>
    <r>
      <rPr>
        <b/>
        <sz val="9"/>
        <color rgb="FF000000"/>
        <rFont val="Calibri"/>
        <family val="2"/>
        <scheme val="minor"/>
      </rPr>
      <t>Política Nacional de Producción y Consumo Sostenible (PPyCS)</t>
    </r>
    <r>
      <rPr>
        <sz val="9"/>
        <color rgb="FF000000"/>
        <rFont val="Calibri"/>
        <family val="2"/>
        <scheme val="minor"/>
      </rPr>
      <t>, con el propósito de orientar el cambio de los patrones de producción y consumo de la economía colombiana hacia la sostenibilidad ambiental y consecuente con ello, contribuir al mejoramiento de la competitividad empresarial.</t>
    </r>
  </si>
  <si>
    <t>Los sectores prioritarios de la PPyCS son:</t>
  </si>
  <si>
    <r>
      <t xml:space="preserve">Sector </t>
    </r>
    <r>
      <rPr>
        <b/>
        <sz val="9"/>
        <color rgb="FF000000"/>
        <rFont val="Calibri"/>
        <family val="2"/>
        <scheme val="minor"/>
      </rPr>
      <t xml:space="preserve">público </t>
    </r>
    <r>
      <rPr>
        <sz val="9"/>
        <color rgb="FF000000"/>
        <rFont val="Calibri"/>
        <family val="2"/>
        <scheme val="minor"/>
      </rPr>
      <t>(obras de infraestructura, vivienda social, tecnologías, transporte público, generación de energía). (i) Con perspectivas de incidir en avances de sostenibilidad de obras y proyectos de gran impacto; (ii) Con potencial de que sea considerado como ejemplo en las prácticas de producción y consumo sostenible.</t>
    </r>
  </si>
  <si>
    <r>
      <t xml:space="preserve">Sector de la </t>
    </r>
    <r>
      <rPr>
        <b/>
        <sz val="9"/>
        <color rgb="FF000000"/>
        <rFont val="Calibri"/>
        <family val="2"/>
        <scheme val="minor"/>
      </rPr>
      <t>construcción</t>
    </r>
    <r>
      <rPr>
        <sz val="9"/>
        <color rgb="FF000000"/>
        <rFont val="Calibri"/>
        <family val="2"/>
        <scheme val="minor"/>
      </rPr>
      <t>. (i) Con perspectivas de incidir a través de su diseño, en el consumo de energía y agua y en el manejo de residuos en el sector doméstico. (ii) Gran escala y crecimiento. (iii) Con perspectivas de utilizar materiales sostenibles y estimular a los proveedores hacia procesos de producción más sostenibles.</t>
    </r>
  </si>
  <si>
    <r>
      <t xml:space="preserve">Sector </t>
    </r>
    <r>
      <rPr>
        <b/>
        <sz val="9"/>
        <color rgb="FF000000"/>
        <rFont val="Calibri"/>
        <family val="2"/>
        <scheme val="minor"/>
      </rPr>
      <t>manufacturero</t>
    </r>
    <r>
      <rPr>
        <sz val="9"/>
        <color rgb="FF000000"/>
        <rFont val="Calibri"/>
        <family val="2"/>
        <scheme val="minor"/>
      </rPr>
      <t xml:space="preserve"> (envases y empaques, alimentos, productos químicos, metalurgia). (i)Con perspectivas de optimizar en sus procesos productivos el uso eficiente de energía, agua y materias primas. (ii) Con potencial para la reducción y el aprovechamiento de los residuos. (iii) Con potencial de reducir su huella de carbono.</t>
    </r>
  </si>
  <si>
    <r>
      <t xml:space="preserve">Sector </t>
    </r>
    <r>
      <rPr>
        <b/>
        <sz val="9"/>
        <color rgb="FF000000"/>
        <rFont val="Calibri"/>
        <family val="2"/>
        <scheme val="minor"/>
      </rPr>
      <t>agroindustrial</t>
    </r>
    <r>
      <rPr>
        <sz val="9"/>
        <color rgb="FF000000"/>
        <rFont val="Calibri"/>
        <family val="2"/>
        <scheme val="minor"/>
      </rPr>
      <t xml:space="preserve"> (azúcar, flores, banano, biocombustibles). (i) Con alto potencial de exportación. (ii) Sector en crecimiento, especialmente en relación con los biocombustibles. (iii) Sector intensivo en el uso de recursos y con alto potencial de optimización.</t>
    </r>
  </si>
  <si>
    <r>
      <t xml:space="preserve">Sector </t>
    </r>
    <r>
      <rPr>
        <b/>
        <sz val="9"/>
        <color rgb="FF000000"/>
        <rFont val="Calibri"/>
        <family val="2"/>
        <scheme val="minor"/>
      </rPr>
      <t>turismo</t>
    </r>
    <r>
      <rPr>
        <sz val="9"/>
        <color rgb="FF000000"/>
        <rFont val="Calibri"/>
        <family val="2"/>
        <scheme val="minor"/>
      </rPr>
      <t>. (i) Sector estratégico dentro las políticas de competitividad nacional. (ii) Con potencial para hacer uso eficiente de energía y agua y manejo adecuado de residuos. (iii) Con potencial para ser ejemplo por el uso racional de los recursos.</t>
    </r>
  </si>
  <si>
    <r>
      <t xml:space="preserve">Sector de </t>
    </r>
    <r>
      <rPr>
        <b/>
        <sz val="9"/>
        <color rgb="FF000000"/>
        <rFont val="Calibri"/>
        <family val="2"/>
        <scheme val="minor"/>
      </rPr>
      <t>alimentos ecológicos</t>
    </r>
    <r>
      <rPr>
        <sz val="9"/>
        <color rgb="FF000000"/>
        <rFont val="Calibri"/>
        <family val="2"/>
        <scheme val="minor"/>
      </rPr>
      <t>. (i) Con potencial de crecimiento hacia la exportación. (ii) Con potencial de ser considerado como ejemplo para prácticas de producción y consumo sostenible. Sector de productos y servicios provenientes de la biodiversidad. (i) Con potencial de crecimiento hacia la exportación. (ii) Con potencial de ser considerado como ejemplo para prácticas de producción, consumo y aprovechamiento sostenible. Pymes proveedoras de grandes empresas. (i) Con potencial de difusión de prácticas entre grupos de empresas. (ii) Con potencial de generación y conservación de empleo (iii) Con potencial para implementar prácticas de producción y consumo sostenible.</t>
    </r>
  </si>
  <si>
    <r>
      <t xml:space="preserve">Por su parte, el Plan Nacional de Desarrollo 2014-2018 incluyó la </t>
    </r>
    <r>
      <rPr>
        <b/>
        <sz val="9"/>
        <color rgb="FF000000"/>
        <rFont val="Calibri"/>
        <family val="2"/>
        <scheme val="minor"/>
      </rPr>
      <t>Estrategia Transversal y Envolvente de Crecimiento Verde</t>
    </r>
    <r>
      <rPr>
        <sz val="9"/>
        <color rgb="FF000000"/>
        <rFont val="Calibri"/>
        <family val="2"/>
        <scheme val="minor"/>
      </rPr>
      <t xml:space="preserve"> con el fin de alcanzar una Colombia en paz y un desarrollo económico sostenible. El crecimiento verde propende por un desarrollo sostenible que garantice el bienestar económico y social de la población en el largo plazo, asegurando que la base de los recursos provea los bienes y servicios ecosistémicos que el país necesita y el ambiente natural sea capaz de recuperarse ante los impactos de las actividades productivas (DNP 2014)</t>
    </r>
  </si>
  <si>
    <t>La Estrategia Nacional de Crecimiento Verde cuenta con tres objetivos:</t>
  </si>
  <si>
    <r>
      <t>1.</t>
    </r>
    <r>
      <rPr>
        <sz val="7"/>
        <color rgb="FF000000"/>
        <rFont val="Times New Roman"/>
        <family val="1"/>
      </rPr>
      <t xml:space="preserve">       </t>
    </r>
    <r>
      <rPr>
        <sz val="9"/>
        <color rgb="FF000000"/>
        <rFont val="Calibri"/>
        <family val="2"/>
      </rPr>
      <t>Avanzar hacia un crecimiento sostenible y bajo en carbono</t>
    </r>
  </si>
  <si>
    <r>
      <t>2.</t>
    </r>
    <r>
      <rPr>
        <sz val="7"/>
        <color rgb="FF000000"/>
        <rFont val="Times New Roman"/>
        <family val="1"/>
      </rPr>
      <t xml:space="preserve">       </t>
    </r>
    <r>
      <rPr>
        <sz val="9"/>
        <color rgb="FF000000"/>
        <rFont val="Calibri"/>
        <family val="2"/>
      </rPr>
      <t>Proteger y asegurar el uso sostenible del capital natural y mejorar la calidad y gobernanza ambiental</t>
    </r>
  </si>
  <si>
    <r>
      <t>3.</t>
    </r>
    <r>
      <rPr>
        <sz val="7"/>
        <color rgb="FF000000"/>
        <rFont val="Times New Roman"/>
        <family val="1"/>
      </rPr>
      <t xml:space="preserve">       </t>
    </r>
    <r>
      <rPr>
        <sz val="9"/>
        <color rgb="FF000000"/>
        <rFont val="Calibri"/>
        <family val="2"/>
      </rPr>
      <t>lograr un crecimiento resiliente y reducir la vulnerabilidad frente a los riesgos de desastres y al cambio climático.</t>
    </r>
  </si>
  <si>
    <t>En particular, la Estrategia promueve la adopción de prácticas de generación de valor agregado por parte de todos los sectores productivos; así como la identificación y aprovechamiento de las oportunidades de aumento en la competitividad, productividad y eficiencia, que a su vez reduzcan las emisiones de GEI en los diferentes sectores de la economía nacional y promuevan la resiliencia a los efectos adversos del cambio climático.</t>
  </si>
  <si>
    <t>Ahora bien, el papel de las Corporaciones Autónomas Regionales en este campo es acompañar los sectores productivos hacia la reconversión a sistemas sostenibles de producción.</t>
  </si>
  <si>
    <t>Se entiende por acompañamiento a los sectores productivos contiene las siguientes acciones:</t>
  </si>
  <si>
    <r>
      <t>·</t>
    </r>
    <r>
      <rPr>
        <sz val="7"/>
        <color rgb="FF000000"/>
        <rFont val="Times New Roman"/>
        <family val="1"/>
      </rPr>
      <t xml:space="preserve">        </t>
    </r>
    <r>
      <rPr>
        <sz val="9"/>
        <color rgb="FF000000"/>
        <rFont val="Calibri"/>
        <family val="2"/>
      </rPr>
      <t>Reuniones de construcción de agendas conjuntas de trabajo y de actualización de los convenios sectoriales de producción más limpia firmados como espacios de concertación</t>
    </r>
  </si>
  <si>
    <r>
      <t>·</t>
    </r>
    <r>
      <rPr>
        <sz val="7"/>
        <color rgb="FF000000"/>
        <rFont val="Times New Roman"/>
        <family val="1"/>
      </rPr>
      <t xml:space="preserve">        </t>
    </r>
    <r>
      <rPr>
        <sz val="9"/>
        <color rgb="FF000000"/>
        <rFont val="Calibri"/>
        <family val="2"/>
      </rPr>
      <t>Informes de seguimiento al cumplimiento de las agendas sectoriales.</t>
    </r>
  </si>
  <si>
    <r>
      <t>·</t>
    </r>
    <r>
      <rPr>
        <sz val="7"/>
        <color rgb="FF000000"/>
        <rFont val="Times New Roman"/>
        <family val="1"/>
      </rPr>
      <t xml:space="preserve">        </t>
    </r>
    <r>
      <rPr>
        <sz val="9"/>
        <color rgb="FF000000"/>
        <rFont val="Calibri"/>
        <family val="2"/>
      </rPr>
      <t>Eventos de capacitación a los sectores sobre producción y consumo sostenible.</t>
    </r>
  </si>
  <si>
    <r>
      <t>·</t>
    </r>
    <r>
      <rPr>
        <sz val="7"/>
        <color rgb="FF000000"/>
        <rFont val="Times New Roman"/>
        <family val="1"/>
      </rPr>
      <t xml:space="preserve">        </t>
    </r>
    <r>
      <rPr>
        <sz val="9"/>
        <color rgb="FF000000"/>
        <rFont val="Calibri"/>
        <family val="2"/>
      </rPr>
      <t>Eventos de socialización de experiencias exitosas de sistemas productivos sostenibles.</t>
    </r>
  </si>
  <si>
    <t>Número de sectores con acompañamiento para la reconversión hacia sistemas sostenibles de producción</t>
  </si>
  <si>
    <r>
      <t>PSA</t>
    </r>
    <r>
      <rPr>
        <vertAlign val="subscript"/>
        <sz val="9"/>
        <color rgb="FF000000"/>
        <rFont val="Calibri"/>
        <family val="2"/>
        <scheme val="minor"/>
      </rPr>
      <t xml:space="preserve"> t</t>
    </r>
    <r>
      <rPr>
        <sz val="9"/>
        <color rgb="FF000000"/>
        <rFont val="Calibri"/>
        <family val="2"/>
        <scheme val="minor"/>
      </rPr>
      <t xml:space="preserve"> = Porcentaje de sectores con acompañamiento para la reconversión hacia sistemas sostenibles de producción (PSA)</t>
    </r>
  </si>
  <si>
    <r>
      <t xml:space="preserve">SA </t>
    </r>
    <r>
      <rPr>
        <vertAlign val="subscript"/>
        <sz val="9"/>
        <color rgb="FF000000"/>
        <rFont val="Calibri"/>
        <family val="2"/>
        <scheme val="minor"/>
      </rPr>
      <t>it</t>
    </r>
    <r>
      <rPr>
        <sz val="9"/>
        <color rgb="FF000000"/>
        <rFont val="Calibri"/>
        <family val="2"/>
        <scheme val="minor"/>
      </rPr>
      <t xml:space="preserve"> = Sectores acompañados en la reconversión hacia sistemas sostenibles de producción (SA)</t>
    </r>
  </si>
  <si>
    <r>
      <t xml:space="preserve">SPA </t>
    </r>
    <r>
      <rPr>
        <vertAlign val="subscript"/>
        <sz val="9"/>
        <color rgb="FF000000"/>
        <rFont val="Calibri"/>
        <family val="2"/>
        <scheme val="minor"/>
      </rPr>
      <t>it</t>
    </r>
    <r>
      <rPr>
        <sz val="9"/>
        <color rgb="FF000000"/>
        <rFont val="Calibri"/>
        <family val="2"/>
        <scheme val="minor"/>
      </rPr>
      <t xml:space="preserve"> = Número de sectores priorizados para acompañamiento en la reconversión hacia sistemas sostenibles de producción (SPA)</t>
    </r>
  </si>
  <si>
    <t>Ejecución presupuestal de acciones relacionadas con el acompañamiento para la reconversión hacia sistemas sostenibles de producción</t>
  </si>
  <si>
    <r>
      <t xml:space="preserve">EPAARSSP </t>
    </r>
    <r>
      <rPr>
        <vertAlign val="subscript"/>
        <sz val="9"/>
        <color rgb="FF000000"/>
        <rFont val="Calibri"/>
        <family val="2"/>
        <scheme val="minor"/>
      </rPr>
      <t>t</t>
    </r>
    <r>
      <rPr>
        <sz val="9"/>
        <color rgb="FF000000"/>
        <rFont val="Calibri"/>
        <family val="2"/>
        <scheme val="minor"/>
      </rPr>
      <t xml:space="preserve"> = Ejecución presupuestal de acciones relacionadas con el acompañamiento para la reconversión hacia sistemas sostenibles de producción, en el tiempo t</t>
    </r>
  </si>
  <si>
    <r>
      <t xml:space="preserve">CARSSP </t>
    </r>
    <r>
      <rPr>
        <vertAlign val="subscript"/>
        <sz val="9"/>
        <color rgb="FF000000"/>
        <rFont val="Calibri"/>
        <family val="2"/>
        <scheme val="minor"/>
      </rPr>
      <t>it</t>
    </r>
    <r>
      <rPr>
        <sz val="9"/>
        <color rgb="FF000000"/>
        <rFont val="Calibri"/>
        <family val="2"/>
        <scheme val="minor"/>
      </rPr>
      <t xml:space="preserve"> = Compromisos correspondientes a la acción i relacionada con el acompañamiento para la reconversión hacia sistemas sostenibles de producción, en el tiempo t.</t>
    </r>
  </si>
  <si>
    <r>
      <t xml:space="preserve">PDAARSSP </t>
    </r>
    <r>
      <rPr>
        <vertAlign val="subscript"/>
        <sz val="9"/>
        <color rgb="FF000000"/>
        <rFont val="Calibri"/>
        <family val="2"/>
        <scheme val="minor"/>
      </rPr>
      <t>it</t>
    </r>
    <r>
      <rPr>
        <sz val="9"/>
        <color rgb="FF000000"/>
        <rFont val="Calibri"/>
        <family val="2"/>
        <scheme val="minor"/>
      </rPr>
      <t xml:space="preserve"> = Presupuesto definitivo a la acción i relacionada con el acompañamiento para la reconversión hacia sistemas sostenibles de producción, en el tiempo t.</t>
    </r>
  </si>
  <si>
    <t>Número de sectores priorizados para acompañamiento en la reconversión hacia sistemas sostenibles de producción (SPA)</t>
  </si>
  <si>
    <t>Indicador Complementario:</t>
  </si>
  <si>
    <t>Sector(es)</t>
  </si>
  <si>
    <t>Ejecución Presupuestal (%)</t>
  </si>
  <si>
    <t>inicial</t>
  </si>
  <si>
    <t>Ppto. Definitivo</t>
  </si>
  <si>
    <t>Construcción de agendas sectoriales conjuntas</t>
  </si>
  <si>
    <t>Seguimiento al cumplimiento de las agendas sectoriales.</t>
  </si>
  <si>
    <t>Materiales y guías para el producción y consumo sostenible</t>
  </si>
  <si>
    <t>Eventos de capacitación</t>
  </si>
  <si>
    <t>Eventos de socialización</t>
  </si>
  <si>
    <t>Cálculo de la ejecución física y presupuestal de acciones relacionadas con el acompañamiento para la reconversión hacia sistemas sostenibles de producción</t>
  </si>
  <si>
    <t>Ponderador</t>
  </si>
  <si>
    <t>Ejecución Presupuestal</t>
  </si>
  <si>
    <t>Compromisos / Ppto. Definitivo</t>
  </si>
  <si>
    <t>Pagos /</t>
  </si>
  <si>
    <t>Cuanto más cercano a cien por ciento, mayor es el cumplimiento de las metas establecidas en relación con los sectores priorizados por la Corporación para hacerles acompañamiento en la reconversión hacia sistemas sostenibles de producción.</t>
  </si>
  <si>
    <r>
      <t>Hoja Metodológica de referencia:</t>
    </r>
    <r>
      <rPr>
        <sz val="9"/>
        <color rgb="FF000000"/>
        <rFont val="Calibri"/>
        <family val="2"/>
        <scheme val="minor"/>
      </rPr>
      <t xml:space="preserve"> MADS (2016). </t>
    </r>
    <r>
      <rPr>
        <i/>
        <sz val="9"/>
        <color rgb="FF000000"/>
        <rFont val="Calibri"/>
        <family val="2"/>
        <scheme val="minor"/>
      </rPr>
      <t>Hoja metodológica Porcentaje de sectores con acompañamiento para la reconversión hacia sistemas sostenibles de producción (Versión 1.0).</t>
    </r>
    <r>
      <rPr>
        <sz val="9"/>
        <color rgb="FF000000"/>
        <rFont val="Calibri"/>
        <family val="2"/>
        <scheme val="minor"/>
      </rPr>
      <t xml:space="preserve"> Ministerio de Ambiente y Desarrollo Sostenible MADS, DGOAT-SINA y DAASU.</t>
    </r>
  </si>
  <si>
    <t>Porcentaje de ejecución de acciones en Gestión Ambiental Urbana</t>
  </si>
  <si>
    <t>Es el porcentaje de avance en la ejecución, por parte de la corporación autónoma regional, de las acciones relacionadas con la gestión ambiental urbana en el marco del Plan de Acción.</t>
  </si>
  <si>
    <t>El indicador mide el cumplimiento de las metas que la autoridad ambiental se ha propuesto alcanzar en relación con la gestión ambiental urbana, en el marco del Plan de Acción de la Corporación. De esta manera, contribuye a la ejecución, a nivel regional y local, de la Política de Gestión Ambiental Urbana (2008).</t>
  </si>
  <si>
    <t>Ley 1753 de 2015.</t>
  </si>
  <si>
    <t>Espacio público: Decreto 1077 de 2015.</t>
  </si>
  <si>
    <t>Estructura Ecológica Principal: Decreto 1077 de 2015.</t>
  </si>
  <si>
    <t>Política de Gestión Ambiental Urbana.</t>
  </si>
  <si>
    <t>Política para la Prevención y Control de la Contaminación del Aire.</t>
  </si>
  <si>
    <t>Política para la Gestión Integral de Residuos Sólidos.</t>
  </si>
  <si>
    <t>Política para la Gestión Integral de la Biodiversidad y sus servicios ecosistémicos.</t>
  </si>
  <si>
    <t>CONPES 3718 de 2012, Espacio público.</t>
  </si>
  <si>
    <t>CONPES 3819 de 2014</t>
  </si>
  <si>
    <t>Circular 8000-2-344415 de 2013, ICAU.</t>
  </si>
  <si>
    <t>La gestión ambiental urbana se refiere a la “gestión de los recursos naturales renovables y los problemas ambientales urbanos y sus efectos en la región o regiones vecinas. La gestión ambiental urbana es una acción conjunta entre el Estado y los actores sociales, que se articula con la gestión territorial, las políticas ambientales y las políticas o planes sectoriales que tienen relación o afectan el medio ambiente en el ámbito urbano regional. Esta gestión, demanda el uso selectivo y combinado de herramientas jurídicas, de planeación, técnicas, económicas, financieras y administrativas para lograr la protección y funcionamiento de los ecosistemas y el mejoramiento de la calidad de vida de la población, dentro de un marco de ciudad sostenible” (Política de Gestión Ambiental Urbana).</t>
  </si>
  <si>
    <t>La gestión ambiental urbana se centra en dos ejes principales:</t>
  </si>
  <si>
    <r>
      <t>1)</t>
    </r>
    <r>
      <rPr>
        <sz val="7"/>
        <color rgb="FF000000"/>
        <rFont val="Times New Roman"/>
        <family val="1"/>
      </rPr>
      <t xml:space="preserve">      </t>
    </r>
    <r>
      <rPr>
        <sz val="9"/>
        <color rgb="FF000000"/>
        <rFont val="Calibri"/>
        <family val="2"/>
        <scheme val="minor"/>
      </rPr>
      <t>La gestión ambiental de los componentes constitutivos del medio ambiente, comúnmente denominados recursos naturales renovables: agua (en cualquier estado), atmósfera (troposfera y estratosfera), suelo y subsuelo, biodiversidad (ecosistemas, especies, recursos genéticos), fuentes primarias de energía no agotable y paisaje.</t>
    </r>
  </si>
  <si>
    <r>
      <t>2)</t>
    </r>
    <r>
      <rPr>
        <sz val="7"/>
        <color rgb="FF000000"/>
        <rFont val="Times New Roman"/>
        <family val="1"/>
      </rPr>
      <t xml:space="preserve">      </t>
    </r>
    <r>
      <rPr>
        <sz val="9"/>
        <color rgb="FF000000"/>
        <rFont val="Calibri"/>
        <family val="2"/>
        <scheme val="minor"/>
      </rPr>
      <t>La gestión ambiental de los problemas ambientales, entendida como la gestión sobre los elementos o factores que interactúan e inciden sobre el ambiente en las áreas urbanas, entre los cuales se pueden mencionar: factores que ocasionan contaminación y deterioro de los recursos naturales renovables; factores que ocasionan pérdida o deterioro de la biodiversidad; factores que ocasionan pérdida o deterioro del espacio público y del paisaje; inadecuada gestión y disposición de residuos sólidos, líquidos y gaseosos; uso ineficiente de la energía y falta de uso de fuentes no convencionales de energía; riesgos de origen natural y antrópico; pasivos ambientales, patrones insostenibles de ocupación del territorio, patrones insostenibles de producción y consumo; baja o falta de conciencia y cultura ambiental de la población de las áreas urbanas; pérdida de valores socio - culturales de la población urbana, que puede llevar a la pérdida de su identidad cultural y en consecuencia de su sentido de pertenencia del entorno; e insuficiente respuesta institucional del SINA, en términos de escasos niveles de coordinación y baja capacidad técnica y operativa para atender la problemática urbana (PGAU)</t>
    </r>
  </si>
  <si>
    <t>Cabe aclarar que la gestión para el manejo de estos recursos, elementos y factores en las áreas urbanas involucra, de manera diferenciada, a las autoridades ambientales: (Corporaciones autónomas regionales y de desarrollo sostenible); Grandes Centros Urbanos a que se refiere el artículo 66 de la Ley 99 de 1993, a los establecimientos públicos de que trata del artículo 13 de la Ley 768 de 2003; el artículo 124 de la Ley 1617 de 2013; las áreas metropolitanas a que se refiere el literal J del artículo 7 de la Ley 1625 de 2013 y a los entes territoriales, dentro de su respectivo marco de competencias y jurisdicción.</t>
  </si>
  <si>
    <t>Dicha gestión se realiza en el marco de la Política de Gestión Ambiental Urbana. En tal sentido, las principales temáticas en gestión ambiental urbana en las que tienen competencia las Corporaciones Autónomas Regionales son:</t>
  </si>
  <si>
    <r>
      <t>1)</t>
    </r>
    <r>
      <rPr>
        <sz val="7"/>
        <color rgb="FF000000"/>
        <rFont val="Times New Roman"/>
        <family val="1"/>
      </rPr>
      <t xml:space="preserve">      </t>
    </r>
    <r>
      <rPr>
        <sz val="9"/>
        <color rgb="FF000000"/>
        <rFont val="Calibri"/>
        <family val="2"/>
        <scheme val="minor"/>
      </rPr>
      <t>Planificación y ordenamiento ambiental en áreas urbanas</t>
    </r>
  </si>
  <si>
    <r>
      <t>2)</t>
    </r>
    <r>
      <rPr>
        <sz val="7"/>
        <color rgb="FF000000"/>
        <rFont val="Times New Roman"/>
        <family val="1"/>
      </rPr>
      <t xml:space="preserve">      </t>
    </r>
    <r>
      <rPr>
        <sz val="9"/>
        <color rgb="FF000000"/>
        <rFont val="Calibri"/>
        <family val="2"/>
        <scheme val="minor"/>
      </rPr>
      <t>Gestión ambiental del Riesgo en áreas urbanas</t>
    </r>
  </si>
  <si>
    <r>
      <t>3)</t>
    </r>
    <r>
      <rPr>
        <sz val="7"/>
        <color rgb="FF000000"/>
        <rFont val="Times New Roman"/>
        <family val="1"/>
      </rPr>
      <t xml:space="preserve">      </t>
    </r>
    <r>
      <rPr>
        <sz val="9"/>
        <color rgb="FF000000"/>
        <rFont val="Calibri"/>
        <family val="2"/>
        <scheme val="minor"/>
      </rPr>
      <t>Gestión ambiental del Espacio Público en áreas urbanas</t>
    </r>
  </si>
  <si>
    <r>
      <t>4)</t>
    </r>
    <r>
      <rPr>
        <sz val="7"/>
        <color rgb="FF000000"/>
        <rFont val="Times New Roman"/>
        <family val="1"/>
      </rPr>
      <t xml:space="preserve">      </t>
    </r>
    <r>
      <rPr>
        <sz val="9"/>
        <color rgb="FF000000"/>
        <rFont val="Calibri"/>
        <family val="2"/>
        <scheme val="minor"/>
      </rPr>
      <t>Prevención y Control de la Contaminación del Aire en áreas urbanas (fenómeno de acumulación o concentración de contaminantes en el aire generado por diferentes tipos entre ellos contaminantes criterio, ruido y olores ofensivos)</t>
    </r>
  </si>
  <si>
    <r>
      <t>5)</t>
    </r>
    <r>
      <rPr>
        <sz val="7"/>
        <color rgb="FF000000"/>
        <rFont val="Times New Roman"/>
        <family val="1"/>
      </rPr>
      <t xml:space="preserve">      </t>
    </r>
    <r>
      <rPr>
        <sz val="9"/>
        <color rgb="FF000000"/>
        <rFont val="Calibri"/>
        <family val="2"/>
        <scheme val="minor"/>
      </rPr>
      <t>Gestión del Recurso Hídrico en áreas urbanas</t>
    </r>
  </si>
  <si>
    <r>
      <t>6)</t>
    </r>
    <r>
      <rPr>
        <sz val="7"/>
        <color rgb="FF000000"/>
        <rFont val="Times New Roman"/>
        <family val="1"/>
      </rPr>
      <t xml:space="preserve">      </t>
    </r>
    <r>
      <rPr>
        <sz val="9"/>
        <color rgb="FF000000"/>
        <rFont val="Calibri"/>
        <family val="2"/>
        <scheme val="minor"/>
      </rPr>
      <t>Gestión de Residuos sólidos en áreas urbanas</t>
    </r>
  </si>
  <si>
    <r>
      <t>7)</t>
    </r>
    <r>
      <rPr>
        <sz val="7"/>
        <color rgb="FF000000"/>
        <rFont val="Times New Roman"/>
        <family val="1"/>
      </rPr>
      <t xml:space="preserve">      </t>
    </r>
    <r>
      <rPr>
        <sz val="9"/>
        <color rgb="FF000000"/>
        <rFont val="Calibri"/>
        <family val="2"/>
        <scheme val="minor"/>
      </rPr>
      <t>Índice de calidad ambiental urbana</t>
    </r>
  </si>
  <si>
    <r>
      <t>8)</t>
    </r>
    <r>
      <rPr>
        <sz val="7"/>
        <color rgb="FF000000"/>
        <rFont val="Times New Roman"/>
        <family val="1"/>
      </rPr>
      <t xml:space="preserve">      </t>
    </r>
    <r>
      <rPr>
        <sz val="9"/>
        <color rgb="FF000000"/>
        <rFont val="Calibri"/>
        <family val="2"/>
        <scheme val="minor"/>
      </rPr>
      <t>Participación en gestión ambiental urbana</t>
    </r>
  </si>
  <si>
    <t>Las principales acciones relacionadas con la gestión ambiental urbana son las siguientes:</t>
  </si>
  <si>
    <r>
      <t>1)</t>
    </r>
    <r>
      <rPr>
        <sz val="7"/>
        <color rgb="FF000000"/>
        <rFont val="Times New Roman"/>
        <family val="1"/>
      </rPr>
      <t xml:space="preserve">      </t>
    </r>
    <r>
      <rPr>
        <sz val="9"/>
        <color rgb="FF000000"/>
        <rFont val="Calibri"/>
        <family val="2"/>
        <scheme val="minor"/>
      </rPr>
      <t>Planificación y ordenamiento ambiental en áreas urbanas, que incluye:</t>
    </r>
  </si>
  <si>
    <r>
      <t>a)</t>
    </r>
    <r>
      <rPr>
        <sz val="7"/>
        <color rgb="FF000000"/>
        <rFont val="Times New Roman"/>
        <family val="1"/>
      </rPr>
      <t xml:space="preserve">      </t>
    </r>
    <r>
      <rPr>
        <sz val="9"/>
        <color rgb="FF000000"/>
        <rFont val="Calibri"/>
        <family val="2"/>
        <scheme val="minor"/>
      </rPr>
      <t>Identificar y gestionar la estructura ecológica urbana</t>
    </r>
  </si>
  <si>
    <r>
      <t>b)</t>
    </r>
    <r>
      <rPr>
        <sz val="7"/>
        <color rgb="FF000000"/>
        <rFont val="Times New Roman"/>
        <family val="1"/>
      </rPr>
      <t xml:space="preserve">      </t>
    </r>
    <r>
      <rPr>
        <sz val="9"/>
        <color rgb="FF000000"/>
        <rFont val="Calibri"/>
        <family val="2"/>
        <scheme val="minor"/>
      </rPr>
      <t>Asesorar a los entes territoriales en la inclusión del componente ambiental urbano en los procesos de planificación y ordenamiento territorial, incluyendo el establecimiento de determinantes ambientales urbanos.</t>
    </r>
  </si>
  <si>
    <r>
      <t>c)</t>
    </r>
    <r>
      <rPr>
        <sz val="7"/>
        <color rgb="FF000000"/>
        <rFont val="Times New Roman"/>
        <family val="1"/>
      </rPr>
      <t xml:space="preserve">       </t>
    </r>
    <r>
      <rPr>
        <sz val="9"/>
        <color rgb="FF000000"/>
        <rFont val="Calibri"/>
        <family val="2"/>
        <scheme val="minor"/>
      </rPr>
      <t>Implementar estrategias de conservación y uso sostenible de los recursos naturales renovables que conforman la base natural.</t>
    </r>
  </si>
  <si>
    <r>
      <t>2)</t>
    </r>
    <r>
      <rPr>
        <sz val="7"/>
        <color rgb="FF000000"/>
        <rFont val="Times New Roman"/>
        <family val="1"/>
      </rPr>
      <t xml:space="preserve">      </t>
    </r>
    <r>
      <rPr>
        <sz val="9"/>
        <color rgb="FF000000"/>
        <rFont val="Calibri"/>
        <family val="2"/>
        <scheme val="minor"/>
      </rPr>
      <t>Gestión ambiental del Espacio Público en áreas urbanas, sin perjuicio de las competencias de las entidades territoriales.</t>
    </r>
  </si>
  <si>
    <r>
      <t>a)</t>
    </r>
    <r>
      <rPr>
        <sz val="7"/>
        <color rgb="FF000000"/>
        <rFont val="Times New Roman"/>
        <family val="1"/>
      </rPr>
      <t xml:space="preserve">      </t>
    </r>
    <r>
      <rPr>
        <sz val="9"/>
        <color rgb="FF000000"/>
        <rFont val="Calibri"/>
        <family val="2"/>
        <scheme val="minor"/>
      </rPr>
      <t>Conservar, manejar y restaurar elementos naturales del espacio público urbano.</t>
    </r>
  </si>
  <si>
    <r>
      <t>b)</t>
    </r>
    <r>
      <rPr>
        <sz val="7"/>
        <color rgb="FF000000"/>
        <rFont val="Times New Roman"/>
        <family val="1"/>
      </rPr>
      <t xml:space="preserve">      </t>
    </r>
    <r>
      <rPr>
        <sz val="9"/>
        <color rgb="FF000000"/>
        <rFont val="Calibri"/>
        <family val="2"/>
        <scheme val="minor"/>
      </rPr>
      <t>Prevenir y controlar la afectación ambiental en el espacio público.</t>
    </r>
  </si>
  <si>
    <r>
      <t>c)</t>
    </r>
    <r>
      <rPr>
        <sz val="7"/>
        <color rgb="FF000000"/>
        <rFont val="Times New Roman"/>
        <family val="1"/>
      </rPr>
      <t xml:space="preserve">       </t>
    </r>
    <r>
      <rPr>
        <sz val="9"/>
        <color rgb="FF000000"/>
        <rFont val="Calibri"/>
        <family val="2"/>
        <scheme val="minor"/>
      </rPr>
      <t>Promover, orientar y acompañar la gestión ambiental del espacio público por parte de las entidades territoriales.</t>
    </r>
  </si>
  <si>
    <r>
      <t>3)</t>
    </r>
    <r>
      <rPr>
        <sz val="7"/>
        <color rgb="FF000000"/>
        <rFont val="Times New Roman"/>
        <family val="1"/>
      </rPr>
      <t xml:space="preserve">      </t>
    </r>
    <r>
      <rPr>
        <sz val="9"/>
        <color rgb="FF000000"/>
        <rFont val="Calibri"/>
        <family val="2"/>
        <scheme val="minor"/>
      </rPr>
      <t>Prevención y Control de la Contaminación del Aire en áreas urbanas.</t>
    </r>
  </si>
  <si>
    <r>
      <t>a)</t>
    </r>
    <r>
      <rPr>
        <sz val="7"/>
        <color rgb="FF000000"/>
        <rFont val="Times New Roman"/>
        <family val="1"/>
      </rPr>
      <t xml:space="preserve">      </t>
    </r>
    <r>
      <rPr>
        <sz val="9"/>
        <color rgb="FF000000"/>
        <rFont val="Calibri"/>
        <family val="2"/>
        <scheme val="minor"/>
      </rPr>
      <t>Diseñar y ejecutar acciones integrales para la prevención y control de la contaminación del aire.</t>
    </r>
  </si>
  <si>
    <r>
      <t>b)</t>
    </r>
    <r>
      <rPr>
        <sz val="7"/>
        <color rgb="FF000000"/>
        <rFont val="Times New Roman"/>
        <family val="1"/>
      </rPr>
      <t xml:space="preserve">      </t>
    </r>
    <r>
      <rPr>
        <sz val="9"/>
        <color rgb="FF000000"/>
        <rFont val="Calibri"/>
        <family val="2"/>
        <scheme val="minor"/>
      </rPr>
      <t>Fortalecer la capacidad institucional para el control y seguimiento de la contaminación del aire.</t>
    </r>
  </si>
  <si>
    <r>
      <t>c)</t>
    </r>
    <r>
      <rPr>
        <sz val="7"/>
        <color rgb="FF000000"/>
        <rFont val="Times New Roman"/>
        <family val="1"/>
      </rPr>
      <t xml:space="preserve">       </t>
    </r>
    <r>
      <rPr>
        <sz val="9"/>
        <color rgb="FF000000"/>
        <rFont val="Calibri"/>
        <family val="2"/>
        <scheme val="minor"/>
      </rPr>
      <t>Establecer e implementar programas de reducción de la contaminación del aire, cuando se requiera.</t>
    </r>
  </si>
  <si>
    <r>
      <t>d)</t>
    </r>
    <r>
      <rPr>
        <sz val="7"/>
        <color rgb="FF000000"/>
        <rFont val="Times New Roman"/>
        <family val="1"/>
      </rPr>
      <t xml:space="preserve">      </t>
    </r>
    <r>
      <rPr>
        <sz val="9"/>
        <color rgb="FF000000"/>
        <rFont val="Calibri"/>
        <family val="2"/>
        <scheme val="minor"/>
      </rPr>
      <t>Fortalecer las mesas regionales de calidad del aire donde se establezca la articulación entre las diferentes entidades relacionadas con la prevención y el control de la contaminación del aire.</t>
    </r>
  </si>
  <si>
    <r>
      <t>e)</t>
    </r>
    <r>
      <rPr>
        <sz val="7"/>
        <color rgb="FF000000"/>
        <rFont val="Times New Roman"/>
        <family val="1"/>
      </rPr>
      <t xml:space="preserve">      </t>
    </r>
    <r>
      <rPr>
        <sz val="9"/>
        <color rgb="FF000000"/>
        <rFont val="Calibri"/>
        <family val="2"/>
        <scheme val="minor"/>
      </rPr>
      <t>Asesorar a los entes territoriales para el mejor cumplimiento de sus funciones de control y vigilancia de los fenómenos de contaminación del aire.</t>
    </r>
  </si>
  <si>
    <r>
      <t>4)</t>
    </r>
    <r>
      <rPr>
        <sz val="7"/>
        <color rgb="FF000000"/>
        <rFont val="Times New Roman"/>
        <family val="1"/>
      </rPr>
      <t xml:space="preserve">      </t>
    </r>
    <r>
      <rPr>
        <sz val="9"/>
        <color rgb="FF000000"/>
        <rFont val="Calibri"/>
        <family val="2"/>
        <scheme val="minor"/>
      </rPr>
      <t>Gestión del Recurso Hídrico en áreas urbanas.</t>
    </r>
  </si>
  <si>
    <r>
      <t>a)</t>
    </r>
    <r>
      <rPr>
        <sz val="7"/>
        <color rgb="FF000000"/>
        <rFont val="Times New Roman"/>
        <family val="1"/>
      </rPr>
      <t xml:space="preserve">      </t>
    </r>
    <r>
      <rPr>
        <sz val="9"/>
        <color rgb="FF000000"/>
        <rFont val="Calibri"/>
        <family val="2"/>
        <scheme val="minor"/>
      </rPr>
      <t>Promover el uso eficiente y ahorro de agua.</t>
    </r>
  </si>
  <si>
    <r>
      <t>5)</t>
    </r>
    <r>
      <rPr>
        <sz val="7"/>
        <color rgb="FF000000"/>
        <rFont val="Times New Roman"/>
        <family val="1"/>
      </rPr>
      <t xml:space="preserve">      </t>
    </r>
    <r>
      <rPr>
        <sz val="9"/>
        <color rgb="FF000000"/>
        <rFont val="Calibri"/>
        <family val="2"/>
        <scheme val="minor"/>
      </rPr>
      <t>Gestión de Residuos sólidos en áreas urbanas.</t>
    </r>
  </si>
  <si>
    <r>
      <t>a)</t>
    </r>
    <r>
      <rPr>
        <sz val="7"/>
        <color rgb="FF000000"/>
        <rFont val="Times New Roman"/>
        <family val="1"/>
      </rPr>
      <t xml:space="preserve">      </t>
    </r>
    <r>
      <rPr>
        <sz val="9"/>
        <color rgb="FF000000"/>
        <rFont val="Calibri"/>
        <family val="2"/>
        <scheme val="minor"/>
      </rPr>
      <t>Promover el aprovechamiento de residuos sólidos.</t>
    </r>
  </si>
  <si>
    <r>
      <t>6)</t>
    </r>
    <r>
      <rPr>
        <sz val="7"/>
        <color rgb="FF000000"/>
        <rFont val="Times New Roman"/>
        <family val="1"/>
      </rPr>
      <t xml:space="preserve">      </t>
    </r>
    <r>
      <rPr>
        <sz val="9"/>
        <color rgb="FF000000"/>
        <rFont val="Calibri"/>
        <family val="2"/>
        <scheme val="minor"/>
      </rPr>
      <t>Compilar y reportar la información relacionada con los indicadores que conformar el Índice de Calidad Ambiental Urbana (ICAU)</t>
    </r>
  </si>
  <si>
    <r>
      <t>7)</t>
    </r>
    <r>
      <rPr>
        <sz val="7"/>
        <color rgb="FF000000"/>
        <rFont val="Times New Roman"/>
        <family val="1"/>
      </rPr>
      <t xml:space="preserve">      </t>
    </r>
    <r>
      <rPr>
        <sz val="9"/>
        <color rgb="FF000000"/>
        <rFont val="Calibri"/>
        <family val="2"/>
        <scheme val="minor"/>
      </rPr>
      <t>Participación en gestión ambiental urbana</t>
    </r>
  </si>
  <si>
    <r>
      <t>a)</t>
    </r>
    <r>
      <rPr>
        <sz val="7"/>
        <color rgb="FF000000"/>
        <rFont val="Times New Roman"/>
        <family val="1"/>
      </rPr>
      <t xml:space="preserve">      </t>
    </r>
    <r>
      <rPr>
        <sz val="9"/>
        <color rgb="FF000000"/>
        <rFont val="Calibri"/>
        <family val="2"/>
        <scheme val="minor"/>
      </rPr>
      <t xml:space="preserve">Promover y fortalecer los espacios de participación social en gestión ambiental urbana </t>
    </r>
  </si>
  <si>
    <t>Porcentaje de ejecución de acciones relacionadas con la gestión ambiental urbana.</t>
  </si>
  <si>
    <r>
      <t xml:space="preserve">ETAGAU </t>
    </r>
    <r>
      <rPr>
        <vertAlign val="subscript"/>
        <sz val="9"/>
        <color rgb="FF000000"/>
        <rFont val="Calibri"/>
        <family val="2"/>
        <scheme val="minor"/>
      </rPr>
      <t>t</t>
    </r>
    <r>
      <rPr>
        <sz val="9"/>
        <color rgb="FF000000"/>
        <rFont val="Calibri"/>
        <family val="2"/>
        <scheme val="minor"/>
      </rPr>
      <t xml:space="preserve"> = Porcentaje de ejecución total de acciones en gestión ambiental urbana, en el tiempo t.</t>
    </r>
  </si>
  <si>
    <r>
      <t xml:space="preserve">EAGAU </t>
    </r>
    <r>
      <rPr>
        <vertAlign val="subscript"/>
        <sz val="9"/>
        <color rgb="FF000000"/>
        <rFont val="Calibri"/>
        <family val="2"/>
        <scheme val="minor"/>
      </rPr>
      <t>t1t</t>
    </r>
    <r>
      <rPr>
        <sz val="9"/>
        <color rgb="FF000000"/>
        <rFont val="Calibri"/>
        <family val="2"/>
        <scheme val="minor"/>
      </rPr>
      <t xml:space="preserve"> = Porcentaje de ejecución de la acción </t>
    </r>
    <r>
      <rPr>
        <i/>
        <sz val="9"/>
        <color rgb="FF000000"/>
        <rFont val="Calibri"/>
        <family val="2"/>
        <scheme val="minor"/>
      </rPr>
      <t>1</t>
    </r>
    <r>
      <rPr>
        <sz val="9"/>
        <color rgb="FF000000"/>
        <rFont val="Calibri"/>
        <family val="2"/>
        <scheme val="minor"/>
      </rPr>
      <t xml:space="preserve"> relacionada con la gestión ambiental urbana, en el tiempo t.</t>
    </r>
  </si>
  <si>
    <r>
      <t xml:space="preserve">EAGAU </t>
    </r>
    <r>
      <rPr>
        <vertAlign val="subscript"/>
        <sz val="9"/>
        <color rgb="FF000000"/>
        <rFont val="Calibri"/>
        <family val="2"/>
        <scheme val="minor"/>
      </rPr>
      <t>2t</t>
    </r>
    <r>
      <rPr>
        <sz val="9"/>
        <color rgb="FF000000"/>
        <rFont val="Calibri"/>
        <family val="2"/>
        <scheme val="minor"/>
      </rPr>
      <t xml:space="preserve"> = Porcentaje de ejecución de la acción </t>
    </r>
    <r>
      <rPr>
        <i/>
        <sz val="9"/>
        <color rgb="FF000000"/>
        <rFont val="Calibri"/>
        <family val="2"/>
        <scheme val="minor"/>
      </rPr>
      <t>2</t>
    </r>
    <r>
      <rPr>
        <sz val="9"/>
        <color rgb="FF000000"/>
        <rFont val="Calibri"/>
        <family val="2"/>
        <scheme val="minor"/>
      </rPr>
      <t xml:space="preserve"> relacionada con la gestión ambiental urbana, en el tiempo t.</t>
    </r>
  </si>
  <si>
    <r>
      <t xml:space="preserve">EAGAU </t>
    </r>
    <r>
      <rPr>
        <vertAlign val="subscript"/>
        <sz val="9"/>
        <color rgb="FF000000"/>
        <rFont val="Calibri"/>
        <family val="2"/>
        <scheme val="minor"/>
      </rPr>
      <t>nt</t>
    </r>
    <r>
      <rPr>
        <sz val="9"/>
        <color rgb="FF000000"/>
        <rFont val="Calibri"/>
        <family val="2"/>
        <scheme val="minor"/>
      </rPr>
      <t xml:space="preserve"> = Porcentaje de ejecución de la acción </t>
    </r>
    <r>
      <rPr>
        <i/>
        <sz val="9"/>
        <color rgb="FF000000"/>
        <rFont val="Calibri"/>
        <family val="2"/>
        <scheme val="minor"/>
      </rPr>
      <t>n</t>
    </r>
    <r>
      <rPr>
        <sz val="9"/>
        <color rgb="FF000000"/>
        <rFont val="Calibri"/>
        <family val="2"/>
        <scheme val="minor"/>
      </rPr>
      <t xml:space="preserve"> relacionada con la gestión ambiental urbana, en el tiempo t.</t>
    </r>
  </si>
  <si>
    <r>
      <t>a = ponderador de EAGAU</t>
    </r>
    <r>
      <rPr>
        <vertAlign val="subscript"/>
        <sz val="9"/>
        <color rgb="FF000000"/>
        <rFont val="Calibri"/>
        <family val="2"/>
        <scheme val="minor"/>
      </rPr>
      <t>1</t>
    </r>
    <r>
      <rPr>
        <sz val="9"/>
        <color rgb="FF000000"/>
        <rFont val="Calibri"/>
        <family val="2"/>
        <scheme val="minor"/>
      </rPr>
      <t>.</t>
    </r>
  </si>
  <si>
    <r>
      <t>b = ponderador de EAGAU</t>
    </r>
    <r>
      <rPr>
        <vertAlign val="subscript"/>
        <sz val="9"/>
        <color rgb="FF000000"/>
        <rFont val="Calibri"/>
        <family val="2"/>
        <scheme val="minor"/>
      </rPr>
      <t>2</t>
    </r>
    <r>
      <rPr>
        <sz val="9"/>
        <color rgb="FF000000"/>
        <rFont val="Calibri"/>
        <family val="2"/>
        <scheme val="minor"/>
      </rPr>
      <t>.</t>
    </r>
  </si>
  <si>
    <r>
      <t>z = ponderador de EAGAU</t>
    </r>
    <r>
      <rPr>
        <vertAlign val="subscript"/>
        <sz val="9"/>
        <color rgb="FF000000"/>
        <rFont val="Calibri"/>
        <family val="2"/>
        <scheme val="minor"/>
      </rPr>
      <t>n</t>
    </r>
    <r>
      <rPr>
        <sz val="9"/>
        <color rgb="FF000000"/>
        <rFont val="Calibri"/>
        <family val="2"/>
        <scheme val="minor"/>
      </rPr>
      <t>.</t>
    </r>
  </si>
  <si>
    <t>a + b + c+…+z = 1.</t>
  </si>
  <si>
    <t>Ejecución presupuestal de acciones relacionadas con la gestión ambiental urbana.</t>
  </si>
  <si>
    <r>
      <t xml:space="preserve">EPAGAU </t>
    </r>
    <r>
      <rPr>
        <vertAlign val="subscript"/>
        <sz val="9"/>
        <color rgb="FF000000"/>
        <rFont val="Calibri"/>
        <family val="2"/>
        <scheme val="minor"/>
      </rPr>
      <t>t</t>
    </r>
    <r>
      <rPr>
        <sz val="9"/>
        <color rgb="FF000000"/>
        <rFont val="Calibri"/>
        <family val="2"/>
        <scheme val="minor"/>
      </rPr>
      <t xml:space="preserve"> = Ejecución presupuestal de acciones en gestión ambiental urbana, en el año t.</t>
    </r>
  </si>
  <si>
    <r>
      <t xml:space="preserve">CGAU </t>
    </r>
    <r>
      <rPr>
        <vertAlign val="subscript"/>
        <sz val="9"/>
        <color rgb="FF000000"/>
        <rFont val="Calibri"/>
        <family val="2"/>
        <scheme val="minor"/>
      </rPr>
      <t>it</t>
    </r>
    <r>
      <rPr>
        <sz val="9"/>
        <color rgb="FF000000"/>
        <rFont val="Calibri"/>
        <family val="2"/>
        <scheme val="minor"/>
      </rPr>
      <t xml:space="preserve"> = Compromisos correspondientes a la acción i en gestión ambiental urbana, en el año t.</t>
    </r>
  </si>
  <si>
    <r>
      <t xml:space="preserve">PDAGAU </t>
    </r>
    <r>
      <rPr>
        <vertAlign val="subscript"/>
        <sz val="9"/>
        <color rgb="FF000000"/>
        <rFont val="Calibri"/>
        <family val="2"/>
        <scheme val="minor"/>
      </rPr>
      <t>it</t>
    </r>
    <r>
      <rPr>
        <sz val="9"/>
        <color rgb="FF000000"/>
        <rFont val="Calibri"/>
        <family val="2"/>
        <scheme val="minor"/>
      </rPr>
      <t xml:space="preserve"> = Presupuesto definitivo a la acción i en gestión ambiental urbana, en el año t.</t>
    </r>
  </si>
  <si>
    <t>Número de acciones relacionadas con gestión ambiental urbana</t>
  </si>
  <si>
    <t>Ejecución física de las acciones relacionadas con la gestión ambiental urbana</t>
  </si>
  <si>
    <t>Planificación y ordenamiento ambiental en áreas urbanas</t>
  </si>
  <si>
    <t>Gestión ambiental del Espacio Público en áreas urbanas</t>
  </si>
  <si>
    <t xml:space="preserve">Prevención y Control de la Contaminación del Aire en áreas urbanas </t>
  </si>
  <si>
    <t>Ejecución presupuestal de acciones relacionadas con la gestión ambiental urbana (utilice tantas filas cuantas sean necesarias)</t>
  </si>
  <si>
    <t>Presupuesto inicial</t>
  </si>
  <si>
    <t>Compromisos / Ppto Def.</t>
  </si>
  <si>
    <t>Pagos / Compromisos</t>
  </si>
  <si>
    <t>Cuanto más cercano a cien por ciento, mayor es el cumplimiento de las metas que la autoridad ambiental se ha propuesto alcanzar en relación con la gestión ambiental urbana, en el marco del Plan de Acción de la Corporación.</t>
  </si>
  <si>
    <r>
      <t xml:space="preserve">Hoja Metodológica de referencia: MADS (2016). </t>
    </r>
    <r>
      <rPr>
        <i/>
        <sz val="9"/>
        <color rgb="FF000000"/>
        <rFont val="Calibri"/>
        <family val="2"/>
        <scheme val="minor"/>
      </rPr>
      <t>Hoja metodológica Ejecución de Acciones en Gestión Ambiental Urbana (Versión 1.0).</t>
    </r>
    <r>
      <rPr>
        <sz val="9"/>
        <color rgb="FF000000"/>
        <rFont val="Calibri"/>
        <family val="2"/>
        <scheme val="minor"/>
      </rPr>
      <t xml:space="preserve"> Ministerio de Ambiente y Desarrollo Sostenible MADS, DGOAT-SINA y DAASU.</t>
    </r>
  </si>
  <si>
    <t>Implementación del Programa Regional de Negocios Verdes por la autoridad ambiental</t>
  </si>
  <si>
    <t>Es el porcentaje de avance en la implementación de las acciones a cargo de la Corporación en el marco del Programa Regional de Negocios Verdes</t>
  </si>
  <si>
    <t>El indicador mide el cumplimiento de las metas, a cargo de la Autoridad Ambiental, en el marco del Plan Nacional de Negocios Verdes y el Plan Regional de Negocios Verdes. De esta forma contribuye a la implementación del Plan Nacional de Negocios Verdes y de la Estrategia Crecimiento Verde del Plan Nacional de Desarrollo 2014-2018</t>
  </si>
  <si>
    <r>
      <t xml:space="preserve"> </t>
    </r>
    <r>
      <rPr>
        <b/>
        <sz val="9"/>
        <color rgb="FF000000"/>
        <rFont val="Calibri"/>
        <family val="2"/>
        <scheme val="minor"/>
      </rPr>
      <t>Normatividad de soporte:</t>
    </r>
  </si>
  <si>
    <t>Decreto 1076 de 2016, Decreto Único Reglamentario.</t>
  </si>
  <si>
    <t>Ley 1753 de 2015, Plan Nacional de Desarrollo PND 2014-2018.</t>
  </si>
  <si>
    <t>Política Nacional de Producción y Consumo Sostenible.</t>
  </si>
  <si>
    <t>Plan Nacional de Negocios Verdes PNNV.</t>
  </si>
  <si>
    <t>Política Nacional para la Gestión Integral de la Biodiversidad y sus Servicios Ecosistémicos.</t>
  </si>
  <si>
    <t>Declaración de Crecimiento Verde de la Organización para la Cooperación y el Desarrollo Económico OCDE.</t>
  </si>
  <si>
    <t>Estrategia de Crecimiento Verde del Plan Nacional de Desarrollo.</t>
  </si>
  <si>
    <t>Metodología para la Implementación de los PRNV, elaborada y publicada con la Agencia de Cooperación Alemana- GIZ, en coordinación con el MADS.</t>
  </si>
  <si>
    <t>Programas Regionales de Negocios Verdes PRNV para las Regiones: Caribe, Pacifico, Central, Amazonia, y Orinoquia.</t>
  </si>
  <si>
    <t>Programa Nacional de Biocomercio Sostenible</t>
  </si>
  <si>
    <t>Guía de Verificación y Evaluación de Criterios de Negocios Verdes.</t>
  </si>
  <si>
    <t>https://www.minambiente.gov.co/index.php/ambientes-y-desarrollos-sostenibles/negocios-verdes-y-sostenibles</t>
  </si>
  <si>
    <t>Los Negocios Verdes y Sostenibles comprenden las actividades económicas en las que se ofrecen bienes o servicios que generan impactos ambientales positivos y que, además, incorporan buenas prácticas ambientales, sociales y económicas, con enfoque de ciclo de vida, contribuyendo a la conservación del ambiente como capital natural que soporta el desarrollo del territorio (Oficina de Negocios Verdes Sostenibles ONVS, 2014)</t>
  </si>
  <si>
    <t>El Objetivo 2 de la Estrategia Crecimiento Verde, incorporada en el PND 2014-2018, busca proteger y asegurar el uso sostenible del capital natural y mejorar la calidad y gobernanza ambiental. Para ello la Estrategia tiene como fin mejorar la calidad ambiental a partir del fortalecimiento del desempeño ambiental de los sectores productivos, buscando mejorar su competitividad; en la cual se inscribe la Meta Nacional Estratégica No. 13: Cinco (5) Programas Regionales de Negocios Verdes implementados para el aumento de la competitividad, a cargo de las CAR y la ONVS.</t>
  </si>
  <si>
    <r>
      <t xml:space="preserve">La implementación de los </t>
    </r>
    <r>
      <rPr>
        <b/>
        <sz val="9"/>
        <color rgb="FF000000"/>
        <rFont val="Calibri"/>
        <family val="2"/>
        <scheme val="minor"/>
      </rPr>
      <t>Programas Regionales de Negocios Verdes</t>
    </r>
    <r>
      <rPr>
        <sz val="9"/>
        <color rgb="FF000000"/>
        <rFont val="Calibri"/>
        <family val="2"/>
        <scheme val="minor"/>
      </rPr>
      <t>- PRNV se evaluará de acuerdo a tres (3) criterios:</t>
    </r>
  </si>
  <si>
    <t>1) Formulación de Planes de acción para la ejecución del PRNV en la jurisdicción de cada Autoridad Ambiental</t>
  </si>
  <si>
    <t>2) Conformación de la Ventanilla/Nodo de Negocios Verdes o realización de alianzas o acuerdos con otras instituciones.</t>
  </si>
  <si>
    <t>3) Contar con mínimo dos pilotos de Negocios Verdes verificados bajo los criterios descritos en el Plan Nacional de Negocios Verdes y PRNV</t>
  </si>
  <si>
    <t>Las principales acciones relacionadas con la ejecución Implementación del Programa Regional de Negocios Verdes por la autoridad ambiental son:</t>
  </si>
  <si>
    <r>
      <t>1)</t>
    </r>
    <r>
      <rPr>
        <sz val="7"/>
        <color rgb="FF000000"/>
        <rFont val="Times New Roman"/>
        <family val="1"/>
      </rPr>
      <t xml:space="preserve">      </t>
    </r>
    <r>
      <rPr>
        <sz val="9"/>
        <color rgb="FF000000"/>
        <rFont val="Calibri"/>
        <family val="2"/>
      </rPr>
      <t>Formulación de los Planes de Acción para la ejecución del Programa Regional de Negocios Verdes</t>
    </r>
  </si>
  <si>
    <r>
      <t>a)</t>
    </r>
    <r>
      <rPr>
        <sz val="7"/>
        <color rgb="FF000000"/>
        <rFont val="Times New Roman"/>
        <family val="1"/>
      </rPr>
      <t xml:space="preserve">      </t>
    </r>
    <r>
      <rPr>
        <sz val="9"/>
        <color rgb="FF000000"/>
        <rFont val="Calibri"/>
        <family val="2"/>
      </rPr>
      <t>Talleres de construcción del plan de trabajo, de la Corporación en el marco de la etapa de planeación.</t>
    </r>
  </si>
  <si>
    <r>
      <t>b)</t>
    </r>
    <r>
      <rPr>
        <sz val="7"/>
        <color rgb="FF000000"/>
        <rFont val="Times New Roman"/>
        <family val="1"/>
      </rPr>
      <t xml:space="preserve">      </t>
    </r>
    <r>
      <rPr>
        <sz val="9"/>
        <color rgb="FF000000"/>
        <rFont val="Calibri"/>
        <family val="2"/>
      </rPr>
      <t>Capacitación en criterios de Negocios Verdes</t>
    </r>
  </si>
  <si>
    <r>
      <t>c)</t>
    </r>
    <r>
      <rPr>
        <sz val="7"/>
        <color rgb="FF000000"/>
        <rFont val="Times New Roman"/>
        <family val="1"/>
      </rPr>
      <t xml:space="preserve">       </t>
    </r>
    <r>
      <rPr>
        <sz val="9"/>
        <color rgb="FF000000"/>
        <rFont val="Calibri"/>
        <family val="2"/>
      </rPr>
      <t>Levantamiento Línea Base de Negocios Verdes en la región</t>
    </r>
  </si>
  <si>
    <r>
      <t>2)</t>
    </r>
    <r>
      <rPr>
        <sz val="7"/>
        <color rgb="FF000000"/>
        <rFont val="Times New Roman"/>
        <family val="1"/>
      </rPr>
      <t xml:space="preserve">      </t>
    </r>
    <r>
      <rPr>
        <sz val="9"/>
        <color rgb="FF000000"/>
        <rFont val="Calibri"/>
        <family val="2"/>
      </rPr>
      <t>Conformación de la ventanilla o nodo de negocios verdes o realización de alianzas o acuerdos con otras instituciones para la implementación en la AA</t>
    </r>
  </si>
  <si>
    <r>
      <t>a)</t>
    </r>
    <r>
      <rPr>
        <sz val="7"/>
        <color rgb="FF000000"/>
        <rFont val="Times New Roman"/>
        <family val="1"/>
      </rPr>
      <t xml:space="preserve">      </t>
    </r>
    <r>
      <rPr>
        <sz val="9"/>
        <color rgb="FF000000"/>
        <rFont val="Calibri"/>
        <family val="2"/>
      </rPr>
      <t>Protocolización de la creación de la ventanilla o nodo de negocios verdes en la A.A.</t>
    </r>
  </si>
  <si>
    <r>
      <t>b)</t>
    </r>
    <r>
      <rPr>
        <sz val="7"/>
        <color rgb="FF000000"/>
        <rFont val="Times New Roman"/>
        <family val="1"/>
      </rPr>
      <t xml:space="preserve">      </t>
    </r>
    <r>
      <rPr>
        <sz val="9"/>
        <color rgb="FF000000"/>
        <rFont val="Calibri"/>
        <family val="2"/>
      </rPr>
      <t>Suscripción de alianzas o acuerdos publico privadas para la ejecución del PRNV (*)</t>
    </r>
  </si>
  <si>
    <r>
      <t>3)</t>
    </r>
    <r>
      <rPr>
        <sz val="7"/>
        <color rgb="FF000000"/>
        <rFont val="Times New Roman"/>
        <family val="1"/>
      </rPr>
      <t xml:space="preserve">      </t>
    </r>
    <r>
      <rPr>
        <sz val="9"/>
        <color rgb="FF000000"/>
        <rFont val="Calibri"/>
        <family val="2"/>
      </rPr>
      <t>Identificación de la línea base de negocios verdes verificados bajo la herramienta de negocios verdes (Guía de Verificación y Evaluación de Criterios de Negocios Verdes).</t>
    </r>
  </si>
  <si>
    <r>
      <t>a)</t>
    </r>
    <r>
      <rPr>
        <sz val="7"/>
        <color rgb="FF000000"/>
        <rFont val="Times New Roman"/>
        <family val="1"/>
      </rPr>
      <t xml:space="preserve">      </t>
    </r>
    <r>
      <rPr>
        <sz val="9"/>
        <color rgb="FF000000"/>
        <rFont val="Calibri"/>
        <family val="2"/>
      </rPr>
      <t>Al menos dos (2) pilotos verificados por la autoridad ambiental</t>
    </r>
  </si>
  <si>
    <r>
      <t>b)</t>
    </r>
    <r>
      <rPr>
        <sz val="7"/>
        <color rgb="FF000000"/>
        <rFont val="Times New Roman"/>
        <family val="1"/>
      </rPr>
      <t xml:space="preserve">      </t>
    </r>
    <r>
      <rPr>
        <sz val="9"/>
        <color rgb="FF000000"/>
        <rFont val="Calibri"/>
        <family val="2"/>
      </rPr>
      <t>Acompañamiento en la implementación de los planes de mejora</t>
    </r>
  </si>
  <si>
    <r>
      <t>4)</t>
    </r>
    <r>
      <rPr>
        <sz val="7"/>
        <color rgb="FF000000"/>
        <rFont val="Times New Roman"/>
        <family val="1"/>
      </rPr>
      <t xml:space="preserve">      </t>
    </r>
    <r>
      <rPr>
        <sz val="9"/>
        <color rgb="FF000000"/>
        <rFont val="Calibri"/>
        <family val="2"/>
      </rPr>
      <t>Comercialización:</t>
    </r>
  </si>
  <si>
    <r>
      <t>a)</t>
    </r>
    <r>
      <rPr>
        <sz val="7"/>
        <color rgb="FF000000"/>
        <rFont val="Times New Roman"/>
        <family val="1"/>
      </rPr>
      <t xml:space="preserve">      </t>
    </r>
    <r>
      <rPr>
        <sz val="9"/>
        <color rgb="FF000000"/>
        <rFont val="Calibri"/>
        <family val="2"/>
      </rPr>
      <t>Construcción de la estrategia regional de N.V. teniendo en cuenta la oferta y demanda regional.</t>
    </r>
  </si>
  <si>
    <r>
      <t>b)</t>
    </r>
    <r>
      <rPr>
        <sz val="7"/>
        <color rgb="FF000000"/>
        <rFont val="Times New Roman"/>
        <family val="1"/>
      </rPr>
      <t xml:space="preserve">      </t>
    </r>
    <r>
      <rPr>
        <sz val="9"/>
        <color rgb="FF000000"/>
        <rFont val="Calibri"/>
        <family val="2"/>
      </rPr>
      <t>Base de datos de N.V. verificados para alimentar el portafolio de bienes y servicios de negocios del MADS</t>
    </r>
  </si>
  <si>
    <r>
      <t>c)</t>
    </r>
    <r>
      <rPr>
        <sz val="7"/>
        <color rgb="FF000000"/>
        <rFont val="Times New Roman"/>
        <family val="1"/>
      </rPr>
      <t xml:space="preserve">       </t>
    </r>
    <r>
      <rPr>
        <sz val="9"/>
        <color rgb="FF000000"/>
        <rFont val="Calibri"/>
        <family val="2"/>
      </rPr>
      <t>Identificación, Participación y/o realización de ferias de promoción de los N.V.</t>
    </r>
  </si>
  <si>
    <t>* Nota: De manera consistente con el Indicador de Meta Nacional del Plan Nacional de Desarrollo "Programa Regional de Negocios Verdes". Este incluye en la "Metodología de Medición" la conformación de la ventanilla o nodo de negocios o la realización de alianzas o acuerdos con otras instituciones para la implementación del Programa Regional de Negocios Verdes en la autoridad ambiental. Adicionalmente, la publicación "Metodología para implementar el Programa Regional de Negocios Verdes" incluye el proceso de articulación de actores con el objetivo de iniciar el proceso con la autoridad ambiental y entes territoriales para la conformación de la Ventanilla/Nodo de NV o realización de alianzas o acuerdos con otras instituciones para la implementación del PRNV.</t>
  </si>
  <si>
    <t>El listado anterior es indicativo. Las acciones a ser realizadas por las Corporaciones deben corresponder a las acciones priorizadas en el respectivo PRNV.</t>
  </si>
  <si>
    <r>
      <t xml:space="preserve">IPRVAA </t>
    </r>
    <r>
      <rPr>
        <vertAlign val="subscript"/>
        <sz val="9"/>
        <color rgb="FF000000"/>
        <rFont val="Calibri"/>
        <family val="2"/>
        <scheme val="minor"/>
      </rPr>
      <t>t</t>
    </r>
    <r>
      <rPr>
        <sz val="9"/>
        <color rgb="FF000000"/>
        <rFont val="Calibri"/>
        <family val="2"/>
        <scheme val="minor"/>
      </rPr>
      <t xml:space="preserve"> = Implementación del Programa Regional de Negocios Verdes por la autoridad ambiental, en el tiempo t.</t>
    </r>
  </si>
  <si>
    <r>
      <t xml:space="preserve">EAPRNV </t>
    </r>
    <r>
      <rPr>
        <vertAlign val="subscript"/>
        <sz val="9"/>
        <color rgb="FF000000"/>
        <rFont val="Calibri"/>
        <family val="2"/>
        <scheme val="minor"/>
      </rPr>
      <t>1t</t>
    </r>
    <r>
      <rPr>
        <sz val="9"/>
        <color rgb="FF000000"/>
        <rFont val="Calibri"/>
        <family val="2"/>
        <scheme val="minor"/>
      </rPr>
      <t xml:space="preserve"> = Ejecución de acción 1 relacionada con el Programa Regional de Negocios Verdes, en el tiempo t.</t>
    </r>
  </si>
  <si>
    <r>
      <t xml:space="preserve">EAPRNV </t>
    </r>
    <r>
      <rPr>
        <vertAlign val="subscript"/>
        <sz val="9"/>
        <color rgb="FF000000"/>
        <rFont val="Calibri"/>
        <family val="2"/>
        <scheme val="minor"/>
      </rPr>
      <t>2t</t>
    </r>
    <r>
      <rPr>
        <sz val="9"/>
        <color rgb="FF000000"/>
        <rFont val="Calibri"/>
        <family val="2"/>
        <scheme val="minor"/>
      </rPr>
      <t xml:space="preserve"> = Ejecución de acción 2 relacionada con el Programa Regional de Negocios Verdes, en el tiempo t.</t>
    </r>
  </si>
  <si>
    <r>
      <t xml:space="preserve">EAPRNV </t>
    </r>
    <r>
      <rPr>
        <vertAlign val="subscript"/>
        <sz val="9"/>
        <color rgb="FF000000"/>
        <rFont val="Calibri"/>
        <family val="2"/>
        <scheme val="minor"/>
      </rPr>
      <t>nt</t>
    </r>
    <r>
      <rPr>
        <sz val="9"/>
        <color rgb="FF000000"/>
        <rFont val="Calibri"/>
        <family val="2"/>
        <scheme val="minor"/>
      </rPr>
      <t xml:space="preserve"> = Ejecución de acción N relacionada con el Programa Regional de Negocios Verdes, en el tiempo t.</t>
    </r>
  </si>
  <si>
    <r>
      <t>a = ponderador de EAPRNV</t>
    </r>
    <r>
      <rPr>
        <vertAlign val="subscript"/>
        <sz val="9"/>
        <color rgb="FF000000"/>
        <rFont val="Calibri"/>
        <family val="2"/>
        <scheme val="minor"/>
      </rPr>
      <t>1</t>
    </r>
  </si>
  <si>
    <r>
      <t>b = ponderador de EAPRNV</t>
    </r>
    <r>
      <rPr>
        <vertAlign val="subscript"/>
        <sz val="9"/>
        <color rgb="FF000000"/>
        <rFont val="Calibri"/>
        <family val="2"/>
        <scheme val="minor"/>
      </rPr>
      <t>2</t>
    </r>
  </si>
  <si>
    <r>
      <t>z = ponderador de EAPRNV</t>
    </r>
    <r>
      <rPr>
        <vertAlign val="subscript"/>
        <sz val="9"/>
        <color rgb="FF000000"/>
        <rFont val="Calibri"/>
        <family val="2"/>
        <scheme val="minor"/>
      </rPr>
      <t>n</t>
    </r>
  </si>
  <si>
    <t>a + b + c+…+z = 1</t>
  </si>
  <si>
    <t>Ejecución presupuestal de las acciones relacionadas con la Implementación del Programa Regional de Negocios Verdes por la autoridad ambiental</t>
  </si>
  <si>
    <r>
      <t xml:space="preserve">EAPRNV </t>
    </r>
    <r>
      <rPr>
        <vertAlign val="subscript"/>
        <sz val="9"/>
        <color rgb="FF000000"/>
        <rFont val="Calibri"/>
        <family val="2"/>
        <scheme val="minor"/>
      </rPr>
      <t>i</t>
    </r>
    <r>
      <rPr>
        <sz val="9"/>
        <color rgb="FF000000"/>
        <rFont val="Calibri"/>
        <family val="2"/>
        <scheme val="minor"/>
      </rPr>
      <t xml:space="preserve"> = Ejecución presupuestal de la acción </t>
    </r>
    <r>
      <rPr>
        <i/>
        <sz val="9"/>
        <color rgb="FF000000"/>
        <rFont val="Calibri"/>
        <family val="2"/>
        <scheme val="minor"/>
      </rPr>
      <t>i</t>
    </r>
    <r>
      <rPr>
        <sz val="9"/>
        <color rgb="FF000000"/>
        <rFont val="Calibri"/>
        <family val="2"/>
        <scheme val="minor"/>
      </rPr>
      <t xml:space="preserve"> asociada al Programa Regional de Negocios Verdes por la autoridad ambiental, en el año t.</t>
    </r>
  </si>
  <si>
    <r>
      <t xml:space="preserve">CAPRNV </t>
    </r>
    <r>
      <rPr>
        <vertAlign val="subscript"/>
        <sz val="9"/>
        <color rgb="FF000000"/>
        <rFont val="Calibri"/>
        <family val="2"/>
        <scheme val="minor"/>
      </rPr>
      <t>it</t>
    </r>
    <r>
      <rPr>
        <sz val="9"/>
        <color rgb="FF000000"/>
        <rFont val="Calibri"/>
        <family val="2"/>
        <scheme val="minor"/>
      </rPr>
      <t xml:space="preserve"> = Compromisos correspondientes a la acción i en el marco del Programa Regional de Negocios Verdes, en el año t.</t>
    </r>
  </si>
  <si>
    <r>
      <t xml:space="preserve">PDAPRNV </t>
    </r>
    <r>
      <rPr>
        <vertAlign val="subscript"/>
        <sz val="9"/>
        <color rgb="FF000000"/>
        <rFont val="Calibri"/>
        <family val="2"/>
        <scheme val="minor"/>
      </rPr>
      <t>it</t>
    </r>
    <r>
      <rPr>
        <sz val="9"/>
        <color rgb="FF000000"/>
        <rFont val="Calibri"/>
        <family val="2"/>
        <scheme val="minor"/>
      </rPr>
      <t xml:space="preserve"> = Presupuesto definitivo a la acción i en el marco del Programa Regional de Negocios Verdes, en el año t.</t>
    </r>
  </si>
  <si>
    <t>Número de acciones relacionadas con la implementación del Programa Regional de Negocios Verdes por la autoridad ambiental</t>
  </si>
  <si>
    <t>Presupuesto definitivo</t>
  </si>
  <si>
    <t>Ejecución física y financiera de acciones relacionadas con la implementación del Programa Regional de Negocios Verdes por la autoridad ambiental</t>
  </si>
  <si>
    <t xml:space="preserve">Realización de talleres </t>
  </si>
  <si>
    <t>Protocolizar la creación de la ventanilla o nodo de negocios verdes y/o la suscripción de alianza, en la A.A</t>
  </si>
  <si>
    <t>Verificar como mínimo dos negocios verdes por A.A.</t>
  </si>
  <si>
    <t>Seguimiento a los planes de acción de la A.A. y a los planes de mejora</t>
  </si>
  <si>
    <t>Participación en ferias</t>
  </si>
  <si>
    <t>(*) Nombre de la acción, actividad o proyecto en el Plan de Acción de la Corporación</t>
  </si>
  <si>
    <t>Cálculo de la ejecución física y financiera de acciones relacionadas con la implementación del Programa Regional de Negocios Verdes por la autoridad ambiental</t>
  </si>
  <si>
    <t>Avance Físico</t>
  </si>
  <si>
    <t>Ejecución Anual</t>
  </si>
  <si>
    <t>El indicador hace seguimiento a la contribución de las CAR a la ejecución del Plan Nacional de Negocios Verdes y el Plan Regional de Negocios Verdes. Cuanto más cercano a cien por ciento, mayor es el cumplimiento de las metas, a cargo de la Autoridad Ambiental, en el marco del Plan Nacional de Negocios Verdes y el Plan Regional de Negocios Verdes.</t>
  </si>
  <si>
    <r>
      <t>Hoja Metodológica de referencia:</t>
    </r>
    <r>
      <rPr>
        <sz val="9"/>
        <color rgb="FF000000"/>
        <rFont val="Calibri"/>
        <family val="2"/>
        <scheme val="minor"/>
      </rPr>
      <t xml:space="preserve"> MADS (2016). </t>
    </r>
    <r>
      <rPr>
        <i/>
        <sz val="9"/>
        <color rgb="FF000000"/>
        <rFont val="Calibri"/>
        <family val="2"/>
        <scheme val="minor"/>
      </rPr>
      <t>Hoja metodológica Implementación del programa regional de negocios verdes por la autoridad ambiental (Versión 1.0).</t>
    </r>
    <r>
      <rPr>
        <sz val="9"/>
        <color rgb="FF000000"/>
        <rFont val="Calibri"/>
        <family val="2"/>
        <scheme val="minor"/>
      </rPr>
      <t xml:space="preserve"> Ministerio de Ambiente y Desarrollo Sostenible MADS, DGOAT-SINA y ONV.</t>
    </r>
  </si>
  <si>
    <t>Tiempo promedio de trámite para la resolución de autorizaciones ambientales otorgadas por la corporación</t>
  </si>
  <si>
    <t>El tiempo promedio de trámite o procedimiento para la resolución de autorizaciones ambientales otorgadas por las autoridades ambientales es el resultado de la suma de los tiempos de cada trámite (licencias ambientales, concesiones de agua, permisos de aprovechamiento forestal, permisos de emisiones atmosféricas y permisos de vertimiento de agua), dividido en el número de trámites resueltos por la autoridad ambiental.</t>
  </si>
  <si>
    <t xml:space="preserve">Se entiende por tiempo efectivo, el periodo de tiempo en días que dura el proceso en manos de la Corporación, que resulta de descontar del tiempo total desde la radicación de la solicitud hasta la manifestación final de la autoridad ambiental, descontado el tiempo utilizado por el peticionario para atender los actos de trámites expedidos en el proceso. </t>
  </si>
  <si>
    <t>El indicador mide los cambios en la eficiencia por parte de la autoridad ambiental en la resolución de las solicitudes de autorizaciones ambientales (licencias ambientales, concesiones de agua, permisos de aprovechamiento forestal, permisos de emisiones atmosféricas y permisos de vertimiento de agua).</t>
  </si>
  <si>
    <t>Resolución 2202 de 2006.</t>
  </si>
  <si>
    <t>Licencias ambientales: Decreto 1076 de 2015</t>
  </si>
  <si>
    <t>Concesiones de agua: Decreto Ley 2811 de 1974, Decreto 1076 de 2015</t>
  </si>
  <si>
    <t>Permisos de vertimiento de agua: Decreto Ley 2811 de 1974, Decreto 1076 de 2015.</t>
  </si>
  <si>
    <t>Permisos de emisión: Decreto Ley 2811 de 1974, Decreto 1076 de 2015, Resolución 619 de 1997 y sus modificaciones, Resolución 909 de 2008 y sus modificaciones.</t>
  </si>
  <si>
    <t>Permisos de aprovechamiento forestal: Decreto Ley 2811 de 1974, Decreto 1076 de 2015, entre otros.</t>
  </si>
  <si>
    <r>
      <t>Las autorizaciones administrativas son un acto administrativo cualquiera que sea su denominación específica, por el cual en uso de una potestad de intervención legalmente atribuida a la Administración, se permite a los particulares el ejercicio de una actividad privada, previa comprobación de su adecuación al ordenamiento jurídico y valoración del interés afectado</t>
    </r>
    <r>
      <rPr>
        <i/>
        <sz val="9"/>
        <color rgb="FF000000"/>
        <rFont val="Calibri"/>
        <family val="2"/>
        <scheme val="minor"/>
      </rPr>
      <t xml:space="preserve">, </t>
    </r>
    <r>
      <rPr>
        <sz val="9"/>
        <color rgb="FF000000"/>
        <rFont val="Calibri"/>
        <family val="2"/>
        <scheme val="minor"/>
      </rPr>
      <t>las cuales en el caso ambiental se traducen en permisos, concesiones, asociaciones y licencias ambientales que permiten el uso, utilización o aprovechamiento de los recursos naturales renovables o la ejecución de proyectos, obras o actividades que puedan producir deterioro grave a los recursos naturales renovables o al medio ambiente o introducir modificaciones considerables o notorias al paisaje.</t>
    </r>
  </si>
  <si>
    <t>A manera de ejemplo encontramos: concesiones de agua, permisos para la exploración y ocupación de cauces, playas y lechos, permisos de aprovechamiento forestal, permiso de emisiones atmosféricas y otros.</t>
  </si>
  <si>
    <t>La Ley 99 de 1993 en su artículo 70 establece como todo trámite ambiental requiere auto de iniciación para comenzar la evaluación hasta la fecha de emisión del acto administrativo definitivo que resuelve la solicitud.</t>
  </si>
  <si>
    <t>Sin embargo, cada autorización administrativa posee un procedimiento propio. El tiempo promedio de trámite para la evaluación de las licencias ambientales, permisos y autorizaciones otorgadas por las autoridades ambientales, se refiere al tiempo efectivo utilizado por la Corporación para manifestarse de manera positiva o negativa sobre la solicitud de licenciamiento o aprovechamiento de recursos, a partir de la fecha de radicación de la solicitud.</t>
  </si>
  <si>
    <t>Se debe entender como tiempo efectivo, el periodo de tiempo en días que dura el proceso en manos de la autoridad ambiental, que resulta de descontar del tiempo total desde la radicación de la solicitud hasta la manifestación final de la autoridad ambiental, descontado el tiempo utilizado por el peticionario para atender los actos de trámites expedidos en el proceso. En los casos de audiencias Públicas o consultas previas también se suspenden términos, los cuales se descuentan del tiempo efectivo de la evaluación.</t>
  </si>
  <si>
    <t xml:space="preserve">En el cálculo de las Solicitudes con vencimiento de términos dentro del periodo de reporte (Denominador del indicador), no se contabilizan las solicitudes que debieron ser resueltas en periodos de reporte anteriores, o que se resuelven antes de términos en los periodos anteriores del periodo de reporte. </t>
  </si>
  <si>
    <t>De igual forma, se aplicará la misma lógica para las solicitudes de concesiones de agua, permisos de aprovechamiento forestal, emisiones atmosféricas y permisos de vertimiento.</t>
  </si>
  <si>
    <t>Tx: Tiempo promedio efectivo de duración del trámite x.</t>
  </si>
  <si>
    <t>Ti: Tiempo de duración de cada trámite i en la categoría x.</t>
  </si>
  <si>
    <t>x = Licencias ambientales, concesiones de agua, permisos de aprovechamiento forestal, permisos de emisiones atmosféricas y permisos de vertimiento de agua.</t>
  </si>
  <si>
    <t>n: Número de trámites atendidos de cada una de las categorías analizadas (Licencia ambiental, concesión de agua, permiso de vertimiento de agua, aprovechamiento forestal, permiso de emisión).</t>
  </si>
  <si>
    <r>
      <t>Definición de las variables del indicador</t>
    </r>
    <r>
      <rPr>
        <sz val="9"/>
        <color rgb="FF000000"/>
        <rFont val="Calibri"/>
        <family val="2"/>
        <scheme val="minor"/>
      </rPr>
      <t>: Los procesos a analizar corresponderán a los trámites más comunes que se adelantan ante la autoridad ambiental, determinando su tiempo de duración así:</t>
    </r>
  </si>
  <si>
    <t>TL.A. = Tiempo efectivo de duración del trámite de otorgamiento de licencias ambientales</t>
  </si>
  <si>
    <t>TC.A. = Tiempo efectivo de duración del trámite de otorgamiento de una concesión de agua</t>
  </si>
  <si>
    <t>T.P.V. = Tiempo efectivo de duración del trámite de otorgamiento de un permiso de vertimiento</t>
  </si>
  <si>
    <t>T.A.F. = Tiempo efectivo de duración del trámite de otorgamiento de un aprovechamiento Forestal</t>
  </si>
  <si>
    <t xml:space="preserve">T.P.E. = Tiempo efectivo de duración del trámite de otorgamiento de un permiso de emisión </t>
  </si>
  <si>
    <t>Licencias ambientales</t>
  </si>
  <si>
    <t>TL.A. Tiempo efectivo de duración del trámite de otorgamiento de licencias ambientales (número de días)</t>
  </si>
  <si>
    <t>Tx L.A. Tiempo promedio efectivo de duración del trámite de licencias ambientales</t>
  </si>
  <si>
    <t>Concesiones de agua</t>
  </si>
  <si>
    <t>Tx C.A.S. Tiempo promedio efectivo de duración del trámite de Concesiones de Agua.</t>
  </si>
  <si>
    <t>Permisos de vertimiento de agua</t>
  </si>
  <si>
    <t>TP.V. Tiempo efectivo de duración del trámite de otorgamiento de un permiso de vertimiento (número de días)</t>
  </si>
  <si>
    <t>Tx P.V. Tiempo promedio efectivo de duración del trámite de otorgamiento de un permiso de vertimiento.</t>
  </si>
  <si>
    <t>Permisos de aprovechamiento forestal</t>
  </si>
  <si>
    <t>TP.E. Tiempo efectivo de duración del trámite de otorgamiento de un permiso de emisión (número de días)</t>
  </si>
  <si>
    <t xml:space="preserve">Tx A.F. Tiempo promedio efectivo de duración del trámite de otorgamiento de un permiso de aprovechamiento forestal </t>
  </si>
  <si>
    <t>Permisos de emisiones atmosféricas</t>
  </si>
  <si>
    <t xml:space="preserve">TP.E. Tiempo efectivo de duración del trámite de otorgamiento de un permiso de emisión (número de días) </t>
  </si>
  <si>
    <t>Tx P.E. Tiempo promedio efectivo de duración del trámite de otorgamiento de un permiso de emisión</t>
  </si>
  <si>
    <t>Cuanto menor sea el tiempo promedio, teniendo como referencia los tiempos establecidos en la normativa, mayor es el cumplimiento por parte de la autoridad ambiental en la eficiencia en la resolución de las solicitudes de autorizaciones ambientales (licencias ambientales, concesiones de agua, permisos de aprovechamiento forestal, permisos de emisiones atmosféricas y permisos de vertimiento de agua).</t>
  </si>
  <si>
    <r>
      <t>Hoja Metodológica de referencia:</t>
    </r>
    <r>
      <rPr>
        <sz val="9"/>
        <color rgb="FF000000"/>
        <rFont val="Calibri"/>
        <family val="2"/>
        <scheme val="minor"/>
      </rPr>
      <t xml:space="preserve"> MADS (2016). </t>
    </r>
    <r>
      <rPr>
        <b/>
        <i/>
        <sz val="9"/>
        <color rgb="FF000000"/>
        <rFont val="Calibri"/>
        <family val="2"/>
        <scheme val="minor"/>
      </rPr>
      <t>Tiempo promedio de trámite para la resolución de autorizaciones ambientales otorgadas por la corporación</t>
    </r>
    <r>
      <rPr>
        <i/>
        <sz val="9"/>
        <color rgb="FF000000"/>
        <rFont val="Calibri"/>
        <family val="2"/>
        <scheme val="minor"/>
      </rPr>
      <t xml:space="preserve"> (Versión 1.0).</t>
    </r>
    <r>
      <rPr>
        <sz val="9"/>
        <color rgb="FF000000"/>
        <rFont val="Calibri"/>
        <family val="2"/>
        <scheme val="minor"/>
      </rPr>
      <t xml:space="preserve"> Ministerio de Ambiente y Desarrollo Sostenible MADS, DGOAT-SINA.</t>
    </r>
  </si>
  <si>
    <t>Porcentaje de autorizaciones ambientales con seguimiento</t>
  </si>
  <si>
    <t xml:space="preserve"> </t>
  </si>
  <si>
    <t>Es la relación entre el número de Autorizaciones ambientales con seguimiento con respecto a la meta de seguimiento de dichas autorizaciones por parte de la autoridad ambiental.</t>
  </si>
  <si>
    <t>El indicador mide el cumplimiento de las metas que la autoridad ambiental se ha propuesto alcanzar en relación con el seguimiento a las autorizaciones ambientales (Licencias ambientales, concesiones de agua, permisos de aprovechamiento forestal, permisos de emisiones atmosféricas y permisos de vertimiento de agua).</t>
  </si>
  <si>
    <t>Resolución 619 de 1997 modificada por la Res 1377 de 2015 y Resolución 909 de 2008 y sus modificaciones.</t>
  </si>
  <si>
    <r>
      <t>Las autorizaciones administrativas son</t>
    </r>
    <r>
      <rPr>
        <i/>
        <sz val="9"/>
        <color rgb="FF000000"/>
        <rFont val="Calibri"/>
        <family val="2"/>
        <scheme val="minor"/>
      </rPr>
      <t xml:space="preserve"> </t>
    </r>
    <r>
      <rPr>
        <sz val="9"/>
        <color rgb="FF000000"/>
        <rFont val="Calibri"/>
        <family val="2"/>
        <scheme val="minor"/>
      </rPr>
      <t>un acto administrativo cualquiera que sea su denominación específica, por el cual en uso de una potestad de intervención legalmente atribuida a la Administración, se permite a los particulares el ejercicio de una actividad privada, previa comprobación de su adecuación al ordenamiento jurídico y valoración del interés afectado</t>
    </r>
    <r>
      <rPr>
        <i/>
        <sz val="9"/>
        <color rgb="FF000000"/>
        <rFont val="Calibri"/>
        <family val="2"/>
        <scheme val="minor"/>
      </rPr>
      <t xml:space="preserve">, </t>
    </r>
    <r>
      <rPr>
        <sz val="9"/>
        <color rgb="FF000000"/>
        <rFont val="Calibri"/>
        <family val="2"/>
        <scheme val="minor"/>
      </rPr>
      <t>las cuales en el caso ambiental se traducen en permisos, concesiones, asociaciones y licencias ambientales que permiten el uso, utilización o aprovechamiento de los recursos naturales renovables o la ejecución de proyectos, obras o actividades que puedan producir deterioro grave a los recursos naturales renovables o al medio ambiente o introducir modificaciones considerables o notorias al paisaje. A manera de ejemplo encontramos: concesiones de agua, permisos para la exploración y ocupación de cauces, playas y lechos, permisos de aprovechamiento forestal, permiso de emisiones atmosféricas y otros.</t>
    </r>
  </si>
  <si>
    <t>Una vez otorgadas las autorizaciones administrativas corresponde a la autoridad ambiental realizar su respectivo seguimiento. A manera de ejemplo en licencias ambientales la autoridad ambiental define una priorización de los sectores y/o de los proyectos, obras o actividades licenciados, durante su construcción, operación, desmantelamiento o abandono, que son objeto de control y seguimiento. Esto con el fin de: 1. Verificar la implementación del Plan de Manejo Ambiental, seguimiento y monitoreo, y de contingencia, así como la eficiencia y eficacia de las medidas de manejo implementadas; 2. Constatar y exigir el cumplimiento de todos los términos, obligaciones y condiciones que se deriven de la licencia ambiental o Plan de Manejo Ambiental; 3. Corroborar cómo es el comportamiento real del medio ambiente y de los recursos naturales frente al desarrollo del proyecto; y 4. Evaluar el desempeño ambiental considerando las medidas de manejo establecidas para controlar los impactos ambientales.</t>
  </si>
  <si>
    <t>En el desarrollo de dicha gestión, la autoridad ambiental puede realizar entre otras actividades, visitas al lugar donde se desarrolla el proyecto, hacer requerimientos de información, corroborar, técnicamente o a través de pruebas, los resultados de los monitoreos realizados por el beneficiario de la licencia.</t>
  </si>
  <si>
    <t>Así mismo, para las concesiones de agua, los permisos de aprovechamiento forestal, las emisiones atmosféricas y los permisos de vertimiento de agua, la Corporación una meta cuatrienal y para cada una de las vigencias.</t>
  </si>
  <si>
    <r>
      <t xml:space="preserve">PTAACS </t>
    </r>
    <r>
      <rPr>
        <vertAlign val="subscript"/>
        <sz val="9"/>
        <color rgb="FF000000"/>
        <rFont val="Calibri"/>
        <family val="2"/>
        <scheme val="minor"/>
      </rPr>
      <t>t</t>
    </r>
    <r>
      <rPr>
        <sz val="9"/>
        <color rgb="FF000000"/>
        <rFont val="Calibri"/>
        <family val="2"/>
        <scheme val="minor"/>
      </rPr>
      <t xml:space="preserve"> = Porcentaje total de autorizaciones ambientales con seguimiento, en el tiempo t.</t>
    </r>
  </si>
  <si>
    <r>
      <t xml:space="preserve">PAACS </t>
    </r>
    <r>
      <rPr>
        <vertAlign val="subscript"/>
        <sz val="9"/>
        <color rgb="FF000000"/>
        <rFont val="Calibri"/>
        <family val="2"/>
        <scheme val="minor"/>
      </rPr>
      <t>i</t>
    </r>
    <r>
      <rPr>
        <sz val="9"/>
        <color rgb="FF000000"/>
        <rFont val="Calibri"/>
        <family val="2"/>
        <scheme val="minor"/>
      </rPr>
      <t xml:space="preserve"> = Porcentaje de la autorización ambiental </t>
    </r>
    <r>
      <rPr>
        <i/>
        <sz val="9"/>
        <color rgb="FF000000"/>
        <rFont val="Calibri"/>
        <family val="2"/>
        <scheme val="minor"/>
      </rPr>
      <t>i</t>
    </r>
    <r>
      <rPr>
        <sz val="9"/>
        <color rgb="FF000000"/>
        <rFont val="Calibri"/>
        <family val="2"/>
        <scheme val="minor"/>
      </rPr>
      <t xml:space="preserve"> con seguimiento, en el tiempo t.</t>
    </r>
  </si>
  <si>
    <t>i = Licencias ambientales, concesiones de agua, permisos de aprovechamiento forestal, permisos de emisiones atmosféricas y permisos de vertimiento de agua.</t>
  </si>
  <si>
    <r>
      <t>a</t>
    </r>
    <r>
      <rPr>
        <vertAlign val="subscript"/>
        <sz val="9"/>
        <color rgb="FF000000"/>
        <rFont val="Calibri"/>
        <family val="2"/>
        <scheme val="minor"/>
      </rPr>
      <t xml:space="preserve">i = </t>
    </r>
    <r>
      <rPr>
        <sz val="9"/>
        <color rgb="FF000000"/>
        <rFont val="Calibri"/>
        <family val="2"/>
        <scheme val="minor"/>
      </rPr>
      <t>Ponderación correspondiente a cada autorización ambiental (licencias ambientales, las concesiones de agua, los permisos de aprovechamiento forestal, los permisos de emisiones atmosféricas y los permisos de vertimiento de agua y PSMV). La suma de los ponderadores es igual a 1.</t>
    </r>
  </si>
  <si>
    <t>Porcentaje de seguimiento de cada autorización ambiental</t>
  </si>
  <si>
    <r>
      <t xml:space="preserve">PAACS </t>
    </r>
    <r>
      <rPr>
        <vertAlign val="subscript"/>
        <sz val="9"/>
        <color rgb="FF000000"/>
        <rFont val="Calibri"/>
        <family val="2"/>
        <scheme val="minor"/>
      </rPr>
      <t>it</t>
    </r>
    <r>
      <rPr>
        <sz val="9"/>
        <color rgb="FF000000"/>
        <rFont val="Calibri"/>
        <family val="2"/>
        <scheme val="minor"/>
      </rPr>
      <t xml:space="preserve"> = Porcentaje de la autorización ambiental </t>
    </r>
    <r>
      <rPr>
        <i/>
        <sz val="9"/>
        <color rgb="FF000000"/>
        <rFont val="Calibri"/>
        <family val="2"/>
        <scheme val="minor"/>
      </rPr>
      <t>i</t>
    </r>
    <r>
      <rPr>
        <sz val="9"/>
        <color rgb="FF000000"/>
        <rFont val="Calibri"/>
        <family val="2"/>
        <scheme val="minor"/>
      </rPr>
      <t xml:space="preserve"> con seguimiento, en el tiempo t.</t>
    </r>
  </si>
  <si>
    <r>
      <t xml:space="preserve">AACS </t>
    </r>
    <r>
      <rPr>
        <vertAlign val="subscript"/>
        <sz val="9"/>
        <color rgb="FF000000"/>
        <rFont val="Calibri"/>
        <family val="2"/>
        <scheme val="minor"/>
      </rPr>
      <t>it</t>
    </r>
    <r>
      <rPr>
        <sz val="9"/>
        <color rgb="FF000000"/>
        <rFont val="Calibri"/>
        <family val="2"/>
        <scheme val="minor"/>
      </rPr>
      <t xml:space="preserve"> = Número de autorizaciones ambientales</t>
    </r>
    <r>
      <rPr>
        <i/>
        <sz val="9"/>
        <color rgb="FF000000"/>
        <rFont val="Calibri"/>
        <family val="2"/>
        <scheme val="minor"/>
      </rPr>
      <t xml:space="preserve"> i</t>
    </r>
    <r>
      <rPr>
        <sz val="9"/>
        <color rgb="FF000000"/>
        <rFont val="Calibri"/>
        <family val="2"/>
        <scheme val="minor"/>
      </rPr>
      <t xml:space="preserve"> con seguimiento, en el tiempo t.</t>
    </r>
  </si>
  <si>
    <r>
      <t xml:space="preserve">MAACS </t>
    </r>
    <r>
      <rPr>
        <vertAlign val="subscript"/>
        <sz val="9"/>
        <color rgb="FF000000"/>
        <rFont val="Calibri"/>
        <family val="2"/>
        <scheme val="minor"/>
      </rPr>
      <t>it</t>
    </r>
    <r>
      <rPr>
        <sz val="9"/>
        <color rgb="FF000000"/>
        <rFont val="Calibri"/>
        <family val="2"/>
        <scheme val="minor"/>
      </rPr>
      <t xml:space="preserve"> = Meta de autorizaciones ambientales </t>
    </r>
    <r>
      <rPr>
        <i/>
        <sz val="9"/>
        <color rgb="FF000000"/>
        <rFont val="Calibri"/>
        <family val="2"/>
        <scheme val="minor"/>
      </rPr>
      <t>i</t>
    </r>
    <r>
      <rPr>
        <sz val="9"/>
        <color rgb="FF000000"/>
        <rFont val="Calibri"/>
        <family val="2"/>
        <scheme val="minor"/>
      </rPr>
      <t xml:space="preserve"> con seguimiento, en el tiempo t.</t>
    </r>
  </si>
  <si>
    <t>La meta de número de autorizaciones ambientales sujetos a seguimiento es establecida por la Corporación tanto para el cuatrienio como para cada una de las vigencias.</t>
  </si>
  <si>
    <t>Seguimiento de licencias ambientales</t>
  </si>
  <si>
    <t>Número total de licencias ambientales priorizadas por la Corporación para hacer seguimiento en el cuatrienio:</t>
  </si>
  <si>
    <t>Meta de licencias ambientales con seguimiento (MLACS)</t>
  </si>
  <si>
    <t>Número de licencias ambientales con seguimiento (LACS)</t>
  </si>
  <si>
    <t>Porcentaje de licencias ambientales con seguimiento (PLACS)</t>
  </si>
  <si>
    <t>Detalle de seguimiento a licencias ambientales en la vigencia</t>
  </si>
  <si>
    <t>Sector</t>
  </si>
  <si>
    <t>Número de licencias por sector</t>
  </si>
  <si>
    <t>Número de expedientes activos</t>
  </si>
  <si>
    <t>Meta de seguimiento (número)</t>
  </si>
  <si>
    <t>Licencias con seguimiento</t>
  </si>
  <si>
    <t>(número)</t>
  </si>
  <si>
    <t>Seguimiento de concesiones de agua</t>
  </si>
  <si>
    <t>Valor</t>
  </si>
  <si>
    <t>Seguimiento de concesiones de agua (número)</t>
  </si>
  <si>
    <t>Meta de número de concesiones de agua con seguimiento (MCACS)</t>
  </si>
  <si>
    <t>Número de concesiones de agua con seguimiento (CACS)</t>
  </si>
  <si>
    <t>Porcentaje de concesiones de agua con seguimiento (PCACS)</t>
  </si>
  <si>
    <t>Seguimiento de concesiones de agua (metros cúbicos / segundo)</t>
  </si>
  <si>
    <t>Meta de concesiones de agua con seguimiento (MCACSMC)</t>
  </si>
  <si>
    <t>Concesiones de agua con seguimiento (CACSMC)</t>
  </si>
  <si>
    <t>Porcentaje de concesiones de agua con seguimiento (PCACSMC)</t>
  </si>
  <si>
    <t>Número de usuarios de vertimientos de agua a 31/12/2015</t>
  </si>
  <si>
    <t>Seguimiento de permisos de vertimiento de agua (número)</t>
  </si>
  <si>
    <t>Meta de número de permisos de vertimiento de agua con seguimiento (MVACS)</t>
  </si>
  <si>
    <t>Número de permisos de vertimiento de agua con seguimiento (VACS)</t>
  </si>
  <si>
    <t>Porcentaje de permisos de vertimiento de agua con seguimiento (PVACS)</t>
  </si>
  <si>
    <t>Seguimiento de permisos de vertimiento de agua (metros cúbicos / segundo) y PSMV</t>
  </si>
  <si>
    <t>Meta de permisos de vertimiento de agua con seguimiento (MVACSMC)</t>
  </si>
  <si>
    <t>Permisos de vertimiento de agua con seguimiento (VACSMC)</t>
  </si>
  <si>
    <t>Porcentaje de permisos de vertimiento de agua con seguimiento (PVACSMC)</t>
  </si>
  <si>
    <t>Seguimiento de permisos de aprovechamiento forestal</t>
  </si>
  <si>
    <t>Seguimiento de permisos de aprovechamiento forestal (número)</t>
  </si>
  <si>
    <t>Meta de número de permisos de aprovechamiento forestal con seguimiento (MPAFCS)</t>
  </si>
  <si>
    <t>Número de permisos de aprovechamiento forestal con seguimiento (PAFCS)</t>
  </si>
  <si>
    <t>Porcentaje de permisos de aprovechamiento forestal con seguimiento (PPAFCS)</t>
  </si>
  <si>
    <t>Seguimiento de permisos de aprovechamiento forestal (metros cúbicos)</t>
  </si>
  <si>
    <t>Meta de permisos de aprovechamiento forestal con seguimiento (MPACFSMC)</t>
  </si>
  <si>
    <t>Permisos de aprovechamiento forestal con seguimiento (PAFCSMC)</t>
  </si>
  <si>
    <t>Porcentaje de permisos de aprovechamiento forestal con seguimiento (PPAFCSMC)</t>
  </si>
  <si>
    <t>Seguimiento de permisos de emisiones atmosféricas</t>
  </si>
  <si>
    <t>Seguimiento de permisos de emisiones atmosféricas (número)</t>
  </si>
  <si>
    <t>Meta de número de permisos de emisiones atmosféricas con seguimiento (MPEACS)</t>
  </si>
  <si>
    <t>Número de permisos de emisiones atmosféricas con seguimiento (EACS)</t>
  </si>
  <si>
    <t>Porcentaje de permisos de emisiones atmosféricas con seguimiento (PEACS)</t>
  </si>
  <si>
    <t>Cuanto más cercano a cien por ciento, mayor es el cumplimiento de las metas que la autoridad ambiental se ha propuesto alcanzar en relación con el seguimiento a las autorizaciones ambientales (licencias ambientales, concesiones de agua, aprovechamiento forestal, emisiones atmosféricas y permisos de vertimiento).</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</si>
  <si>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autorizaciones ambientales con seguimiento (Versión 1.0).</t>
    </r>
    <r>
      <rPr>
        <sz val="9"/>
        <color rgb="FF000000"/>
        <rFont val="Calibri"/>
        <family val="2"/>
        <scheme val="minor"/>
      </rPr>
      <t xml:space="preserve"> Ministerio de Ambiente y Desarrollo Sostenible, DGOAT-SINA.</t>
    </r>
  </si>
  <si>
    <t>Porcentaje de Procesos Sancionatorios Resueltos</t>
  </si>
  <si>
    <t>Es la relación entre el número de actos administrativos de determinación de la responsabilidad o de cesación de procedimiento expedidos, con respecto al número de actos administrativos de iniciación de procedimiento sancionatorio expedidos por la autoridad ambiental.</t>
  </si>
  <si>
    <r>
      <t>E</t>
    </r>
    <r>
      <rPr>
        <sz val="9"/>
        <color rgb="FF000000"/>
        <rFont val="Calibri"/>
        <family val="2"/>
        <scheme val="minor"/>
      </rPr>
      <t>l indicador mide el cumplimiento por parte de la autoridad ambiental en la gestión de los procesos sancionatorios abiertos, con relación a la ocurrencia de infracciones en materia ambiental en su jurisdicción.</t>
    </r>
  </si>
  <si>
    <t>Ley 99 de 1993, Ley Marco del Medio Ambiente</t>
  </si>
  <si>
    <t>Ley 1333 de 2009, Procedimiento sancionatorio ambiental</t>
  </si>
  <si>
    <t>La autoridad ambiental está en la obligación de establecer la ocurrencia o no de presuntas infracciones ambientales y de determinar la existencia o no de responsabilidad, y en caso afirmativo, sancionar a los responsables de manera oportuna, de tal manera que se garantice el cumplimiento de la normatividad ambiental vigente en las respectivas jurisdicciones de las autoridades ambientales.</t>
  </si>
  <si>
    <t>De conformidad con lo establecido en el artículo 5° de la Ley 1333 de 2009, se considera infracción en materia ambiental “toda acción u omisión que constituya violación de las normas contenidas en el Código de Recursos Naturales Renovables, Decreto-ley 2811 de 1974, en la Ley 99 de 1993, en la Ley 165 de 1994 y en las demás disposiciones ambientales vigentes en que las sustituyan o modifiquen y en los actos administrativos emanados de la autoridad ambiental competente. Será también constitutivo de infracción ambiental la comisión de un daño al medio ambiente, con las mismas condiciones que para configurar la responsabilidad civil extracontractual establece el Código Civil y la legislación complementaria, a saber: El daño, el hecho generador con culpa o dolo y el vínculo causal entre los dos. Cuando estos elementos se configuren darán lugar a una sanción administrativa ambiental, sin perjuicio de la responsabilidad que para terceros pueda generar el hecho en materia civil”.</t>
  </si>
  <si>
    <t>El acto administrativo de iniciación, es el acto mediante el cual se ordena el inicio del procedimiento sancionatorio para verificar los hechos u omisiones constitutivas de infracción a las normas ambientales, de conformidad con el art. 18 de la Ley 1333 de 2009.</t>
  </si>
  <si>
    <t>Cuando aparezca plenamente demostrada alguna de las causales de cesación del procedimiento, se expide un acto administrativo en tal sentido, de conformidad con el artículo 23 de la Ley 1333 de 2009.</t>
  </si>
  <si>
    <t>El acto administrativo de determinación de responsabilidad, es el acto mediante el cual se declara o no la responsabilidad del infractor por violación de la norma ambiental.</t>
  </si>
  <si>
    <r>
      <t xml:space="preserve">PPSR </t>
    </r>
    <r>
      <rPr>
        <vertAlign val="subscript"/>
        <sz val="9"/>
        <color rgb="FF000000"/>
        <rFont val="Calibri"/>
        <family val="2"/>
        <scheme val="minor"/>
      </rPr>
      <t>t</t>
    </r>
    <r>
      <rPr>
        <sz val="9"/>
        <color rgb="FF000000"/>
        <rFont val="Calibri"/>
        <family val="2"/>
        <scheme val="minor"/>
      </rPr>
      <t xml:space="preserve"> = Porcentaje de Procesos Sancionatorios Resueltos, en el tiempo t.</t>
    </r>
  </si>
  <si>
    <r>
      <t xml:space="preserve">ADR </t>
    </r>
    <r>
      <rPr>
        <vertAlign val="subscript"/>
        <sz val="9"/>
        <color rgb="FF000000"/>
        <rFont val="Calibri"/>
        <family val="2"/>
        <scheme val="minor"/>
      </rPr>
      <t>t</t>
    </r>
    <r>
      <rPr>
        <sz val="9"/>
        <color rgb="FF000000"/>
        <rFont val="Calibri"/>
        <family val="2"/>
        <scheme val="minor"/>
      </rPr>
      <t xml:space="preserve"> = Número de actos administrativos de determinación de la responsabilidad expedidos, en el tiempo t.</t>
    </r>
  </si>
  <si>
    <r>
      <t xml:space="preserve">ACP </t>
    </r>
    <r>
      <rPr>
        <vertAlign val="subscript"/>
        <sz val="9"/>
        <color rgb="FF000000"/>
        <rFont val="Calibri"/>
        <family val="2"/>
        <scheme val="minor"/>
      </rPr>
      <t>t</t>
    </r>
    <r>
      <rPr>
        <sz val="9"/>
        <color rgb="FF000000"/>
        <rFont val="Calibri"/>
        <family val="2"/>
        <scheme val="minor"/>
      </rPr>
      <t xml:space="preserve"> = Número de actos administrativos de cesación de procedimiento expedidos, en el tiempo t.</t>
    </r>
  </si>
  <si>
    <t>AIPS = Número de actos administrativos de iniciación de procedimiento sancionatorio expedidos.</t>
  </si>
  <si>
    <t>La variable AIPS comprende el total de los actos administrativos de iniciación de procedimiento sancionatorio expedidos en la vigencia respectiva, más los actos administrativos de iniciación de procedimiento cuyo proceso sancionatorio que se encuentre sin acto administrativo de determinación de la responsabilidad o de cesación de procedimiento expedido, a 31 de diciembre de la vigencia anterior.</t>
  </si>
  <si>
    <t>Número de actos administrativos de iniciación de procedimiento sancionatorio expedidos (AIPS)</t>
  </si>
  <si>
    <t>Número de actos administrativos de determinación de la responsabilidad expedidos en la vigencia (ADR)</t>
  </si>
  <si>
    <t>Número de actos administrativos de cesación de procedimiento expedidos en la vigencia (ACP)</t>
  </si>
  <si>
    <t>Porcentaje de Procesos Sancionatorios Resueltos (PPSR)</t>
  </si>
  <si>
    <t>Cuanto más cercano a cien por ciento, mayor es el cumplimiento por parte de la autoridad ambiental de su función de adelantar los procesos sancionatorios por la comisión de infracciones en materia ambiental.</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</si>
  <si>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Procesos Sancionatorios Resueltos (Versión 1.0).</t>
    </r>
    <r>
      <rPr>
        <sz val="9"/>
        <color rgb="FF000000"/>
        <rFont val="Calibri"/>
        <family val="2"/>
        <scheme val="minor"/>
      </rPr>
      <t xml:space="preserve"> Ministerio de Ambiente y Desarrollo Sostenible, DGOAT-SINA.</t>
    </r>
  </si>
  <si>
    <t>Porcentaje de municipios asesorados o asistidos en la inclusión del componente ambiental en los procesos de planificación y ordenamiento territorial, con énfasis en la incorporación de las determinantes ambientales para la revisión y ajuste de los POT</t>
  </si>
  <si>
    <t>Es la relación entre el número de municipios asesorados o asistidos en temas relacionados con la inclusión del componente ambiental en los procesos de planificación y ordenamiento territorial, con énfasis en la incorporación de las determinantes ambientales para la revisión y ajuste de los POT, con respecto a la meta de municipios a ser asesorados en dicha incorporación.</t>
  </si>
  <si>
    <t>El indicador mide el cumplimiento de las metas establecidas, por parte de la Corporación Autónoma Regional, en relación con la asesoría a los municipios en la inclusión del componente ambiental en los procesos de planificación y ordenamiento territorial, con énfasis en la incorporación de las determinantes ambientales en la actualización o revisión de los planes de ordenamiento territorial. (Incluye POT, PBOT, EOT)</t>
  </si>
  <si>
    <t>Ley 99 de 1993, Ley Marco del Medio Ambiente. artículo 31, Numerales 4) , 5) y 29) en cuanto a funciones de las CAR (Coordinar el proceso de preparación de los planes, programas y proyectos de desarrollo medioambiental que deban formular los diferentes organismos y entidades integrantes del Sistema Nacional Ambiental (SINA) en el área de su jurisdicción y en especial, asesorar a los Departamentos, Distritos y Municipios de su comprensión territorial en la definición de los planes de desarrollo ambiental y en sus programas y proyectos en materia de protección del medio ambiente y los recursos naturales renovables, de manera que se asegure la armonía y coherencia de las políticas y acciones adoptadas por las distintas entidades territoriales; Participar con los demás organismos y entes competentes en el ámbito de su jurisdicción, en los procesos de planificación y ordenamiento territorial a fin de que el factor ambiental sea tenido en cuenta en las decisiones que se adopten; y Apoyar a los concejos municipales, a las asambleas departamentales y a los consejos de las entidades territoriales indígenas en las funciones de planificación que les otorga la Constitución Nacional).</t>
  </si>
  <si>
    <t>Ley 388 de 1997, Planes de Ordenamiento Territorial. Artículo 10, numeral 1) Determinantes de los planes de ordenamiento territorial. En la elaboración y adopción de sus planes de ordenamiento territorial los municipios y distritos deberán tener en cuenta las siguientes determinantes, que constituyen normas de superior jerarquía, en sus propios ámbitos de competencia, de acuerdo con la Constitución y las leyes: 1.) Las relacionadas con la conservación y protección del medio ambiente, los recursos naturales la prevención de amenazas y riesgos naturales; Artículo 24) Instancias de concertación y consulta. El alcalde distrital o municipal, a través de las oficinas de planeación o de la dependencia que haga sus veces, será responsable de coordinar la formulación oportuna del proyecto del plan de Ordenamiento Territorial, y de someterlo a consideración del Consejo de Gobierno. En todo caso, antes de la presentación del proyecto de plan de ordenamiento territorial a consideración del concejo distrital o municipal, se surtirán los trámites de concertación interinstitucional y consulta ciudadana.</t>
  </si>
  <si>
    <t>Ley 507 de 1999, Artículo 1, parágrafo 6. Parágrafo 6. El Proyecto de Plan de Ordenamiento Territorial (POT) se someterá a consideración de la Corporación Autónoma Regional o autoridad ambiental competente a efectos de que conjuntamente con el municipio y/o distrito concerten lo concerniente a los asuntos exclusivamente ambientales, dentro del ámbito de su competencia de acuerdo con lo dispuesto en la Ley 99 de 1993, para lo cual dispondrán, de treinta (30) días. En relación con los temas sobre los cuales no se logre la concertación, el Ministerio del Medio Ambiente intervendrá con el fin de decidir sobre los puntos de desacuerdo para lo cual dispondrá de un término máximo de treinta (30) días contados a partir del vencimiento del plazo anteriormente señalado en este parágrafo.</t>
  </si>
  <si>
    <t>Ley 1753 de 2015, Plan Nacional de Desarrollo, bases PND estrategia Territorial A y E</t>
  </si>
  <si>
    <t>Decreto 1076 de 2015, Decreto Único Reglamentario del Ambiente.</t>
  </si>
  <si>
    <t>De acuerdo con la Ley 99 de 1993, el objeto de las Corporaciones Autónomas Regionales y las de Desarrollo Sostenible, es la ejecución de políticas, planes, programas y proyectos sobre medio ambiente y recursos naturales renovables en lo relacionado con su administración, manejo y aprovechamiento. Así, las corporaciones son las encargadas de administrar, dentro del área de su jurisdicción, el medio ambiente y los recursos naturales renovables y propender por su desarrollo sostenible, de conformidad con las disposiciones legales y las políticas del Ministerio del Medio Ambiente. Esto significa que las CAR tienen un rol preponderante en la incorporación de los temas ambientales en los ejercicios de planificación y ordenamiento territorial de los municipios y distritos, principalmente, en los modelos de ocupación territorial por ellos propuestos. Para lo anterior, las CAR en conjunto con los organismos nacionales adscritos y vinculados al MADS y con las entidades técnicas y científicas del SINA, deben adelantar estudios e investigaciones, enfocadas al análisis territorial que le permita tomar decisiones y emprender las acciones pertinentes para identificar las determinantes ambientales de su jurisdicción.</t>
  </si>
  <si>
    <t>El factor ambiental es fundamental para asegurar el desarrollo sostenible y la resiliencia territorial de los ejercicios de planificación territorial de los municipios y distritos. Complementario a lo anterior, la Ley 388 de 1997 fijó los objetivos, principios y fines del ordenamiento territorial que rigen las actuaciones de las autoridades municipales y distritales para alcanzar el objeto del ordenamiento del territorio municipal o distrital, esto es, complementar la planificación económica y social con la dimensión territorial, racionalizar las intervenciones sobre el territorio y orientar su desarrollo y aprovechamiento sostenible en los términos de los artículos 1 º, 2 º, 3 º y 6 º de la mencionada ley.</t>
  </si>
  <si>
    <t>La ley 388 de 1997 en su artículo 10º establece los Determinantes ambientales, los constituyen un conjunto de directrices, orientaciones, conceptos y normas que permiten el adecuado reconocimiento del Componente Ambiental en los Planes, Planes Básicos y Esquemas de Ordenamiento Territorial, y su articulación con otros instrumentos de planificación y uso del territorio.</t>
  </si>
  <si>
    <t>La mencionada Ley plantea que en la elaboración y adopción de los planes de ordenamiento territorial los municipios y distritos deberán tener en cuenta, entre otros determinantes, los relacionadas con la conservación y protección del medio ambiente, los recursos naturales la prevención de amenazas y riesgos naturales.</t>
  </si>
  <si>
    <t>Las autoridades ambientales juegan un papel central como asesores técnicos para procurar la inclusión del componente ambiental en los procesos de planificación y ordenamiento de las entidades territoriales, en especial en lo relacionado con la incorporación de las determinantes ambientales en los instrumentos de planificación territorial de los municipios. Una asistencia técnica de las CAR a los municipios y distritos en este sentido, permite a la autoridad ambiental incidir favorablemente en las decisiones sobre aprovechamiento racional de recursos naturales renovables y en su inclusión como elementos estructurantes y articuladores del territorio municipal o distrital, buscando de esta forma garantizar que los procesos de desarrollo territorial sean ambientalmente sostenibles.</t>
  </si>
  <si>
    <t>Por acciones de asesoría y asistencia por parte de la Corporación Autónoma Regional, se entienden las siguientes acciones:</t>
  </si>
  <si>
    <r>
      <t>·</t>
    </r>
    <r>
      <rPr>
        <sz val="7"/>
        <color rgb="FF000000"/>
        <rFont val="Times New Roman"/>
        <family val="1"/>
      </rPr>
      <t xml:space="preserve">        </t>
    </r>
    <r>
      <rPr>
        <sz val="9"/>
        <color rgb="FF000000"/>
        <rFont val="Calibri"/>
        <family val="2"/>
      </rPr>
      <t>Realizar eventos de socialización y capacitación a los municipios y distritos en la inclusión del componente ambiental en los procesos de planificación y ordenamiento territorial, con énfasis en la incorporación de las determinantes ambientales para el ordenamiento territorial municipal.</t>
    </r>
  </si>
  <si>
    <r>
      <t>·</t>
    </r>
    <r>
      <rPr>
        <sz val="7"/>
        <color rgb="FF000000"/>
        <rFont val="Times New Roman"/>
        <family val="1"/>
      </rPr>
      <t xml:space="preserve">        </t>
    </r>
    <r>
      <rPr>
        <sz val="9"/>
        <color rgb="FF000000"/>
        <rFont val="Calibri"/>
        <family val="2"/>
      </rPr>
      <t>Socializar con los municipios de su jurisdicción la información derivada de sus sistemas de información, relacionado con el conocimiento del estado del ambiente a nivel regional y local.</t>
    </r>
  </si>
  <si>
    <r>
      <t>·</t>
    </r>
    <r>
      <rPr>
        <sz val="7"/>
        <color rgb="FF000000"/>
        <rFont val="Times New Roman"/>
        <family val="1"/>
      </rPr>
      <t xml:space="preserve">        </t>
    </r>
    <r>
      <rPr>
        <sz val="9"/>
        <color rgb="FF000000"/>
        <rFont val="Calibri"/>
        <family val="2"/>
      </rPr>
      <t>Capacitar a los municipios y Distritos en lo relacionado con el proceso de Concertación de los asuntos exclusivamente ambientales de los POT</t>
    </r>
    <r>
      <rPr>
        <sz val="12"/>
        <color rgb="FF000000"/>
        <rFont val="Calibri"/>
        <family val="2"/>
      </rPr>
      <t>.</t>
    </r>
  </si>
  <si>
    <t>Porcentaje de municipios asesorados o asistidos en la incorporación de los determinantes ambientales para la revisión y ajuste de los POT</t>
  </si>
  <si>
    <r>
      <t xml:space="preserve">PMAPOT </t>
    </r>
    <r>
      <rPr>
        <vertAlign val="subscript"/>
        <sz val="9"/>
        <color rgb="FF000000"/>
        <rFont val="Calibri"/>
        <family val="2"/>
        <scheme val="minor"/>
      </rPr>
      <t>t</t>
    </r>
    <r>
      <rPr>
        <sz val="9"/>
        <color rgb="FF000000"/>
        <rFont val="Calibri"/>
        <family val="2"/>
        <scheme val="minor"/>
      </rPr>
      <t xml:space="preserve"> = Porcentaje de municipios asesorados o asistidos asesorados o asistidos en la inclusión del componente ambiental en los procesos de planificación y ordenamiento territorial, con énfasis en la incorporación de las determinantes ambientales para la revisión y ajuste de los POT, en el tiempo t.</t>
    </r>
  </si>
  <si>
    <r>
      <t xml:space="preserve">MAPOT </t>
    </r>
    <r>
      <rPr>
        <vertAlign val="subscript"/>
        <sz val="9"/>
        <color rgb="FF000000"/>
        <rFont val="Calibri"/>
        <family val="2"/>
        <scheme val="minor"/>
      </rPr>
      <t>t</t>
    </r>
    <r>
      <rPr>
        <sz val="9"/>
        <color rgb="FF000000"/>
        <rFont val="Calibri"/>
        <family val="2"/>
        <scheme val="minor"/>
      </rPr>
      <t xml:space="preserve"> = Número de municipios asesorados en la inclusión del componente ambiental en los procesos de planificación y ordenamiento territorial, con énfasis en la incorporación de las determinantes ambientales para la revisión y ajuste de los POT, en el tiempo t.</t>
    </r>
  </si>
  <si>
    <r>
      <t xml:space="preserve">MMAPOT </t>
    </r>
    <r>
      <rPr>
        <vertAlign val="subscript"/>
        <sz val="9"/>
        <color rgb="FF000000"/>
        <rFont val="Calibri"/>
        <family val="2"/>
        <scheme val="minor"/>
      </rPr>
      <t>t</t>
    </r>
    <r>
      <rPr>
        <sz val="9"/>
        <color rgb="FF000000"/>
        <rFont val="Calibri"/>
        <family val="2"/>
        <scheme val="minor"/>
      </rPr>
      <t xml:space="preserve"> = Meta de municipios a ser asesorados en la inclusión del componente ambiental en los procesos de planificación y ordenamiento territorial, con énfasis en la incorporación de las determinantes ambientales para la revisión y ajuste de los POT, en el tiempo t.</t>
    </r>
  </si>
  <si>
    <t>Meta de municipios a ser asesorados o asistidos en la inclusión del componente ambiental en los procesos de planificación y ordenamiento territorial, con énfasis en la incorporación de las determinantes ambientales para la revisión y ajuste de los POT (MMAPOT)</t>
  </si>
  <si>
    <t>Municipios asesorados o asistidos en la inclusión del componente ambiental en los procesos de planificación y ordenamiento territorial, con énfasis en la incorporación de las determinantes ambientales para la revisión y ajuste de los POT (MAPOT)</t>
  </si>
  <si>
    <t>Porcentaje de municipios asesorados o asistidos en la inclusión del componente ambiental en los procesos de planificación y ordenamiento territorial, con énfasis en la incorporación de las determinantes ambientales para la revisión y ajuste de los POT (PMAPOT) (C = B / A)</t>
  </si>
  <si>
    <t>Detalle de acciones de asesoría o asistencia a los municipios o distritos, realizadas en la vigencia (utilice tantas filas cuantas sean necesarias)</t>
  </si>
  <si>
    <t xml:space="preserve">Número de municipios </t>
  </si>
  <si>
    <t>Nombres de municipios</t>
  </si>
  <si>
    <t>Cuanto más cercano a cien por ciento, mayor es el cumplimiento de las metas establecidas en relación con la asesoría a los municipios en la incorporación de los determinantes ambientales para la revisión y ajuste de los POT.</t>
  </si>
  <si>
    <r>
      <t>Hoja Metodológica de referencia:</t>
    </r>
    <r>
      <rPr>
        <sz val="9"/>
        <color rgb="FF000000"/>
        <rFont val="Calibri"/>
        <family val="2"/>
        <scheme val="minor"/>
      </rPr>
      <t xml:space="preserve"> MADS (2016). </t>
    </r>
    <r>
      <rPr>
        <i/>
        <sz val="9"/>
        <color rgb="FF000000"/>
        <rFont val="Calibri"/>
        <family val="2"/>
        <scheme val="minor"/>
      </rPr>
      <t xml:space="preserve">Hoja metodológica de Porcentaje de municipios asesorados o asistidos en la inclusión del componente ambiental en los procesos de planificación y ordenamiento territorial, con énfasis en la incorporación de las determinantes ambientales para la revisión y ajuste de los POT (Versión 1.0). Ministerio de Ambiente y Desarrollo Sostenible </t>
    </r>
    <r>
      <rPr>
        <sz val="9"/>
        <color rgb="FF000000"/>
        <rFont val="Calibri"/>
        <family val="2"/>
        <scheme val="minor"/>
      </rPr>
      <t>MADS, DGOAT-SINA.</t>
    </r>
  </si>
  <si>
    <t>Porcentaje de redes y estaciones de monitoreo en operación</t>
  </si>
  <si>
    <t>Es el número de redes y estaciones de monitoreo que están en operación y que cumplen con la representatividad de los datos en relación con el número de redes y estaciones de monitoreo instaladas de la Corporación.</t>
  </si>
  <si>
    <t>El indicador mide la gestión de la corporación para el mantenimiento de las redes de monitoreo, el cumplimiento de las metas que la autoridad ambiental se ha propuesto alcanzar en relación con la operación de redes y estaciones de monitoreo, que satisfacen la representatividad temporal de los datos y sigue los protocolos establecidos.</t>
  </si>
  <si>
    <t>SIRH: Decreto 1076 de 2015.</t>
  </si>
  <si>
    <t>SISAIRE: Resolución 601 de 2006, Resolución 650 de 2010, Resolución 651 de 2010, Resolución 760 de 2010, Resolución 2153 de 2010, Resolución 2154 de 2010.</t>
  </si>
  <si>
    <t>www.sisaire.gov.co</t>
  </si>
  <si>
    <t>www.sirh.ideam.gov.co</t>
  </si>
  <si>
    <t>La información sobre la cantidad y calidad de los recursos naturales y del ambiente es la herramienta necesaria para una planificación y administración adecuada de dichos recursos, que garantice su sostenibilidad ambiental.</t>
  </si>
  <si>
    <t>Por ello, el Decreto 1076 de 2015 crea el Sistema de Información del Recurso Hídrico - SIRH, como parte del Sistema de Información Ambiental para Colombia - SIAC, en lo relacionado con aguas superficiales, subterráneas, marinas y estuarinas. El Decreto 1076 determina como responsabilidad de las corporaciones autónomas regionales “realizar el monitoreo y seguimiento del recurso hídrico en el área de su jurisdicción, para lo cual deberán aplicar los protocolos y estándares establecidos en el SIRH”. Por su parte, los titulares de licencias, permisos y concesiones están obligados a recopilar y a suministrar sin costo alguno la información sobre la utilización del mismo a las autoridades ambientales competentes.</t>
  </si>
  <si>
    <t>Adicionalmente, el Decreto 1076 de 2015, establece que las autoridades ambientales deberán realizar el Registro de Usuarios del Recurso Hídrico de manera gradual en las cuencas hidrográficas priorizadas en su jurisdicción.</t>
  </si>
  <si>
    <t>Por otra parte, la Resolución 651 de 2010 crea el Subsistema de Información sobre Calidad del Aire – Sisaire, como parte del Sistema de Información Ambiental para Colombia, SIAC, en lo referente a la información para el diseño, evaluación y ajuste de la política y las estrategias para la prevención y control de la contaminación del aire. La resolución estipula que las corporaciones autónomas regionales que operen Sistemas de Vigilancia de la Calidad del Aire (SVCA) deben realizar el reporte de la información de calidad del aire a nivel de inmisión. Las autoridades ambientales tienen la obligación de reportar al Sisaire la información de calidad del aire, meteorológica y de ruido.</t>
  </si>
  <si>
    <r>
      <t xml:space="preserve">PREMO </t>
    </r>
    <r>
      <rPr>
        <vertAlign val="subscript"/>
        <sz val="9"/>
        <color rgb="FF000000"/>
        <rFont val="Calibri"/>
        <family val="2"/>
        <scheme val="minor"/>
      </rPr>
      <t>t</t>
    </r>
    <r>
      <rPr>
        <sz val="9"/>
        <color rgb="FF000000"/>
        <rFont val="Calibri"/>
        <family val="2"/>
        <scheme val="minor"/>
      </rPr>
      <t xml:space="preserve"> = Porcentaje de redes y estaciones de monitoreo en operación, en el tiempo t.</t>
    </r>
  </si>
  <si>
    <r>
      <t xml:space="preserve">PREMOAG </t>
    </r>
    <r>
      <rPr>
        <vertAlign val="subscript"/>
        <sz val="9"/>
        <color rgb="FF000000"/>
        <rFont val="Calibri"/>
        <family val="2"/>
        <scheme val="minor"/>
      </rPr>
      <t>t</t>
    </r>
    <r>
      <rPr>
        <sz val="9"/>
        <color rgb="FF000000"/>
        <rFont val="Calibri"/>
        <family val="2"/>
        <scheme val="minor"/>
      </rPr>
      <t xml:space="preserve"> = Porcentaje de estaciones de monitoreo de calidad del agua en operación, en el tiempo t.</t>
    </r>
  </si>
  <si>
    <r>
      <t xml:space="preserve">PREMOAR </t>
    </r>
    <r>
      <rPr>
        <vertAlign val="subscript"/>
        <sz val="9"/>
        <color rgb="FF000000"/>
        <rFont val="Calibri"/>
        <family val="2"/>
        <scheme val="minor"/>
      </rPr>
      <t>t</t>
    </r>
    <r>
      <rPr>
        <sz val="9"/>
        <color rgb="FF000000"/>
        <rFont val="Calibri"/>
        <family val="2"/>
        <scheme val="minor"/>
      </rPr>
      <t xml:space="preserve"> = Porcentaje de redes y estaciones de monitoreo de calidad del aire en operación, en el tiempo t.</t>
    </r>
  </si>
  <si>
    <r>
      <t xml:space="preserve">PREMOO </t>
    </r>
    <r>
      <rPr>
        <vertAlign val="subscript"/>
        <sz val="9"/>
        <color rgb="FF000000"/>
        <rFont val="Calibri"/>
        <family val="2"/>
        <scheme val="minor"/>
      </rPr>
      <t>t</t>
    </r>
    <r>
      <rPr>
        <sz val="9"/>
        <color rgb="FF000000"/>
        <rFont val="Calibri"/>
        <family val="2"/>
        <scheme val="minor"/>
      </rPr>
      <t xml:space="preserve"> = Porcentaje de otras redes y estaciones de monitoreo en operación, en el tiempo t.</t>
    </r>
  </si>
  <si>
    <r>
      <t xml:space="preserve">a = ponderador de PREMOAG </t>
    </r>
    <r>
      <rPr>
        <vertAlign val="subscript"/>
        <sz val="9"/>
        <color rgb="FF000000"/>
        <rFont val="Calibri"/>
        <family val="2"/>
        <scheme val="minor"/>
      </rPr>
      <t>t</t>
    </r>
  </si>
  <si>
    <r>
      <t xml:space="preserve">b = ponderador de PREMOAR </t>
    </r>
    <r>
      <rPr>
        <vertAlign val="subscript"/>
        <sz val="9"/>
        <color rgb="FF000000"/>
        <rFont val="Calibri"/>
        <family val="2"/>
        <scheme val="minor"/>
      </rPr>
      <t>t</t>
    </r>
  </si>
  <si>
    <r>
      <t xml:space="preserve">c = ponderador de PREMOO </t>
    </r>
    <r>
      <rPr>
        <vertAlign val="subscript"/>
        <sz val="9"/>
        <color rgb="FF000000"/>
        <rFont val="Calibri"/>
        <family val="2"/>
        <scheme val="minor"/>
      </rPr>
      <t>t</t>
    </r>
  </si>
  <si>
    <t>Nota: los ponderadores serán definidos por cada CAR teniendo en cuenta la proporción de redes y estaciones de monitoreo a cargo de la autoridad ambiental regional.</t>
  </si>
  <si>
    <t>AGUA</t>
  </si>
  <si>
    <t>Información de estaciones hidrometeorológicas</t>
  </si>
  <si>
    <t>Tipo de estación</t>
  </si>
  <si>
    <t>Automáticas</t>
  </si>
  <si>
    <t>Manuales</t>
  </si>
  <si>
    <t>Instaladas</t>
  </si>
  <si>
    <t>En operación</t>
  </si>
  <si>
    <t>Estaciones hidrometeorológicas</t>
  </si>
  <si>
    <t>Número total de estaciones hidrometeorológicas instaladas:</t>
  </si>
  <si>
    <t>Número total de estaciones hidrometeorológicas en operación:</t>
  </si>
  <si>
    <t>Porcentaje de estaciones hidrometeorológicas en operación:</t>
  </si>
  <si>
    <t>AIRE</t>
  </si>
  <si>
    <t>MONITOREO DE PM10</t>
  </si>
  <si>
    <t>Número de Sistemas de Vigilancia de Calidad del Aire:</t>
  </si>
  <si>
    <t>Número de estaciones de monitoreo del aire instaladas:</t>
  </si>
  <si>
    <t>Número de Sistemas de Vigilancia de Calidad del Aire acreditados:</t>
  </si>
  <si>
    <t>Información de estaciones de monitoreo de aire</t>
  </si>
  <si>
    <t>Número de red</t>
  </si>
  <si>
    <t>Estación</t>
  </si>
  <si>
    <t>Localización</t>
  </si>
  <si>
    <t>Número de días con datos esperados al año</t>
  </si>
  <si>
    <t>Número de días con datos reportados al año</t>
  </si>
  <si>
    <t>Representatividad temporal igual o superior a 75%</t>
  </si>
  <si>
    <t>(E = D/ C). Si E≥75%, escriba 1; si no, escriba 0.</t>
  </si>
  <si>
    <t>Observaciones / comentarios</t>
  </si>
  <si>
    <t>Información de redes (Sistemas de Vigilancia de Calidad del Aire)</t>
  </si>
  <si>
    <t>Número / red</t>
  </si>
  <si>
    <t>Redes instaladas en la Corporación</t>
  </si>
  <si>
    <t>Red1</t>
  </si>
  <si>
    <t>Red2</t>
  </si>
  <si>
    <t>Red3</t>
  </si>
  <si>
    <t>Número de estaciones en operación</t>
  </si>
  <si>
    <t xml:space="preserve">Número de estaciones con representatividad temporal igual o superior a 75%. </t>
  </si>
  <si>
    <t>J</t>
  </si>
  <si>
    <t>Redes con representatividad temporal a 75%</t>
  </si>
  <si>
    <t>J = I / H. Si J≥75%, escriba 1; si no, escriba 0.</t>
  </si>
  <si>
    <t>K</t>
  </si>
  <si>
    <t>Porcentaje de redes en operación (K = ΣJ / G)</t>
  </si>
  <si>
    <t>MONITOREO DE PM2,5</t>
  </si>
  <si>
    <t>(E = D/ C) Si E≥75%, escriba 1; si no, escriba 0.</t>
  </si>
  <si>
    <t>Número de estaciones con representatividad temporal igual o superior a 75%</t>
  </si>
  <si>
    <t>SUBTOTAL RECURSO AIRE</t>
  </si>
  <si>
    <t>L</t>
  </si>
  <si>
    <t>Porcentaje de redes en operación PM 10</t>
  </si>
  <si>
    <t>M</t>
  </si>
  <si>
    <t>Porcentaje de redes en operación PM 2,5</t>
  </si>
  <si>
    <t>Subtotal monitoreo aire: Porcentaje de redes de monitoreo del recurso aire en operación (N = Promedio (M, N)</t>
  </si>
  <si>
    <t>CALCULO FINAL DEL INDICADOR</t>
  </si>
  <si>
    <t>Porcentaje</t>
  </si>
  <si>
    <t>Ponderación</t>
  </si>
  <si>
    <t>Porcentaje de estaciones hidrometeorológicas en operación</t>
  </si>
  <si>
    <t>Porcentaje de redes de monitoreo del recurso aire en operación</t>
  </si>
  <si>
    <t>Cuanto más cercano a cien por ciento, mayor es el cumplimiento de las metas que la autoridad ambiental se ha propuesto alcanzar en relación con la operación de redes y estaciones de monitoreo, en el marco del Plan de Acción de la Corporación</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</si>
  <si>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Porcentaje de redes y estaciones de monitoreo en operación (Versión 1.0).</t>
    </r>
    <r>
      <rPr>
        <sz val="9"/>
        <color rgb="FF000000"/>
        <rFont val="Calibri"/>
        <family val="2"/>
        <scheme val="minor"/>
      </rPr>
      <t xml:space="preserve"> Ministerio de Ambiente y Desarrollo Sostenible, DGOAT-SINA.</t>
    </r>
  </si>
  <si>
    <t>Porcentaje de actualización y reporte de la información en el SIAC</t>
  </si>
  <si>
    <t>Es la relación entre el número de registros que la Corporación migra a los diferentes subsistemas del SIAC y el número de registros esperados reportados en dichos subsistemas.</t>
  </si>
  <si>
    <t>El indicador mide el cumplimiento de los requerimientos de reporte por parte de las Corporaciones Autónomas Regionales a los diferentes subsistemas del SIAC.</t>
  </si>
  <si>
    <t>SIUR, RUA Manufacturero: Resolución 1023 de 2010.</t>
  </si>
  <si>
    <t>RESPEL: Resolución 1362 de 2007.</t>
  </si>
  <si>
    <t>Documentación de soporte:</t>
  </si>
  <si>
    <t>Protocolo para la utilización y reporte de información para las diferentes redes de monitoreo de calidad del aire en Colombia. Protocolo para el monitoreo y seguimiento del agua.</t>
  </si>
  <si>
    <t>100% de los registros esperados reportados en el SIAC</t>
  </si>
  <si>
    <t>El Sistema de Información Ambiental de Colombia SIAC se define como el “conjunto integrado de actores, políticas, procesos, y tecnologías involucrados en la gestión de información ambiental del país, para facilitar la generación de conocimiento, la toma de decisiones, la educación y la participación social para el desarrollo sostenible”.</t>
  </si>
  <si>
    <t>La información sobre la cantidad y calidad de los recursos naturales y del ambiente es la herramienta necesaria para una planificación y administración adecuada de dichos recursos, que garantice su sostenibilidad ambiental. En tal sentido, el SIAC ha desarrollado, entre otros subsistemas, el Sistema de Información del Recurso Hídrico – SIRH, el Sistema de información sobre Calidad de Aire – SISAIRE (IDEAM), el Sistema Nacional de Información Forestal – SNIF y el Sistema de Información sobre Uso de Recursos Naturales – SIUR. Como parte del SIUR, se dispone del Registro Único Ambiental RUA para diferentes sectores, entre otros, el manufacturero.</t>
  </si>
  <si>
    <t>En efecto, el Decreto 1076 de 2015 crea el Sistema de Información del Recurso Hídrico, SIRH, como parte del Sistema de Información Ambiental para Colombia, SIAC, en lo relacionado con aguas superficiales, subterráneas, marinas y estuarinas. El Artículo 2.2.3.5.1.9 de dicho Decreto determina como responsabilidad de las corporaciones autónomas regionales “realizar el monitoreo y seguimiento del recurso hídrico en el área de su jurisdicción, para lo cual deberán aplicar los protocolos y estándares establecidos en el SIRH”. Por su parte, los titulares de licencias, permisos y concesiones están obligados a recopilar y a suministrar sin costo alguno la información sobre la utilización del mismo a las autoridades ambientales competentes (Artículo 2.2.3.5.1.10).</t>
  </si>
  <si>
    <t>Adicionalmente, el Decreto 1076 de 2015, art. 2.2.3.4.1.1. establece que las autoridades ambientales deberán realizar el Registro de Usuarios del Recurso Hídrico de manera gradual en las cuencas hidrográficas priorizadas en su jurisdicción.</t>
  </si>
  <si>
    <t>El Sistema Nacional de Información Forestal- SNIF constituye la herramienta informática para el montaje y operación del Sistema de Información del Programa de Monitoreo de Bosques. Propende por la captura, análisis, procesamiento y difusión de la información sobre aprovechamientos de productos forestales, maderables y no maderables, movilizaciones de productos forestales maderables y no maderables, decomisos forestales, plantaciones forestales productoras y protectoras, remisiones de madera de plantaciones forestales e incendios de la cobertura vegetal.</t>
  </si>
  <si>
    <t>La Resolución 1362 de 2007 establecen los requisitos y el procedimiento para el Registro de Generadores de Residuos o Desechos Peligrosos, y la Directiva Ministerial 8000-2-25332 de 2015, por su parte, recuerda a las Corporaciones a reportar y mantener actualizada la información sobre residuos peligrosos en el marco del SIAC, en cumplimiento de la Política Ambiental para la Gestión Integral de Residuos Peligrosos.</t>
  </si>
  <si>
    <t>Porcentaje de actualización y reporte de la información al SIAC</t>
  </si>
  <si>
    <r>
      <t xml:space="preserve">PARSIAC </t>
    </r>
    <r>
      <rPr>
        <vertAlign val="subscript"/>
        <sz val="9"/>
        <color rgb="FF000000"/>
        <rFont val="Calibri"/>
        <family val="2"/>
        <scheme val="minor"/>
      </rPr>
      <t>t</t>
    </r>
    <r>
      <rPr>
        <sz val="9"/>
        <color rgb="FF000000"/>
        <rFont val="Calibri"/>
        <family val="2"/>
        <scheme val="minor"/>
      </rPr>
      <t xml:space="preserve"> = Porcentaje de actualización y reporte de la información al SIAC, en el tiempo t.</t>
    </r>
  </si>
  <si>
    <r>
      <t xml:space="preserve">PARS </t>
    </r>
    <r>
      <rPr>
        <vertAlign val="subscript"/>
        <sz val="9"/>
        <color rgb="FF000000"/>
        <rFont val="Calibri"/>
        <family val="2"/>
        <scheme val="minor"/>
      </rPr>
      <t>i</t>
    </r>
    <r>
      <rPr>
        <sz val="9"/>
        <color rgb="FF000000"/>
        <rFont val="Calibri"/>
        <family val="2"/>
        <scheme val="minor"/>
      </rPr>
      <t xml:space="preserve"> = Porcentaje de actualización y reporte de la información al Subsistema </t>
    </r>
    <r>
      <rPr>
        <i/>
        <sz val="9"/>
        <color rgb="FF000000"/>
        <rFont val="Calibri"/>
        <family val="2"/>
        <scheme val="minor"/>
      </rPr>
      <t>i</t>
    </r>
    <r>
      <rPr>
        <sz val="9"/>
        <color rgb="FF000000"/>
        <rFont val="Calibri"/>
        <family val="2"/>
        <scheme val="minor"/>
      </rPr>
      <t xml:space="preserve"> del SIAC, en el tiempo t</t>
    </r>
  </si>
  <si>
    <t>i = SIRH, SISAIRE, SNIF, RESPEL.</t>
  </si>
  <si>
    <r>
      <t>a</t>
    </r>
    <r>
      <rPr>
        <vertAlign val="subscript"/>
        <sz val="9"/>
        <color rgb="FF000000"/>
        <rFont val="Calibri"/>
        <family val="2"/>
        <scheme val="minor"/>
      </rPr>
      <t xml:space="preserve">i = </t>
    </r>
    <r>
      <rPr>
        <sz val="9"/>
        <color rgb="FF000000"/>
        <rFont val="Calibri"/>
        <family val="2"/>
        <scheme val="minor"/>
      </rPr>
      <t>Ponderación correspondiente a cada subsistema del SIAC (SIRH, SISAIRE, SNIF, RESPEL, SIUR). La suma de los ponderadores es igual a 1.</t>
    </r>
  </si>
  <si>
    <t>Nota: los ponderadores para cada subsistema son establecidos por cada Corporación con base en los registros esperados o estimados por cada subsistema.</t>
  </si>
  <si>
    <t>En términos generales, el porcentaje de actualización y reporte de la información por cada subsistema se calcula de la siguiente manera:</t>
  </si>
  <si>
    <t>Porcentaje de actualización y reporte de la información por cada subsistema</t>
  </si>
  <si>
    <r>
      <t xml:space="preserve">PARS </t>
    </r>
    <r>
      <rPr>
        <vertAlign val="subscript"/>
        <sz val="9"/>
        <color rgb="FF000000"/>
        <rFont val="Calibri"/>
        <family val="2"/>
        <scheme val="minor"/>
      </rPr>
      <t>it</t>
    </r>
    <r>
      <rPr>
        <sz val="9"/>
        <color rgb="FF000000"/>
        <rFont val="Calibri"/>
        <family val="2"/>
        <scheme val="minor"/>
      </rPr>
      <t xml:space="preserve"> = Porcentaje de actualización y reporte de la información al Subsistema </t>
    </r>
    <r>
      <rPr>
        <i/>
        <sz val="9"/>
        <color rgb="FF000000"/>
        <rFont val="Calibri"/>
        <family val="2"/>
        <scheme val="minor"/>
      </rPr>
      <t>i</t>
    </r>
    <r>
      <rPr>
        <sz val="9"/>
        <color rgb="FF000000"/>
        <rFont val="Calibri"/>
        <family val="2"/>
        <scheme val="minor"/>
      </rPr>
      <t xml:space="preserve"> del SIAC, en el tiempo t.</t>
    </r>
  </si>
  <si>
    <r>
      <t xml:space="preserve">RRS </t>
    </r>
    <r>
      <rPr>
        <vertAlign val="subscript"/>
        <sz val="9"/>
        <color rgb="FF000000"/>
        <rFont val="Calibri"/>
        <family val="2"/>
        <scheme val="minor"/>
      </rPr>
      <t>it</t>
    </r>
    <r>
      <rPr>
        <sz val="9"/>
        <color rgb="FF000000"/>
        <rFont val="Calibri"/>
        <family val="2"/>
        <scheme val="minor"/>
      </rPr>
      <t xml:space="preserve"> = Número de registros reportados en el subsistema </t>
    </r>
    <r>
      <rPr>
        <i/>
        <sz val="9"/>
        <color rgb="FF000000"/>
        <rFont val="Calibri"/>
        <family val="2"/>
        <scheme val="minor"/>
      </rPr>
      <t>i</t>
    </r>
    <r>
      <rPr>
        <sz val="9"/>
        <color rgb="FF000000"/>
        <rFont val="Calibri"/>
        <family val="2"/>
        <scheme val="minor"/>
      </rPr>
      <t xml:space="preserve"> del SIAC, en el tiempo t.</t>
    </r>
  </si>
  <si>
    <r>
      <t xml:space="preserve">RES </t>
    </r>
    <r>
      <rPr>
        <vertAlign val="subscript"/>
        <sz val="9"/>
        <color rgb="FF000000"/>
        <rFont val="Calibri"/>
        <family val="2"/>
        <scheme val="minor"/>
      </rPr>
      <t>it</t>
    </r>
    <r>
      <rPr>
        <sz val="9"/>
        <color rgb="FF000000"/>
        <rFont val="Calibri"/>
        <family val="2"/>
        <scheme val="minor"/>
      </rPr>
      <t xml:space="preserve"> = Número de registros esperados reportados en el subsistema </t>
    </r>
    <r>
      <rPr>
        <i/>
        <sz val="9"/>
        <color rgb="FF000000"/>
        <rFont val="Calibri"/>
        <family val="2"/>
        <scheme val="minor"/>
      </rPr>
      <t>i</t>
    </r>
    <r>
      <rPr>
        <sz val="9"/>
        <color rgb="FF000000"/>
        <rFont val="Calibri"/>
        <family val="2"/>
        <scheme val="minor"/>
      </rPr>
      <t xml:space="preserve"> del SIAC, en el tiempo t.</t>
    </r>
  </si>
  <si>
    <r>
      <t>i</t>
    </r>
    <r>
      <rPr>
        <sz val="9"/>
        <color rgb="FF000000"/>
        <rFont val="Calibri"/>
        <family val="2"/>
        <scheme val="minor"/>
      </rPr>
      <t xml:space="preserve"> = SIRH, SISAIRE, SNIF</t>
    </r>
  </si>
  <si>
    <t>Para el caso de la información validada por parte de las corporaciones autónomas regionales, el porcentaje de actualización y reporte de la información por cada subsistema se calcula de la siguiente manera:</t>
  </si>
  <si>
    <t>Porcentaje de actualización y reporte de la información por cada subsistema (información validada)</t>
  </si>
  <si>
    <r>
      <t xml:space="preserve">PARSIV </t>
    </r>
    <r>
      <rPr>
        <vertAlign val="subscript"/>
        <sz val="9"/>
        <color rgb="FF000000"/>
        <rFont val="Calibri"/>
        <family val="2"/>
        <scheme val="minor"/>
      </rPr>
      <t>it</t>
    </r>
    <r>
      <rPr>
        <sz val="9"/>
        <color rgb="FF000000"/>
        <rFont val="Calibri"/>
        <family val="2"/>
        <scheme val="minor"/>
      </rPr>
      <t xml:space="preserve"> = Porcentaje de actualización y reporte de la información por cada subsistema (información validada), en el tiempo t.</t>
    </r>
  </si>
  <si>
    <r>
      <t xml:space="preserve">RVS </t>
    </r>
    <r>
      <rPr>
        <vertAlign val="subscript"/>
        <sz val="9"/>
        <color rgb="FF000000"/>
        <rFont val="Calibri"/>
        <family val="2"/>
        <scheme val="minor"/>
      </rPr>
      <t>it</t>
    </r>
    <r>
      <rPr>
        <sz val="9"/>
        <color rgb="FF000000"/>
        <rFont val="Calibri"/>
        <family val="2"/>
        <scheme val="minor"/>
      </rPr>
      <t xml:space="preserve"> = Número de registros validados en el Subsistema </t>
    </r>
    <r>
      <rPr>
        <i/>
        <sz val="9"/>
        <color rgb="FF000000"/>
        <rFont val="Calibri"/>
        <family val="2"/>
        <scheme val="minor"/>
      </rPr>
      <t>i</t>
    </r>
    <r>
      <rPr>
        <sz val="9"/>
        <color rgb="FF000000"/>
        <rFont val="Calibri"/>
        <family val="2"/>
        <scheme val="minor"/>
      </rPr>
      <t xml:space="preserve"> del SIAC relacionados con las funciones en gestión de información de la Corporación, en el tiempo t.</t>
    </r>
  </si>
  <si>
    <r>
      <t xml:space="preserve">RTVS </t>
    </r>
    <r>
      <rPr>
        <vertAlign val="subscript"/>
        <sz val="9"/>
        <color rgb="FF000000"/>
        <rFont val="Calibri"/>
        <family val="2"/>
        <scheme val="minor"/>
      </rPr>
      <t>it</t>
    </r>
    <r>
      <rPr>
        <sz val="9"/>
        <color rgb="FF000000"/>
        <rFont val="Calibri"/>
        <family val="2"/>
        <scheme val="minor"/>
      </rPr>
      <t xml:space="preserve"> = Número de registros totales a ser validados por la Corporación en el Subsistema </t>
    </r>
    <r>
      <rPr>
        <i/>
        <sz val="9"/>
        <color rgb="FF000000"/>
        <rFont val="Calibri"/>
        <family val="2"/>
        <scheme val="minor"/>
      </rPr>
      <t>i</t>
    </r>
    <r>
      <rPr>
        <sz val="9"/>
        <color rgb="FF000000"/>
        <rFont val="Calibri"/>
        <family val="2"/>
        <scheme val="minor"/>
      </rPr>
      <t xml:space="preserve"> del SIAC, en el tiempo t.</t>
    </r>
  </si>
  <si>
    <t>i = SIRH, SISAIRE, SNIF, RESPEL, SIUR (RUA).</t>
  </si>
  <si>
    <t>Información reportada por las CAR:</t>
  </si>
  <si>
    <t>Subsistema</t>
  </si>
  <si>
    <t>SIRH</t>
  </si>
  <si>
    <t>SISAIRE</t>
  </si>
  <si>
    <t>SNIF</t>
  </si>
  <si>
    <t>Número de registros reportados en el año (RRS)</t>
  </si>
  <si>
    <t>Número de registros esperados reportados en el año (RES)</t>
  </si>
  <si>
    <t>Porcentaje de actualización y reporte por subsistema (C = B / A) (PARS)</t>
  </si>
  <si>
    <t>RESPEL</t>
  </si>
  <si>
    <t>SIUR (RUA)</t>
  </si>
  <si>
    <t>Número de registros validados al año (RVS)</t>
  </si>
  <si>
    <t>Número de registros totales a ser validados por la Corporación (RTVS)</t>
  </si>
  <si>
    <t>Cuanto más cercano a cien por ciento, mayor es el cumplimiento de los requerimientos de reporte por parte de las Corporaciones Autónomas Regionales a los diferentes subsistemas del SIAC.</t>
  </si>
  <si>
    <t>Se pueden presentar situaciones de orden operativo, político y social que pueden afectar la ejecución de los presupuestos y el cumplimiento de los cronogramas definidos en el Plan de Acción de la Corporación. Pueden existir limitaciones de la información disponible para el cálculo de los indicadores.</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</si>
  <si>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actualización y reporte de la información en el SIAC (Versión 1.0).</t>
    </r>
    <r>
      <rPr>
        <sz val="9"/>
        <color rgb="FF000000"/>
        <rFont val="Calibri"/>
        <family val="2"/>
        <scheme val="minor"/>
      </rPr>
      <t xml:space="preserve"> Ministerio de Ambiente y Desarrollo Sostenible, DGOAT-SINA.</t>
    </r>
  </si>
  <si>
    <t>Ejecución de Acciones en Educación Ambiental</t>
  </si>
  <si>
    <t>Es el porcentaje de avance en la implementación, por parte de la corporación autónoma regional, de las acciones relacionadas con la Educación Ambiental en el marco del Plan de Acción.</t>
  </si>
  <si>
    <t>El indicador mide el cumplimiento de las metas relacionadas con la educación ambiental, en el marco del Plan de Acción de la Corporación. De esta manera, contribuye a la implementación de Política de Educación Ambiental a nivel regional.</t>
  </si>
  <si>
    <t>Ley 1549 de 2012, Educación Ambiental</t>
  </si>
  <si>
    <t>Política Nacional de Educación Ambiental</t>
  </si>
  <si>
    <t>La Ley 1549 de 2012 define la Educación Ambiental como “un proceso dinámico y participativo, orientado a la formación de personas críticas y reflexivas, con capacidades para comprender las problemáticas ambientales de sus contextos (locales, regionales y nacionales)”.</t>
  </si>
  <si>
    <t>La mencionada Ley, en su artículo 5º., establece como una “responsabilidad de las entidades territoriales y de las Corporaciones Autónomas Regionales y de Desarrollo Sostenible: a) Desarrollar instrumentos técnico-políticos, que contextualicen la política y la adecúen a las necesidades de construcción de una cultura ambiental para el desarrollo sostenible; b) Promover la creación de estrategias económicas, fondos u otros mecanismos de cooperación, que permitan viabilizar la instalación efectiva del tema en el territorio, y c) Generar y apoyar mecanismos para el cumplimiento, seguimiento y control, de las acciones que se implementen en este marco político”.</t>
  </si>
  <si>
    <t>Adicionalmente, el artículo 9º. estipula que todos los sectores e instituciones que conforman el Sistema Nacional Ambiental (SINA), deben participar técnica y financieramente, en: a) el acompañamiento e implementación de los PRAE, de los Proyectos Ciudadanos y Comunitarios de Educación Ambiental (Proceda), y de los Comités Técnicos Interinstitucionales de Educación Ambiental (Cidea); estos últimos, concebidos como mecanismos de apoyo a la articulación e institucionalización del tema y de cualificación de la gestión ambiental del territorio, y b) En la puesta en marcha de las demás estrategias de esta política, en el marco de los propósitos de construcción de un proyecto de sociedad ambientalmente sostenible.</t>
  </si>
  <si>
    <t>El Artículo 2.2.8.6.1.3 del Decreto 1076 de 2015 establece que “las Corporaciones promoverán en los municipios y distritos, programas de educación ambiental y de planificación, acorde con la Constitución, la Ley 99 de 1993, la Ley 152 de 1994 y las normas que las complementen o adicione”.</t>
  </si>
  <si>
    <t>Las principales acciones relacionadas con la Educación Ambiental son las siguientes:</t>
  </si>
  <si>
    <r>
      <t>a)</t>
    </r>
    <r>
      <rPr>
        <sz val="7"/>
        <color rgb="FF000000"/>
        <rFont val="Times New Roman"/>
        <family val="1"/>
      </rPr>
      <t xml:space="preserve">      </t>
    </r>
    <r>
      <rPr>
        <sz val="9"/>
        <color rgb="FF000000"/>
        <rFont val="Calibri"/>
        <family val="2"/>
        <scheme val="minor"/>
      </rPr>
      <t>Participación en los Comités Técnicos Interinstitucionales de Educación Ambiental (Cidea).</t>
    </r>
  </si>
  <si>
    <r>
      <t>b)</t>
    </r>
    <r>
      <rPr>
        <sz val="7"/>
        <color rgb="FF000000"/>
        <rFont val="Times New Roman"/>
        <family val="1"/>
      </rPr>
      <t xml:space="preserve">      </t>
    </r>
    <r>
      <rPr>
        <sz val="9"/>
        <color rgb="FF000000"/>
        <rFont val="Calibri"/>
        <family val="2"/>
        <scheme val="minor"/>
      </rPr>
      <t>Suscripción de acuerdos o alianzas para la implementación de estrategias de educación ambiental.</t>
    </r>
  </si>
  <si>
    <r>
      <t>c)</t>
    </r>
    <r>
      <rPr>
        <sz val="7"/>
        <color rgb="FF000000"/>
        <rFont val="Times New Roman"/>
        <family val="1"/>
      </rPr>
      <t xml:space="preserve">       </t>
    </r>
    <r>
      <rPr>
        <sz val="9"/>
        <color rgb="FF000000"/>
        <rFont val="Calibri"/>
        <family val="2"/>
        <scheme val="minor"/>
      </rPr>
      <t>Acompañamiento e implementación de los PRAE.</t>
    </r>
  </si>
  <si>
    <r>
      <t>d)</t>
    </r>
    <r>
      <rPr>
        <sz val="7"/>
        <color rgb="FF000000"/>
        <rFont val="Times New Roman"/>
        <family val="1"/>
      </rPr>
      <t xml:space="preserve">      </t>
    </r>
    <r>
      <rPr>
        <sz val="9"/>
        <color rgb="FF000000"/>
        <rFont val="Calibri"/>
        <family val="2"/>
        <scheme val="minor"/>
      </rPr>
      <t>Acompañamiento de los Proyectos Ciudadanos y Comunitarios de Educación Ambiental (Proceda).</t>
    </r>
  </si>
  <si>
    <r>
      <t>e)</t>
    </r>
    <r>
      <rPr>
        <sz val="7"/>
        <color rgb="FF000000"/>
        <rFont val="Times New Roman"/>
        <family val="1"/>
      </rPr>
      <t xml:space="preserve">      </t>
    </r>
    <r>
      <rPr>
        <sz val="9"/>
        <color rgb="FF000000"/>
        <rFont val="Calibri"/>
        <family val="2"/>
        <scheme val="minor"/>
      </rPr>
      <t>Acciones específicas de educación ambiental a cargo de las autoridades ambientales regionales.</t>
    </r>
  </si>
  <si>
    <t>El listado anterior es indicativo. Las acciones a ser realizadas por las Corporaciones deben corresponder a las competencias otorgadas por la normatividad y en el marco de sus funciones misionales.</t>
  </si>
  <si>
    <t>Ejecución de acciones relacionadas con la Educación Ambiental</t>
  </si>
  <si>
    <r>
      <t xml:space="preserve">ETAEA </t>
    </r>
    <r>
      <rPr>
        <vertAlign val="subscript"/>
        <sz val="9"/>
        <color rgb="FF000000"/>
        <rFont val="Calibri"/>
        <family val="2"/>
        <scheme val="minor"/>
      </rPr>
      <t>t</t>
    </r>
    <r>
      <rPr>
        <sz val="9"/>
        <color rgb="FF000000"/>
        <rFont val="Calibri"/>
        <family val="2"/>
        <scheme val="minor"/>
      </rPr>
      <t xml:space="preserve"> = Ejecución total de acciones en Educación Ambiental, en el tiempo t.</t>
    </r>
  </si>
  <si>
    <r>
      <t xml:space="preserve">EAEA </t>
    </r>
    <r>
      <rPr>
        <vertAlign val="subscript"/>
        <sz val="9"/>
        <color rgb="FF000000"/>
        <rFont val="Calibri"/>
        <family val="2"/>
        <scheme val="minor"/>
      </rPr>
      <t>1t</t>
    </r>
    <r>
      <rPr>
        <sz val="9"/>
        <color rgb="FF000000"/>
        <rFont val="Calibri"/>
        <family val="2"/>
        <scheme val="minor"/>
      </rPr>
      <t xml:space="preserve"> = Ejecución de acción </t>
    </r>
    <r>
      <rPr>
        <i/>
        <sz val="9"/>
        <color rgb="FF000000"/>
        <rFont val="Calibri"/>
        <family val="2"/>
        <scheme val="minor"/>
      </rPr>
      <t>1</t>
    </r>
    <r>
      <rPr>
        <sz val="9"/>
        <color rgb="FF000000"/>
        <rFont val="Calibri"/>
        <family val="2"/>
        <scheme val="minor"/>
      </rPr>
      <t xml:space="preserve"> relacionada con la Educación Ambiental, en el tiempo t.</t>
    </r>
  </si>
  <si>
    <r>
      <t xml:space="preserve">EAEA </t>
    </r>
    <r>
      <rPr>
        <vertAlign val="subscript"/>
        <sz val="9"/>
        <color rgb="FF000000"/>
        <rFont val="Calibri"/>
        <family val="2"/>
        <scheme val="minor"/>
      </rPr>
      <t>2t</t>
    </r>
    <r>
      <rPr>
        <sz val="9"/>
        <color rgb="FF000000"/>
        <rFont val="Calibri"/>
        <family val="2"/>
        <scheme val="minor"/>
      </rPr>
      <t xml:space="preserve"> = Ejecución de acción </t>
    </r>
    <r>
      <rPr>
        <i/>
        <sz val="9"/>
        <color rgb="FF000000"/>
        <rFont val="Calibri"/>
        <family val="2"/>
        <scheme val="minor"/>
      </rPr>
      <t>2</t>
    </r>
    <r>
      <rPr>
        <sz val="9"/>
        <color rgb="FF000000"/>
        <rFont val="Calibri"/>
        <family val="2"/>
        <scheme val="minor"/>
      </rPr>
      <t xml:space="preserve"> relacionada con la Educación Ambiental, en el tiempo t.</t>
    </r>
  </si>
  <si>
    <r>
      <t xml:space="preserve">EAEU </t>
    </r>
    <r>
      <rPr>
        <vertAlign val="subscript"/>
        <sz val="9"/>
        <color rgb="FF000000"/>
        <rFont val="Calibri"/>
        <family val="2"/>
        <scheme val="minor"/>
      </rPr>
      <t>nt</t>
    </r>
    <r>
      <rPr>
        <sz val="9"/>
        <color rgb="FF000000"/>
        <rFont val="Calibri"/>
        <family val="2"/>
        <scheme val="minor"/>
      </rPr>
      <t xml:space="preserve"> = Ejecución de acción </t>
    </r>
    <r>
      <rPr>
        <i/>
        <sz val="9"/>
        <color rgb="FF000000"/>
        <rFont val="Calibri"/>
        <family val="2"/>
        <scheme val="minor"/>
      </rPr>
      <t>n</t>
    </r>
    <r>
      <rPr>
        <sz val="9"/>
        <color rgb="FF000000"/>
        <rFont val="Calibri"/>
        <family val="2"/>
        <scheme val="minor"/>
      </rPr>
      <t xml:space="preserve"> relacionada con la Educación Ambiental, en el tiempo t.</t>
    </r>
  </si>
  <si>
    <r>
      <t>a = ponderador de EAEA</t>
    </r>
    <r>
      <rPr>
        <vertAlign val="subscript"/>
        <sz val="9"/>
        <color rgb="FF000000"/>
        <rFont val="Calibri"/>
        <family val="2"/>
        <scheme val="minor"/>
      </rPr>
      <t>1</t>
    </r>
  </si>
  <si>
    <r>
      <t>b = ponderador de EAEA</t>
    </r>
    <r>
      <rPr>
        <vertAlign val="subscript"/>
        <sz val="9"/>
        <color rgb="FF000000"/>
        <rFont val="Calibri"/>
        <family val="2"/>
        <scheme val="minor"/>
      </rPr>
      <t>2</t>
    </r>
  </si>
  <si>
    <r>
      <t>z = ponderador de EAEA</t>
    </r>
    <r>
      <rPr>
        <vertAlign val="subscript"/>
        <sz val="9"/>
        <color rgb="FF000000"/>
        <rFont val="Calibri"/>
        <family val="2"/>
        <scheme val="minor"/>
      </rPr>
      <t>n</t>
    </r>
  </si>
  <si>
    <t>Ejecución presupuestal de acciones relacionadas con la Educación Ambiental</t>
  </si>
  <si>
    <r>
      <t xml:space="preserve">EPAEA </t>
    </r>
    <r>
      <rPr>
        <vertAlign val="subscript"/>
        <sz val="9"/>
        <color rgb="FF000000"/>
        <rFont val="Calibri"/>
        <family val="2"/>
        <scheme val="minor"/>
      </rPr>
      <t>t</t>
    </r>
    <r>
      <rPr>
        <sz val="9"/>
        <color rgb="FF000000"/>
        <rFont val="Calibri"/>
        <family val="2"/>
        <scheme val="minor"/>
      </rPr>
      <t xml:space="preserve"> = Ejecución presupuestal de acciones en Educación Ambiental, en el año t.</t>
    </r>
  </si>
  <si>
    <r>
      <t xml:space="preserve">CAEA </t>
    </r>
    <r>
      <rPr>
        <vertAlign val="subscript"/>
        <sz val="9"/>
        <color rgb="FF000000"/>
        <rFont val="Calibri"/>
        <family val="2"/>
        <scheme val="minor"/>
      </rPr>
      <t>it</t>
    </r>
    <r>
      <rPr>
        <sz val="9"/>
        <color rgb="FF000000"/>
        <rFont val="Calibri"/>
        <family val="2"/>
        <scheme val="minor"/>
      </rPr>
      <t xml:space="preserve"> = Compromisos correspondientes a la acción i en Educación Ambiental, en el año t.</t>
    </r>
  </si>
  <si>
    <r>
      <t xml:space="preserve">PDAEA </t>
    </r>
    <r>
      <rPr>
        <vertAlign val="subscript"/>
        <sz val="9"/>
        <color rgb="FF000000"/>
        <rFont val="Calibri"/>
        <family val="2"/>
        <scheme val="minor"/>
      </rPr>
      <t>it</t>
    </r>
    <r>
      <rPr>
        <sz val="9"/>
        <color rgb="FF000000"/>
        <rFont val="Calibri"/>
        <family val="2"/>
        <scheme val="minor"/>
      </rPr>
      <t xml:space="preserve"> = Presupuesto definitivo a la acción i en Educación Ambiental, en el año t.</t>
    </r>
  </si>
  <si>
    <t>Número de acciones relacionadas con Educación Ambiental</t>
  </si>
  <si>
    <t>Ejecución física y financiera de acciones relacionadas con la Educación Ambiental</t>
  </si>
  <si>
    <t>Cálculo de la ejecución física y financiera de acciones relacionadas con la Educación Ambiental</t>
  </si>
  <si>
    <t>Ejecución Anual (%)</t>
  </si>
  <si>
    <t>Cuanto más cercano a cien por ciento, mayor es el cumplimiento de las metas relacionadas con la Educación Ambiental, en el marco del Plan de Acción de la Corporación.</t>
  </si>
  <si>
    <r>
      <t>Hoja Metodológica de referencia:</t>
    </r>
    <r>
      <rPr>
        <sz val="9"/>
        <color rgb="FF000000"/>
        <rFont val="Calibri"/>
        <family val="2"/>
        <scheme val="minor"/>
      </rPr>
      <t xml:space="preserve"> MADS (2016). </t>
    </r>
    <r>
      <rPr>
        <i/>
        <sz val="9"/>
        <color rgb="FF000000"/>
        <rFont val="Calibri"/>
        <family val="2"/>
        <scheme val="minor"/>
      </rPr>
      <t>Hoja metodológica Ejecución de Acciones en Educación Ambiental (Versión 1.0).</t>
    </r>
    <r>
      <rPr>
        <sz val="9"/>
        <color rgb="FF000000"/>
        <rFont val="Calibri"/>
        <family val="2"/>
        <scheme val="minor"/>
      </rPr>
      <t xml:space="preserve"> Ministerio de Ambiente y Desarrollo Sostenible MADS, DGOAT-SINA.</t>
    </r>
  </si>
  <si>
    <t>1.</t>
  </si>
  <si>
    <t>Porcentaje de avance en la formulación y/o ajuste de los Planes de Ordenación y Manejo de Cuencas (POMCAS), Planes de Manejo de Acuíferos (PMA) y Planes de Manejo de Microcuencas (PMM)</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</si>
  <si>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</si>
  <si>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</si>
  <si>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</si>
  <si>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</si>
  <si>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</si>
  <si>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</si>
  <si>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</si>
  <si>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</si>
  <si>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</si>
  <si>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</si>
  <si>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</si>
  <si>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</si>
  <si>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</si>
  <si>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</si>
  <si>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</si>
  <si>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</si>
  <si>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</si>
  <si>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</si>
  <si>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</si>
  <si>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</si>
  <si>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</si>
  <si>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</si>
  <si>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</si>
  <si>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</si>
  <si>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</si>
  <si>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</si>
  <si>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Marinas, costeras  e Insulares (*)</t>
  </si>
  <si>
    <t>Porcentaje de sectores con acompañamiento para la reconversión hacia sistemas sostenibles de producción (PSA = SA / SPA)</t>
  </si>
  <si>
    <t>Sectores acompañados en la reconversión hacia sistemas sostenibles de producción (SA)</t>
  </si>
  <si>
    <t>BORRE O AGREGUE REDES</t>
  </si>
  <si>
    <t>Porcentaje de información validada por la Corporación (PARSIV ) (C = B / A)</t>
  </si>
  <si>
    <t>Observación</t>
  </si>
  <si>
    <t>No. Hoja</t>
  </si>
  <si>
    <t>Indicador</t>
  </si>
  <si>
    <t>Observaciones para la mejora de la aplicación de los indicadores</t>
  </si>
  <si>
    <t xml:space="preserve">Año </t>
  </si>
  <si>
    <t>VOLVER AL INDICE</t>
  </si>
  <si>
    <t>Área (Has)</t>
  </si>
  <si>
    <t>Hoja de fórmulas</t>
  </si>
  <si>
    <t>Relación de páramos delimitados por el MADS, con zonificación y régimen de usos adoptados por la CAR</t>
  </si>
  <si>
    <t>Nombre del páramo</t>
  </si>
  <si>
    <t>Estado de avance</t>
  </si>
  <si>
    <t>* Valor Acumulado</t>
  </si>
  <si>
    <t>Variable  (*)</t>
  </si>
  <si>
    <t>Minero</t>
  </si>
  <si>
    <t>*</t>
  </si>
  <si>
    <t>Talleres de contrucción del plan regional</t>
  </si>
  <si>
    <t>Participación en FIMA</t>
  </si>
  <si>
    <t>Estado de avance a 31 de diciembre de 2015 (%)</t>
  </si>
  <si>
    <t>Promedio de Planes en ejecución</t>
  </si>
  <si>
    <t>Número total de áreas protegidas regionales declaradas, homologadas o recategorizadas, e inscritas en el RUNAP a 31/12/2019 (número)</t>
  </si>
  <si>
    <t>Superficie total de áreas protegidas regionales declaradas, homologadas o recategorizadas, inscritas en el RUNAP a 31/12/2019 (ha) (C+D)</t>
  </si>
  <si>
    <t>Inscrita en el RUNAP</t>
  </si>
  <si>
    <t>Inscritas en el RUNAP</t>
  </si>
  <si>
    <t>Resumen del Indicador</t>
  </si>
  <si>
    <t>Meta de áreas inscritas en el RUNAP (ha)</t>
  </si>
  <si>
    <t>Superficie total de áreas protegidas regionales declaradas, homologadas o recategorizadas, inscritas en el RUNAP</t>
  </si>
  <si>
    <t xml:space="preserve">Meta total de nuevas áreas protegidas a ser inscritas en el RUNAP en el cuatrienio (ha) </t>
  </si>
  <si>
    <t>Superfice de avance anual (ha)</t>
  </si>
  <si>
    <t>Avance Cuatrienal (%)</t>
  </si>
  <si>
    <t>Ponderador acumulado esperado en cada fase</t>
  </si>
  <si>
    <t>Ponderaciones de referencia</t>
  </si>
  <si>
    <t>Formulación</t>
  </si>
  <si>
    <t>Aprestamiento</t>
  </si>
  <si>
    <t>Logística</t>
  </si>
  <si>
    <t>Oficina</t>
  </si>
  <si>
    <t>Preparación</t>
  </si>
  <si>
    <t>Avance (Ponderación acumulada)</t>
  </si>
  <si>
    <t>Meta de avance anual (%)</t>
  </si>
  <si>
    <t>Determinación de la Meta de Avance Anual</t>
  </si>
  <si>
    <t>Hectareas</t>
  </si>
  <si>
    <t>Avance esperado (Ponderación acumulada)</t>
  </si>
  <si>
    <t>Meta de avance anual (ha)</t>
  </si>
  <si>
    <t>Meta de avance anual ponderada (ha)</t>
  </si>
  <si>
    <t>Descripción</t>
  </si>
  <si>
    <t xml:space="preserve">Definición de la unidad objeto de ordenación forestal
Asignación de recursos
Inicio del proceso pre y contractual
Conformación del equipo de trabajo  </t>
  </si>
  <si>
    <t>Actividades de referencia  en el proceso de formulación, implementación y seguimiento del Plan de Ordenación Forestal</t>
  </si>
  <si>
    <t>Consulta, validación y digitalización de información secundaria
Procesamiento e interpretación de imágenes satelitales
Generación de información cartográfica preliminar
Definición de metodología para levantamiento de información primaria</t>
  </si>
  <si>
    <t>Socialización y acuerdos con actores regionales y locales
Chequeo cartografía en campo
Desarrollo del premuestreo, ajuste y realización del inventario forestal
Desarrollo del componente fauna
Desarrollo del componente socieconomico
Desarrollo del componente suelos</t>
  </si>
  <si>
    <t xml:space="preserve">Procesamiento y análisis de información primaria
Propuesta zonificación inicial de la UOF
Propuesta de zonificación de las áreas forestales que componen la UOF
 Formulación del POF para cada área forestal de la UOF
</t>
  </si>
  <si>
    <t>Socialización versión premiminar de los POF
Armonización de los POF con actores locales y regionales
Edición y ajustes de los POF</t>
  </si>
  <si>
    <t>Aprobación de los POF por el Consejo Directivo de la autoridad ambiental competente</t>
  </si>
  <si>
    <t>Aprobación</t>
  </si>
  <si>
    <t>Seguimiento de permisos de vertimiento de agua</t>
  </si>
  <si>
    <t>Porcentaje de autorizaciones ambientales con seguimiento (promedio simple)</t>
  </si>
  <si>
    <t>Cálculo del indicador global</t>
  </si>
  <si>
    <t>% Seguimiento</t>
  </si>
  <si>
    <t>Seguimiento ponderado</t>
  </si>
  <si>
    <t>Tiempo Promedio</t>
  </si>
  <si>
    <t>Meta anual</t>
  </si>
  <si>
    <t>% Meta alcanzada</t>
  </si>
  <si>
    <t>Porcentaje de actualización y reporte de la información al SIAC (Promedio)</t>
  </si>
  <si>
    <t>NO APLICA</t>
  </si>
  <si>
    <t>SI APLICA</t>
  </si>
  <si>
    <t>NO SE REPORTA</t>
  </si>
  <si>
    <t>SI SE REPORTA</t>
  </si>
  <si>
    <t xml:space="preserve"> ¿El Indicador aplica por las especificades ambientales regionales? </t>
  </si>
  <si>
    <t>Acuerdo Consejo Directivo</t>
  </si>
  <si>
    <t xml:space="preserve">Observaciones </t>
  </si>
  <si>
    <t>Acuerdo</t>
  </si>
  <si>
    <t>Programas</t>
  </si>
  <si>
    <t>Programa o Proyecto asociado</t>
  </si>
  <si>
    <t>PAFP t =</t>
  </si>
  <si>
    <t>(17)
OBSERVACIONES</t>
  </si>
  <si>
    <t>(4)
AVANCE DE LA META
FISICA  (Según unidad de medida y Periodo Evaluado)</t>
  </si>
  <si>
    <t xml:space="preserve">(5)
PORCENTAJE DE AVANCE 
FISICO %
(Periodo Evaluado)
((4/3)*100)
</t>
  </si>
  <si>
    <t>(5-A) DESCRIPCIÓN DEL AVANCE 
(Se puede describir en texto lo que se desea aclarar del avance númerico respectivo)</t>
  </si>
  <si>
    <t>(6)
PORCENTAJE DE AVANCE PROCESO DE GESTION DE LA META
FISICA
(aplica unicamente para el informe del primer semestre)</t>
  </si>
  <si>
    <t>(8)
ACUMULADO DE LA META
FISICA
(Según unidad de medida)</t>
  </si>
  <si>
    <t xml:space="preserve">(9)
PORCENTAJE DE AVANCE 
FISICO ACUMULADO %
((8/7)*100)
</t>
  </si>
  <si>
    <t xml:space="preserve">(12)
AVANCE DE LA META
FINANCIERA
(Recursos comprometidos periodo Evaluado)
($)
</t>
  </si>
  <si>
    <t>(13)                           PORCENTAJE DEL AVANCE 
FINANCIERO %
(Periodo Evaluado)
((12/11)*100)</t>
  </si>
  <si>
    <t xml:space="preserve">(15)
ACUMULADO DE LA META
FINANCIERA
$
</t>
  </si>
  <si>
    <t xml:space="preserve">(16)
PORCENTAJE DE  AVANCE FINANCIERO ACUMULADO %
((15/14)*100)
</t>
  </si>
  <si>
    <t>(18) TOTAL METAS FISICAS Y FINANCIERAS*</t>
  </si>
  <si>
    <t>*El total de las metas fisicas y financieras sera el resultado de una sumatoria, promedios aritmetico o ponderados segun el caso y solo se aplica para las columnas relacionadas con porcentajes de avance y metas financieras.</t>
  </si>
  <si>
    <t>ANEXO No. 2.PROTOCOLO O GUÍA DE DILIGENCIAMIENTO</t>
  </si>
  <si>
    <t xml:space="preserve">MATRIZ DE SEGUIMIENTO A LA GESTIÓN Y DE AVANCE EN LAS METAS FÍSICAS Y FINANCIERAS DEL PLAN DE ACCIÓN </t>
  </si>
  <si>
    <t xml:space="preserve">ITEM </t>
  </si>
  <si>
    <t>DEFINICIONES</t>
  </si>
  <si>
    <t xml:space="preserve">(1) PROGRAMAS - PROYECTOS  DEL Plan de Acción 2007-2009 </t>
  </si>
  <si>
    <t>Enuncie el nombre del total de los programas y proyectos aprobados en el Plan de Acción, utilizando la misma estructura jerárquica del Plan.  Se plantea una estructura inicial de Programas con proyectos relacionados, no obstante esta estructura es solo indicativa. Inserte filas cuando sea necesario ingresar mas programas y proyectos.  Recuerde que jerárquicamente los programas están integrados por proyectos y estos por actividades y la matriz pretende conocer hasta la escala de proyectos.</t>
  </si>
  <si>
    <t>(2) UNIDAD DE MEDIDA</t>
  </si>
  <si>
    <t>Relacione la unidad de medida por medio de la cual se determina la meta y el avance de la meta física, ejemplo Hectáreas reforestadas, hectáreas con POMCA, PGIRS Apoyados, etc.  Generalice una unidad de medida por cada proyecto, para el caso de programa no es necesario definir la unidad de medida.</t>
  </si>
  <si>
    <t>(3) META FÍSICA ANUAL</t>
  </si>
  <si>
    <t>Identifique el valor de la meta anual programada para el año que se este evaluando, con relación al programa o proyecto reportado en la columna (1). Ejemplo: hectáreas reforestadas, microcuencas con plan de ordenamiento formulado, # de vertimientos reglamentados, etc.</t>
  </si>
  <si>
    <t>(4) AVANCE DE LA META FISICA  (Según unidad de medida y Periodo Evaluado)</t>
  </si>
  <si>
    <t>Reporte el avance acumulado para el periodo evaluado, en la ejecución física de la respectiva meta anual programada en la columna (3). Ejemplo: 35 hectáreas reforestadas, 3 microcuencas con plan de ordenamiento formulado, etc.  Si no se presenta avance en el programa o proyecto, se deberá diligenciar la matriz con ceros (0,0) y en ningún caso dejar celdas en blanco.</t>
  </si>
  <si>
    <t>(5) PORCENTAJE DE AVANCE FISICO (Periodo Evaluado)</t>
  </si>
  <si>
    <t>Calcule el porcentaje del avance anual de la Meta física programada. Divida el valor de la columna  (4) con el valor de la columna (3) y multiplique por 100. Para el caso, cuando el resultado del avance de una meta física de un programa o proyecto se reporte como el promedio ponderado o aritmético de las metas de los proyectos relacionados con dicho programa o proyecto, es importante indicar esta condición en la columna 10.   Si no se presenta avance en el programa o proyecto, se deberá diligenciar la matriz con ceros (0,0) y en ningún caso dejar celdas en blanco.</t>
  </si>
  <si>
    <t xml:space="preserve">(5-A) DESCRIPCIÓN DEL AVANCE 
</t>
  </si>
  <si>
    <t>En esta columna se puede describir en texto lo que se desea justificar, describir y aclarar del avance del programa, proyecto, actividad.</t>
  </si>
  <si>
    <t>(6) PORCENTAJE DE AVANCE PROCESO DE GESTION DE LA META FISICA (aplica unicamente para el informe del primer semestre)</t>
  </si>
  <si>
    <t>Cuando el avance de la meta física prevista para cada proyecto no es cuantificable, para el corte del periodo evaluado, reporte en porcentaje, el equivalente a la gestión realizada.  Esta columna solamente aplica para el primer semestre de cada año, dado que en el informe anualizado se debe contar con algún tipo de producto o parte de este, de acuerdo con la meta planteada, por lo tanto en el informe anualizado esta columna debera ser diligenciada con NA. correspondiente</t>
  </si>
  <si>
    <t>(7) META FÍSICA DEL PLAN</t>
  </si>
  <si>
    <t>Identifique el valor  (en numero) de la meta del plan de acción con relación al programa y/o proyecto reportado en la columna (1). Ejemplo: hectáreas reforestadas, microcuencas con plan de ordenamiento formulado, # de vertimientos reglamentados, etc.</t>
  </si>
  <si>
    <t>(8) ACUMULADO DE LA META FISICA</t>
  </si>
  <si>
    <t>Reporte el avance acumulado de la meta física que se obtenga desde la aprobación del Plan de Acción, incluyendo el periodo evaluado.  Ejemplo 100 Ha reforestadas (2004) más 140 Ha reforestadas (2005), acumulado 240 Ha (2004+2005)</t>
  </si>
  <si>
    <t>(9) PORCENTAJE DE AVANCE FISICO ACUMULADO</t>
  </si>
  <si>
    <t>Calcule el porcentaje del avance de la Meta física acumulada. Divida el valor de la columna  (8) con el valor de la columna (7) y multiplique por 100.</t>
  </si>
  <si>
    <t>(10) PONDERACIONES DE PROGRAMAS (OPCIONAL DE ACUERDO AL Plan de Acción)</t>
  </si>
  <si>
    <t>Si el Plan de Acción contempla ponderaciones de programas o proyectos, relacione aquí las ponderaciones o pesos dados a cada programa, de acuerdo al porcentaje o valor asignado.</t>
  </si>
  <si>
    <t>(11)META FINANCIERA ANUAL</t>
  </si>
  <si>
    <t xml:space="preserve">Relacione aquí de acuerdo al plan de inversión vigente (incluye adiciones o modificaciones) los montos de inversión anual previstos para cada programa o proyecto </t>
  </si>
  <si>
    <t>(12) AVANCE DE LA META FINANCIERA PROGRAMADA (Periodo Evaluado)</t>
  </si>
  <si>
    <r>
      <t>Reporte el avance acumulado para el periodo evaluado, en la ejecución financiera de la respectiva meta anual programada en la columna (11). Para el caso de los recursos de inversión ejecutados, se deben relacionar específicamente los montos que esten afectados bajo un</t>
    </r>
    <r>
      <rPr>
        <u/>
        <sz val="7"/>
        <rFont val="Arial Narrow"/>
        <family val="2"/>
      </rPr>
      <t xml:space="preserve"> registro presupuestal</t>
    </r>
    <r>
      <rPr>
        <sz val="7"/>
        <rFont val="Arial Narrow"/>
        <family val="2"/>
      </rPr>
      <t>, es decir, los recursos que han surtido todos lo pasos de destinación y efectivamente están designados para la ejecución de un proyecto o actividad.</t>
    </r>
  </si>
  <si>
    <t>(13)  PORCENTAJE DE AVANCE FINANCIERO (Periodo evaluado)</t>
  </si>
  <si>
    <t xml:space="preserve">Calcule el porcentaje del avance anual de la Meta financiera programada. Divida el valor de la columna  (12) con el valor de la columna (11) y multiplique por 100. </t>
  </si>
  <si>
    <t>(14) META FINANCIERA DEL PLAN</t>
  </si>
  <si>
    <t>Relacione aquí de acuerdo al plan de inversión del Plan de Acción  los montos de inversión previstos para cada programa o proyecto para los tres años. (incluye adiciones o modificaciones).</t>
  </si>
  <si>
    <t xml:space="preserve">(15)  AVANCE ACUMULADO DE LA META FINANCIERA </t>
  </si>
  <si>
    <t>Reporte el avance acumulado en la vigencia del Plan de Acción, desde su aprobación hasta el periodo del informe.  Ejemplo $100'000.000.oo (2004) + $150'000.000.oo (2005), da un acumulado de inversión del Plan de Acción de $250'000.000.oo</t>
  </si>
  <si>
    <t>(16) PORCENTAJE DE AVANCE FINANCIERO ACUMULADO %</t>
  </si>
  <si>
    <t>Calcule el porcentaje del avance acumulado de la Meta financiera programada en el Plan de Acción. Divida el valor de la columna  (15) con el valor de la columna (14) y multiplique por 100.</t>
  </si>
  <si>
    <t>(17) OBSERVACIONES</t>
  </si>
  <si>
    <t>Realice las respectivas observaciones que sean necesarias, principalmente cuando se requiera hacer alguna precisión sobre el avance de las metas físicas y financieras..</t>
  </si>
  <si>
    <t>(18) TOTAL DE  METAS  FISICAS Y FINANCIERAS</t>
  </si>
  <si>
    <t>Sume los recursos de las metas financieras del plan, anual y de avance del periodo para cada proyecto, en las columnas respectivas (11, 12, 14 y 15). Es importante cuidarse de no sumar subtotales de los programas con las metas financieras de los proyectos, para evitar  sumas dobles de un mismo proyecto. 
Calcule el % de avance total de los programas mediante el promedio de cada uno de los porcentajes de avance de los programas. Es importante recordar que no es aplicable para metas financieras realizar ponderaciones.
Para el caso de las metas físicas, se deben totalizar las columnas  5 y 9, calculando el promedio de los porcentajes de avance de cada programa, es decir, el porcentaje de avance de las metas físicas del Plan de Acción en el periodo evaluado y el acumulado, así: sume el porcentaje de avance de cada programa y dividalo en el número de programas, con los datos respectivos, en las columnas 5 y 9  (Si es el caso, tenga en cuenta las ponderaciones que estén estipuladas en el Plan de Acción, las cuales debe quedar registradas en la columna 10).</t>
  </si>
  <si>
    <t>INGRESOS PROPIOS</t>
  </si>
  <si>
    <t>INGRESOS CORRIENTES</t>
  </si>
  <si>
    <t>Tributarios</t>
  </si>
  <si>
    <t>Otros</t>
  </si>
  <si>
    <t>No Tributarios</t>
  </si>
  <si>
    <t>Venta de Bienes y Servicios</t>
  </si>
  <si>
    <t>Operaciones Comerciales</t>
  </si>
  <si>
    <t>Aportes Patronales</t>
  </si>
  <si>
    <t>Aportes de Afiliados</t>
  </si>
  <si>
    <t>Aportes de otras entidades</t>
  </si>
  <si>
    <t>Transferencias Sector Electrico</t>
  </si>
  <si>
    <t>Otros Aportes de Otras Entidades</t>
  </si>
  <si>
    <t>Otros Ingresos</t>
  </si>
  <si>
    <t>Tasa Material de Arrastre</t>
  </si>
  <si>
    <t>Tasa por Uso del Agua</t>
  </si>
  <si>
    <t>RECURSOS DE CAPITAL</t>
  </si>
  <si>
    <t>Crédito externo</t>
  </si>
  <si>
    <t>Perfeccionado</t>
  </si>
  <si>
    <t>Autorizado</t>
  </si>
  <si>
    <t>Crédito Interno</t>
  </si>
  <si>
    <t>Rendimientos Financieros</t>
  </si>
  <si>
    <t>Recursos del Balance</t>
  </si>
  <si>
    <t>Venta de Activos</t>
  </si>
  <si>
    <t>Excedentes Financieros</t>
  </si>
  <si>
    <t>Cancelación de Reservas</t>
  </si>
  <si>
    <t>Recuperación de Cartera</t>
  </si>
  <si>
    <t>Otros Recursos del Balance</t>
  </si>
  <si>
    <t>Donaciones</t>
  </si>
  <si>
    <t>Funcionamiento</t>
  </si>
  <si>
    <t>CONCEPTO</t>
  </si>
  <si>
    <t>RECURSOS PROPIOS
$</t>
  </si>
  <si>
    <t>GASTOS DE PERSONAL</t>
  </si>
  <si>
    <t>GASTOS GENERALES</t>
  </si>
  <si>
    <t>Impuestos y Multas</t>
  </si>
  <si>
    <t>TRANSFERENCIAS CORRIENTES</t>
  </si>
  <si>
    <t>ADMINISTRACION PUBLICA CENTRAL</t>
  </si>
  <si>
    <t>Cuota de Auditaje Contaloria Nacional</t>
  </si>
  <si>
    <t>Fondo de Compensación Ambiental</t>
  </si>
  <si>
    <t xml:space="preserve">TRANSFERENCIAS PREVISION Y SEGURIDAD SOCIAL </t>
  </si>
  <si>
    <t>Mesadas Pensionales</t>
  </si>
  <si>
    <t>Bonos pensionales</t>
  </si>
  <si>
    <t>OTRAS TRANSFERENCIAS</t>
  </si>
  <si>
    <t>SENTENCIAS Y CONCILIACIONES</t>
  </si>
  <si>
    <t>Sentencias y Conciliaciones</t>
  </si>
  <si>
    <t>TOTAL GASTOS DE FUNCIONAMIENTO</t>
  </si>
  <si>
    <t>TOTAL INVERSION</t>
  </si>
  <si>
    <t xml:space="preserve">TOTAL PRESUPUESTO  </t>
  </si>
  <si>
    <t>Nombre de la Corporación</t>
  </si>
  <si>
    <t>Corporación Autónoma Regional del Alto Magdalena - CAM</t>
  </si>
  <si>
    <t>Corporación Autónoma Regional de Cundinamarca – CAR</t>
  </si>
  <si>
    <t>Corporación Autónoma Regional del Canal del Dique – CARDIQUE</t>
  </si>
  <si>
    <t>Corporación Autónoma Regional de Sucre – CARSUCRE</t>
  </si>
  <si>
    <t>Corporación Autónoma Regional de Santander – CAS</t>
  </si>
  <si>
    <t>Corporación para el Desarrollo Sostenible del Norte y el Oriente Amazónico – CDA</t>
  </si>
  <si>
    <t>Corporación Autónoma Regional para la Defensa de la Meseta de Bucaramanga – CDMB</t>
  </si>
  <si>
    <t>Corporación Autónoma Regional para el Desarrollo Sostenible del Chocó – CODECHOCÓ</t>
  </si>
  <si>
    <t>Corporación para el Desarrollo Sostenible del Archipiélago de San Andrés, Providencia y Santa Catalina – CORALINA</t>
  </si>
  <si>
    <t>Corporación Autónoma Regional del Centro de Antioquia – CORANTIOQUIA</t>
  </si>
  <si>
    <t>Corporación para el Desarrollo Sostenible del Área de Manejo Especial de La Macarena – CORMACARENA</t>
  </si>
  <si>
    <t>Corporación Autónoma Regional de las Cuencas de los Ríos Negro y Nare – CORNARE</t>
  </si>
  <si>
    <t>Corporación Autónoma Regional del Magdalena – CORPAMAG</t>
  </si>
  <si>
    <t>Corporación para el Desarrollo Sostenible del Sur de la Amazonia – CORPOAMAZONIA</t>
  </si>
  <si>
    <t>Corporación Autónoma Regional de Boyacá – CORPOBOYACÁ</t>
  </si>
  <si>
    <t>Corporación Autónoma Regional de Caldas – CORPOCALDAS</t>
  </si>
  <si>
    <t>Corporación Autónoma Regional del Cesar – CORPOCESAR</t>
  </si>
  <si>
    <t>Corporación Autónoma Regional de Chivor – CORPOCHIVOR</t>
  </si>
  <si>
    <t>Corporación Autónoma Regional de La Guajira – CORPOGUAJIRA</t>
  </si>
  <si>
    <t>Corporación Autónoma Regional del Guavio – CORPOGUAVIO</t>
  </si>
  <si>
    <t>Corporación para el Desarrollo Sostenible de La Mojana y El San Jorge – CORPOMOJANA</t>
  </si>
  <si>
    <t>Corporación Autónoma Regional de Nariño – CORPONARIÑO</t>
  </si>
  <si>
    <t>Corporación Autónoma Regional de la Frontera Nororiental – CORPONOR</t>
  </si>
  <si>
    <t>Corporación Autónoma Regional de la Orinoquia – CORPORINOQUIA</t>
  </si>
  <si>
    <t>Corporación para el Desarrollo Sostenible del Urabá – CORPOURABA</t>
  </si>
  <si>
    <t>Corporación Autónoma Regional del Tolima – CORTOLIMA</t>
  </si>
  <si>
    <t>Corporación Autónoma Regional del Atlántico – CRA</t>
  </si>
  <si>
    <t>Corporación Autónoma Regional del Cauca – CRC</t>
  </si>
  <si>
    <t>Corporación Autónoma Regional del Quindío – CRQ</t>
  </si>
  <si>
    <t>Corporación Autónoma Regional del Sur de Bolívar – CSB</t>
  </si>
  <si>
    <t>Corporación Autónoma Regional del Valle del Cauca – CVC</t>
  </si>
  <si>
    <t>Corporación Autónoma Regional de los Valles del Sinú y del San Jorge – CVS</t>
  </si>
  <si>
    <t>2016-I</t>
  </si>
  <si>
    <t>2016-II</t>
  </si>
  <si>
    <t>2017-I</t>
  </si>
  <si>
    <t>2017-II</t>
  </si>
  <si>
    <t>2018-I</t>
  </si>
  <si>
    <t>2018-II</t>
  </si>
  <si>
    <t>2019-I</t>
  </si>
  <si>
    <t>2019-II</t>
  </si>
  <si>
    <t>Periodo a reportar</t>
  </si>
  <si>
    <t>Nombre de la persona responsable del reporte</t>
  </si>
  <si>
    <t>ANEXOS INFORME DE SEGUIMIENTO AL PLAN DE ACCIÓN 2016-2019</t>
  </si>
  <si>
    <t>PERIODO REPORTADO:</t>
  </si>
  <si>
    <t xml:space="preserve">ANEXO NO. 3. MATRIZ DE REPORTE DE AVANCE DE INDICADORES MÍNIMOS DE GESTIÓN INCORPORADOS EN LA RESOLUCIÓN 667 DE 2016  </t>
  </si>
  <si>
    <t>PND. 2014 2018</t>
  </si>
  <si>
    <t>PGAR 2009 2019</t>
  </si>
  <si>
    <t>CORPORACIÓN AUTÓNOMA REGIONAL DE LA GUAJIRA - MATRIZ DE SEGUIMIENTO DEL PLAN DE ACCIÓN - AVANCE EN LAS METAS FÍSICAS Y FINANCIERAS DEL PLAN DE ACCIÓN  CUATRIENAL- PAC. 2016 - 2019</t>
  </si>
  <si>
    <t>Estrategia Regional</t>
  </si>
  <si>
    <t>Estrategia</t>
  </si>
  <si>
    <t>Temas</t>
  </si>
  <si>
    <r>
      <t xml:space="preserve">(1)
PROGRAMAS - PROYECTOS  DEL PLAN 2016-2019
(inserte filas cuando sea necesario)
</t>
    </r>
    <r>
      <rPr>
        <b/>
        <sz val="10"/>
        <color indexed="10"/>
        <rFont val="Arial Narrow"/>
        <family val="2"/>
      </rPr>
      <t/>
    </r>
  </si>
  <si>
    <t xml:space="preserve">   (2)                                      Unidad de Medida </t>
  </si>
  <si>
    <t xml:space="preserve"> (7)                                                    META FISICA PERIODO DEL PLAN            (Según unidad de medida)</t>
  </si>
  <si>
    <t>(10)               PONDERACIONES DE PROGRAMAS  Y PROYECTOS (OPCIONAL DE ACUERDO AL PLAN)</t>
  </si>
  <si>
    <t>(14)                                         META FINANCIERA   PERIODO DEL PLAN            
($)</t>
  </si>
  <si>
    <t>Caribe próspero, equitativo y sin pobreza extrema</t>
  </si>
  <si>
    <t>Consolidar un marco de política de cambio climático buscando su integración con la planificación ambiental, territorial y sectorial.  Mitigar el riesgo ante sequías e inundaciones (exacerbados por la variabilidad climática) en las zonas más vulnerables de la región mediante el ordenamiento territorial para la adaptación al cambio climático</t>
  </si>
  <si>
    <t>Planificación, Ordenamiento y Coordinación Ambiental.</t>
  </si>
  <si>
    <t>Planificación Ambiental para la Orientación de la Sociedad hacia la Eficiente Ocupación del Territorio</t>
  </si>
  <si>
    <t>Programa No 1. Planificacion, Ordenamiento Ambiental y Territorial</t>
  </si>
  <si>
    <t>Proyecto No 1.1.Planificación, Ordenamiento e Información Ambiental Territorial (1)</t>
  </si>
  <si>
    <t>Porcentaje de avance en la formulación y/o ajuste de los Planes de Ordenación y Manejo de Cuencas (POMCAS) y Planes de Manejo de Microcuencas (PMM)</t>
  </si>
  <si>
    <t>%</t>
  </si>
  <si>
    <t>NA</t>
  </si>
  <si>
    <t>Porcentaje de Municipios asesorados o asistidos en la inclusión del componente ambiental en los procesos de panificación y ordenamiento territorial, con énfasis en la incorporación de las determinantes ambientales para la revisión y ajuste de los POT</t>
  </si>
  <si>
    <t>Porcentaje de Actualización y reporte de la información en el SIAC</t>
  </si>
  <si>
    <t>Porcentaje de Planes de Ordenación y Manejo de Cuencas (POMCAS), Planes de Manejo de Acuíferos (PMA) y Planes de Manejo de Microcuencas (PMM) en ejecución con seguimiento.</t>
  </si>
  <si>
    <t>Porcentaje de planes de Manejo Ambiental con seguimiento</t>
  </si>
  <si>
    <t>Porcentaje de municipios con seguimiento al cumplimiento de los asuntos ambientales concertados en los POT adoptados</t>
  </si>
  <si>
    <t>Porcentaje de mapas temáticos elaborados</t>
  </si>
  <si>
    <t>Porcentaje de delimitación y zonificación de humedales.</t>
  </si>
  <si>
    <t>Proyecto No 1.2. Gestión del Riesgo y adaptación al Cambio Climático (2)</t>
  </si>
  <si>
    <t>Porcentaje de Redes y estaciones de monitoreo en operación</t>
  </si>
  <si>
    <t>Porcentaje de ejecución de acciones en mitigación de GEI y/o adaptación al cambio climático.</t>
  </si>
  <si>
    <t>Ejecución de acciones para el fortalecimiento del Nodo Regional de Cambio Climático Caribe e Insular</t>
  </si>
  <si>
    <t># de Acciones</t>
  </si>
  <si>
    <t>Porcentaje de ejecución de acciones en conocimiento y reducción del riesgo y manejo de desastres naturales</t>
  </si>
  <si>
    <t>Fortalecimiento institucional y gobernanza, para optimizar el desempeño del SINA, la educación e investigación y la generación de información y conocimiento ambiental.</t>
  </si>
  <si>
    <t>Producción y democratización del conocimiento como apoyo a la gestión ambiental territorial</t>
  </si>
  <si>
    <t>Proyecto No 1.3. Gestión del conocimiento y Cooperación Internacional (3)</t>
  </si>
  <si>
    <t>Numero de actualización del software de Banco de Programas y Proyectos</t>
  </si>
  <si>
    <t>#</t>
  </si>
  <si>
    <t>Porcentaje de proyectos con seguimiento y evaluación.</t>
  </si>
  <si>
    <t>Número de proyectos formulados y gestionados</t>
  </si>
  <si>
    <t>Funcionarios públicos, representantes de comunidades, organizaciones y minorías étnicas capacitadas.</t>
  </si>
  <si>
    <t xml:space="preserve"> Gestión integral de los recursos naturales y el ambiente  para el desarrollo sostenible de La Guajira  </t>
  </si>
  <si>
    <t>Programa No 2. Gestión Integral del Recurso Hídrico</t>
  </si>
  <si>
    <t>Proyecto 2.1. Administración de la oferta y demanda del recurso hídrico. (Superficiales y subterráneas) (4).</t>
  </si>
  <si>
    <t xml:space="preserve">Porcentaje de avance en la formulación y/o ajuste de Planes de Manejo de Acuíferos (PMA) </t>
  </si>
  <si>
    <t>Porcentaje de Cuerpos de agua con reglamentación del uso de las aguas</t>
  </si>
  <si>
    <t>Porcentaje de Planes de Manejo de Acuíferos (PMA) en ejecucion</t>
  </si>
  <si>
    <t>Número de población de comunidades indígenas y negras beneficiadas con obras de infraestructura para captación y/o almacenamiento de agua.</t>
  </si>
  <si>
    <t>Cuerpos de agua con revisión de reglamentación del uso de las aguas.</t>
  </si>
  <si>
    <t>Líneas de cauce con obras de control de inundaciones, erosión, caudales, escorrentía, rectificación y manejo de cauces, regulación de cauces y demás obras para mitigar los  riesgos asociados a la oferta y disponibilidad de agua.</t>
  </si>
  <si>
    <t>Kms</t>
  </si>
  <si>
    <t>Número de estudio Regional del agua desarrollado.</t>
  </si>
  <si>
    <t>Proyecto 2.2.  Monitoreo de la calidad del recurso hídrico (5).</t>
  </si>
  <si>
    <t>Número de fuentes puntuales de vertimiento de aguas residuales (domésticas y de los sectores productivos) con cobro de la tasa retributiva.</t>
  </si>
  <si>
    <t>Número de fuentes abastecedoras de acueductos de centros poblados con monitoreo de calidad del agua para generar indice de calidad.</t>
  </si>
  <si>
    <t xml:space="preserve">Número de corrientes o tramos de las mismas con objetivos de calidad monitoreados </t>
  </si>
  <si>
    <t>Número de estaciones de muestreo de calidad de aguas marinas y costeras con monitoreo de la calidad del agua</t>
  </si>
  <si>
    <t>Número de vertimientos puntuales al recurso hídrico con monitoreo en términos de DBO y SST</t>
  </si>
  <si>
    <t>Número de pozos de agua subterránea de la red regional con monitoreo de calidad</t>
  </si>
  <si>
    <t>Número de parámetros acreditados en el laboratorio Ambiental ante el IDEAM</t>
  </si>
  <si>
    <t>Conservar el flujo de servicios ecosistémicos a través de la protección de los ecosistemas de la región para beneficio de la población</t>
  </si>
  <si>
    <t>Recuperar y Mantener los Ecosistemas Estrategicos</t>
  </si>
  <si>
    <t>Programa No 3. Bosques, Biodiversidad y Servicios Ecosistemicos.</t>
  </si>
  <si>
    <t>Proyecto No 3.1. Ecosistemas estratégicos continentales y marinos (6).</t>
  </si>
  <si>
    <t>Porcentaje de la Superficie de áreas protegidas regionales declaradas, homologadas o recategorizadas e inscritas en el RUNAP</t>
  </si>
  <si>
    <t>Porcentaje de Áreas protegidas con planes de manejo en ejecución</t>
  </si>
  <si>
    <t>Porcentaje de Áreas de ecosistemas en restauración, rehabilitación y reforestación de Ecosistemas.</t>
  </si>
  <si>
    <t xml:space="preserve">Diseño e implementación de estrategia de conservación de los suelos. </t>
  </si>
  <si>
    <t>Planes de ordenamiento integrado de unidades ambientales costeras (POMIUAC) ajustados e implementados.</t>
  </si>
  <si>
    <t>Kilómetros lineales de costa intervenidos con medidas de mitigación contra la erosión costera</t>
  </si>
  <si>
    <t>Número de proyectos para mitigar efectos de la erosión costera formulados.</t>
  </si>
  <si>
    <t>Protección Ambiental y Planificación del Desarrollo Sostenible</t>
  </si>
  <si>
    <t xml:space="preserve">Gestión integral de los recursos naturales y el ambiente  para el desarrollo sostenible de La Guajira  </t>
  </si>
  <si>
    <t>Proyecto No 3.2. Protección y conservación de la biodiversidad (7).</t>
  </si>
  <si>
    <t>Porcentaje de avance en la formulación del Plan General de Ordenación Forestal.</t>
  </si>
  <si>
    <t>Porcentaje de Especies amenazadas con medidas de conservación y manejo en ejecución.</t>
  </si>
  <si>
    <t>Porcentaje de Especies invasoras con medidas de prevención, control y manejo en ejecución.</t>
  </si>
  <si>
    <t>Porcentaje de avance de ejecución del Plan General de Ordenación Forestal adoptado.</t>
  </si>
  <si>
    <t>Número de investigaciones realizadas de especies promisorias (flora y fauna silvestre).</t>
  </si>
  <si>
    <t>Número de programas de uso y manejo sostenible de especies promisorias Implementados.</t>
  </si>
  <si>
    <t>Proyecto No 3.3. Negocios verdes y sostenibles (8).</t>
  </si>
  <si>
    <t>Programa No 4. Gestion Ambiental Sectorial y Urbana.</t>
  </si>
  <si>
    <t>Proyecto No 4.1. Gestión Ambiental Urbana (9).</t>
  </si>
  <si>
    <t>Ejecución de acciones en Gestión Ambiental Urbana</t>
  </si>
  <si>
    <t>Proyecto No 4.2. Gestión Ambiental Sectorial (10)</t>
  </si>
  <si>
    <t>Participación para el desarrollo y divulgación de una cultura ambiental más amigable con nuestro entorno</t>
  </si>
  <si>
    <t>Programa No. 5. Educacion Ambiental</t>
  </si>
  <si>
    <t>Proyecto No 5.1. Cultura Ambiental (11)</t>
  </si>
  <si>
    <t>Proyecto No. 5.2. Participación Comunitaria (12).</t>
  </si>
  <si>
    <t>Programa No 6. Calidad Ambiental</t>
  </si>
  <si>
    <t>Administración, Control y Vigilancia del ambiente, sus recursos naturales renovables y ecosistemas estratégicos.</t>
  </si>
  <si>
    <t>Proyecto No. 6.1.  (13). Evaluación, Seguimiento, Monitoreo y Control de la calidad de los recursos naturales y la biodiversidad.</t>
  </si>
  <si>
    <t>Porcentaje de Autorizaciones ambientales con seguimiento</t>
  </si>
  <si>
    <t>Tiempo Promedio de trámites para la resolución de autorizaciones ambientales otorgadas por la corporación</t>
  </si>
  <si>
    <t># de Dias</t>
  </si>
  <si>
    <t>Porcentaje de procesos sancionatorios resueltos</t>
  </si>
  <si>
    <t>Número de operativos de control al tráfico ilegal de flora y fauna realizados.</t>
  </si>
  <si>
    <t>Proyecto No 6.2. Calidad del Aire (14).</t>
  </si>
  <si>
    <t>Numero de campañas que fortalecen el SVCA, mediante el control de emisiones de fuentes móviles realizados</t>
  </si>
  <si>
    <t xml:space="preserve">Porcentaje de vehículos revisados por la autoridad ambiental </t>
  </si>
  <si>
    <t>Registro de la calidad del aire en centros poblados mayores de 100000 habitantes, y corredores industriales determinado en redes de monitoreo con equipos PM10</t>
  </si>
  <si>
    <t>µg/m3</t>
  </si>
  <si>
    <t xml:space="preserve">Registro de la calidad del aire en centros poblados mayores de 100000 habitantes, y corredores industriales determinado en redes de monitoreo con equipos PST </t>
  </si>
  <si>
    <t>Número de estaciones  reportadas al  SISAIRE</t>
  </si>
  <si>
    <t>ANEXO 5-1</t>
  </si>
  <si>
    <t xml:space="preserve">Informe de Ejecución Presupuestal de Ingresos </t>
  </si>
  <si>
    <t>Corporación Autónoma Regional de La Guajira</t>
  </si>
  <si>
    <t>Identificacion Presupuestal</t>
  </si>
  <si>
    <t>Nivel Rentístico</t>
  </si>
  <si>
    <t>Apropiado</t>
  </si>
  <si>
    <t>Recaudado</t>
  </si>
  <si>
    <t>1800-0103</t>
  </si>
  <si>
    <t>1800-010301</t>
  </si>
  <si>
    <t>1800-01030101</t>
  </si>
  <si>
    <t>Participación Ambiental Municipios</t>
  </si>
  <si>
    <t>1800-010301010101-07</t>
  </si>
  <si>
    <t>Sobretasa o Porcentaje Ambiental</t>
  </si>
  <si>
    <t>1800-01030102</t>
  </si>
  <si>
    <t xml:space="preserve">Otros por Venta de Bienes y Servicios </t>
  </si>
  <si>
    <t>1800-010301020102-02</t>
  </si>
  <si>
    <t>1800-0103010206010445-04</t>
  </si>
  <si>
    <t>Convenios con Otras Entidades</t>
  </si>
  <si>
    <t>1800-0103010201</t>
  </si>
  <si>
    <t>TASAS</t>
  </si>
  <si>
    <t>1800-010301020101-05</t>
  </si>
  <si>
    <t>Tasa Retributiva y Compensatoria</t>
  </si>
  <si>
    <t>1800-010301020102-11</t>
  </si>
  <si>
    <t>1800-010301020103-12</t>
  </si>
  <si>
    <t>Movilización Material Vegetal</t>
  </si>
  <si>
    <t>1800-010301020104-12</t>
  </si>
  <si>
    <t>1800-010301020105-12</t>
  </si>
  <si>
    <t xml:space="preserve">Tasa Aprovechamiento Forestal </t>
  </si>
  <si>
    <t>Movilización Ilegal de Madera</t>
  </si>
  <si>
    <t>1800-010301020202</t>
  </si>
  <si>
    <t xml:space="preserve">Multas </t>
  </si>
  <si>
    <t>1800-010301020201-12</t>
  </si>
  <si>
    <t>Multas y sanciones por infracciones ambientales</t>
  </si>
  <si>
    <t>1800-0103010208</t>
  </si>
  <si>
    <t>1800-010301020805-02</t>
  </si>
  <si>
    <t>Seguimiento a licencias, permisos y trámites</t>
  </si>
  <si>
    <t>1800-010301020810-30</t>
  </si>
  <si>
    <t xml:space="preserve">Recuperacion Incapacidad y Licencia de Maternidad </t>
  </si>
  <si>
    <t>1800-01030102080-12</t>
  </si>
  <si>
    <t>1800-010302</t>
  </si>
  <si>
    <t>1800-01030203</t>
  </si>
  <si>
    <t>1800-01030205</t>
  </si>
  <si>
    <t xml:space="preserve">Recurperacion de Cartera </t>
  </si>
  <si>
    <t>1800-010302050401-05</t>
  </si>
  <si>
    <t>Recuperacion de Cartera Tasa Retributivas y Compensaciones</t>
  </si>
  <si>
    <t>1800-010302050402-12</t>
  </si>
  <si>
    <t>Recuperacion de Cartera Mutas</t>
  </si>
  <si>
    <t>1800-010302050407-11</t>
  </si>
  <si>
    <t>Recuperacion de Cartera por Utilizacion del Recurso Hidrico</t>
  </si>
  <si>
    <t>1800-0104</t>
  </si>
  <si>
    <t>Aportes de La Nacion</t>
  </si>
  <si>
    <t>1800-01040000 10</t>
  </si>
  <si>
    <t>FCA Funcionamiento</t>
  </si>
  <si>
    <t>Inversión. FCA</t>
  </si>
  <si>
    <t>Inversion FONAM</t>
  </si>
  <si>
    <t>Total Ingresos Vigencia</t>
  </si>
  <si>
    <t>ANEXO 5-2</t>
  </si>
  <si>
    <t xml:space="preserve">INFORME DE EJECUCION PRESUPUESTAL DE GASTOS </t>
  </si>
  <si>
    <t>CORPORACION AUTONOMA REGIONAL DE LA GUAJIRA</t>
  </si>
  <si>
    <t xml:space="preserve">RECURSOS VIGENCIA 2016. </t>
  </si>
  <si>
    <t>TOTAL RECURSOS 
(PROPIOS -NACION-SGR)
$</t>
  </si>
  <si>
    <t>PRESUPUESTADO</t>
  </si>
  <si>
    <t>COMPROMETIDO</t>
  </si>
  <si>
    <t>Adquisición de Bienes y servicios</t>
  </si>
  <si>
    <t>Indemnizaciones</t>
  </si>
  <si>
    <t>Programa 1. Ordenamiento Ambiental Territorial</t>
  </si>
  <si>
    <t>Proyecto 1.1. Planificación, Ordenamiento e Información Ambiental Territorial</t>
  </si>
  <si>
    <t>Proyecto 1.2. Gestión del Riesgo y adaptación al Cambio Climático.</t>
  </si>
  <si>
    <t>Proyecto 1.3. Gestión del conocimiento y Cooperación Internacional.</t>
  </si>
  <si>
    <t>Programa 2. Gestión Integral del Recurso Hídrico</t>
  </si>
  <si>
    <t>Proyecto 2.1.Administración de la oferta y demanda del recurso hídrico. (Superficiales y subterráneas).</t>
  </si>
  <si>
    <t>Proyecto 2.2. .  Monitoreo de la calidad del recurso hídrico.</t>
  </si>
  <si>
    <t>Programa 3. Bosques, Biodiversidad y Servicios Ecosistémicos.</t>
  </si>
  <si>
    <t>Proyecto 3.1. Ecosistemas estratégicos continentales y marinos Costeros</t>
  </si>
  <si>
    <t>Proyecto 3.2. Protección y conservación de la biodiversidad.</t>
  </si>
  <si>
    <t>Proyecto 3.3.Negocios verdes y sostenibles.</t>
  </si>
  <si>
    <t>Progrma 4. Gestión Ambiental Sectorial y Urbana</t>
  </si>
  <si>
    <t>Proyecto 4.1. Gestión Ambiental Urbana</t>
  </si>
  <si>
    <t>Proyecto 4.2. Gestión Ambiental Sectorial</t>
  </si>
  <si>
    <t>Programa 5. Educación Ambiental</t>
  </si>
  <si>
    <t>Proyecto 5.1. Cultura Ambiental</t>
  </si>
  <si>
    <t>Proyecto 5.2.Participación Comunitaria</t>
  </si>
  <si>
    <t>Programa 6. Calidad Ambiental</t>
  </si>
  <si>
    <t>Proyecto 6.1. Monitoreo, evaluación y Seguimiento de la calidad de los recursos naturales y la biodiversidad.</t>
  </si>
  <si>
    <t>Proyecto 4.3. Calidad del aire</t>
  </si>
  <si>
    <t xml:space="preserve">FCA </t>
  </si>
  <si>
    <t>FONAM</t>
  </si>
  <si>
    <t>OTRAS (ASOCARS)</t>
  </si>
  <si>
    <t>PAGOS</t>
  </si>
  <si>
    <t xml:space="preserve">Inversion </t>
  </si>
  <si>
    <t>Presu-Comp</t>
  </si>
  <si>
    <t>Comp-Pago</t>
  </si>
  <si>
    <t>APORTES DE LA NACION</t>
  </si>
  <si>
    <t xml:space="preserve">TOTAL PRESUPUESTO </t>
  </si>
  <si>
    <t>TAPIAS</t>
  </si>
  <si>
    <t>CAMARONES</t>
  </si>
  <si>
    <t>Procesos formales pevioss</t>
  </si>
  <si>
    <t>Procesos formales previos</t>
  </si>
  <si>
    <t>1503-02</t>
  </si>
  <si>
    <t>ANCHO Y OTROS DIRECTOS AL CARIBE</t>
  </si>
  <si>
    <t>1503-01</t>
  </si>
  <si>
    <t>PALOMINO</t>
  </si>
  <si>
    <t>CORPOGUAJIRA</t>
  </si>
  <si>
    <t>OFICINA ASESORA DE PLANEACION</t>
  </si>
  <si>
    <t>oficinadeplaneacion@corpoguajira.gov.co</t>
  </si>
  <si>
    <t>Cra 7 # 12 - 15</t>
  </si>
  <si>
    <t>Acompañamiento en los procesos de formulación</t>
  </si>
  <si>
    <t>Riohacha, Maicao, Uribia, Manaure, Dibulla, Albania, Hatonuevo, Barrancas, Fonseca, Distracción, Dan Juan del Cesar, El Molino, Villanueva, Urumita y La Jagua del Pilar</t>
  </si>
  <si>
    <t>Entrega de información o estudios tecnicos</t>
  </si>
  <si>
    <t>Capacitación a traves  de talleres</t>
  </si>
  <si>
    <t>SAC 3.1</t>
  </si>
  <si>
    <t>SAC 3.2</t>
  </si>
  <si>
    <t>Sistema de Acuifero Riohacha - Manaure</t>
  </si>
  <si>
    <t>Sistema Acuifero de Maicao</t>
  </si>
  <si>
    <t>SAC 3.3</t>
  </si>
  <si>
    <t>Sistema de Acuifero Alta Guajira</t>
  </si>
  <si>
    <t>SAC 4.2</t>
  </si>
  <si>
    <t>Sistema de Acuifero Ranchería</t>
  </si>
  <si>
    <t>Corpoguajira</t>
  </si>
  <si>
    <t>Oficina Asesora de Planeación</t>
  </si>
  <si>
    <t>Jefe Oficina Asesora de Planeación</t>
  </si>
  <si>
    <t>Yovani Delgado, Javier Calderon, Gregoria Fonseca, Enrique Quintero</t>
  </si>
  <si>
    <t>Of de Planeación; Subdirección de Autoridad ambiental, Subdirección de Gestión Ambiental</t>
  </si>
  <si>
    <t>Profesional Especializado Grado 19</t>
  </si>
  <si>
    <t>y.delgado@car.corpoguajira.gov.co; j.calderon@corpoguajira.gov.co; g.fonseca@corpoguajira.gov.co; e.quintero@corpoguajira.gov.co</t>
  </si>
  <si>
    <t xml:space="preserve">Emision de concepto tecnico sobre el proyecto de plan de desarrollo municipal 2016-2019 y lineamientos para inclusion de cambio climatico en el plan de desarrollo </t>
  </si>
  <si>
    <t>ler Estado de los POT, PBOT o EOT de los entes territoriales en el proceso de concertacion de asuntos y determinantes ambientales con Corpoguajira.</t>
  </si>
  <si>
    <t>Entrega de informacion y estudios relacionados con cambio climatico en la jurisdiccion de La Guajira</t>
  </si>
  <si>
    <t>Grupo Administración Integral del Recurso Hidrico</t>
  </si>
  <si>
    <t>Julio Segundo Curvelo Redondo</t>
  </si>
  <si>
    <t>Preofesional Especializado Grado 19</t>
  </si>
  <si>
    <t>j.curvelo@corpoguajira.gov.co</t>
  </si>
  <si>
    <t>Calle 7 # 12 15</t>
  </si>
  <si>
    <t>7282672, Ext 114</t>
  </si>
  <si>
    <t>Grupo de Licenciamiento, permisos y autorizaciones ambientales.</t>
  </si>
  <si>
    <t>Jorge Marcos Palomino Rodriguez</t>
  </si>
  <si>
    <t>Profesional Especializado, Grado 19</t>
  </si>
  <si>
    <t>j.palomino@corpoguajira.gov.co</t>
  </si>
  <si>
    <t>7282672; Ext 322</t>
  </si>
  <si>
    <t>Cultura Ambiental</t>
  </si>
  <si>
    <t xml:space="preserve">Participacion Comunitaria </t>
  </si>
  <si>
    <t>Relleno sanitarios</t>
  </si>
  <si>
    <t>Riego</t>
  </si>
  <si>
    <t>Servicios</t>
  </si>
  <si>
    <t>Obras civiles</t>
  </si>
  <si>
    <t>Carrera 7 N° 12-15</t>
  </si>
  <si>
    <t>Subdirección de Autoridad Ambiental; Grupo de Seguimiento Ambiental.</t>
  </si>
  <si>
    <t>Enrique Rafael Quintero Bruzon</t>
  </si>
  <si>
    <t>Profesional Especializado, Código 2028, Grado 19</t>
  </si>
  <si>
    <t>e.quintero@corpoguajira.gov.co</t>
  </si>
  <si>
    <t xml:space="preserve">Corporacion Autonoma Regional de La Guajira </t>
  </si>
  <si>
    <t xml:space="preserve">Subdireccion de Gestion Ambiental </t>
  </si>
  <si>
    <t>Jorge Pacheco Pertuz</t>
  </si>
  <si>
    <t xml:space="preserve">Profesional Especializado </t>
  </si>
  <si>
    <t xml:space="preserve">j.pacheco@corpoguajira.gov.co </t>
  </si>
  <si>
    <t>Yerlis Yanet Caraballo Roble</t>
  </si>
  <si>
    <t>Acuerdo # 008 del 11 de Mayo del 2016</t>
  </si>
  <si>
    <t>Oficina Asesora de Planeacion</t>
  </si>
  <si>
    <t>Yovani Delgado Moreno</t>
  </si>
  <si>
    <t>y.delgado@car.corpoguajira.gov.co</t>
  </si>
  <si>
    <t>(5) 72826 72, Ext 203</t>
  </si>
  <si>
    <t>Carrera 7 # 12 - 15</t>
  </si>
  <si>
    <t>Paramo Cerro Pintao, Complejo Perijá</t>
  </si>
  <si>
    <t>A la espera de los lineamientos para zonificación y regimen de usos.</t>
  </si>
  <si>
    <t>(5) 7282672, Ext 203</t>
  </si>
  <si>
    <t>7282672, Ext 203</t>
  </si>
  <si>
    <t xml:space="preserve">Albania </t>
  </si>
  <si>
    <t>Hatonuevo</t>
  </si>
  <si>
    <t>Barrancas</t>
  </si>
  <si>
    <t>Pacharoca</t>
  </si>
  <si>
    <t>Los Remedios</t>
  </si>
  <si>
    <t>Provincial</t>
  </si>
  <si>
    <t>Cuestecitas</t>
  </si>
  <si>
    <t>Papayal</t>
  </si>
  <si>
    <t>Las Casitas</t>
  </si>
  <si>
    <t>Conejo</t>
  </si>
  <si>
    <t>Barrancas Urbana</t>
  </si>
  <si>
    <t>Albania</t>
  </si>
  <si>
    <t>Fonseca</t>
  </si>
  <si>
    <t>SVCA CORPOGUAJIRA</t>
  </si>
  <si>
    <t>Acuerdo # 008 del 11 de Mayo de 2016</t>
  </si>
  <si>
    <t>El Plan de Acción no se programó meta para el primer año</t>
  </si>
  <si>
    <t>El Plan de Acción 2016 - 2019 no se programó meta para el primer año. Solo la programa para el tercer año</t>
  </si>
  <si>
    <t>Grupo de Seguimiento Ambiental</t>
  </si>
  <si>
    <t>Enrique Quintero Bruzon</t>
  </si>
  <si>
    <t>(5) 7282672, Ext.  117</t>
  </si>
  <si>
    <t>(5) 7282672, Ext. 117</t>
  </si>
  <si>
    <t>(5) 7282672 / 7275125 / 7286778. Extensión 117</t>
  </si>
  <si>
    <t>Saneamiento</t>
  </si>
  <si>
    <t>Restauración</t>
  </si>
  <si>
    <t>Fortalecimiento comunitario</t>
  </si>
  <si>
    <t>Continental</t>
  </si>
  <si>
    <t>Marina</t>
  </si>
  <si>
    <t>Fauna</t>
  </si>
  <si>
    <t>Caracol Gigante</t>
  </si>
  <si>
    <t>Pez Leon</t>
  </si>
  <si>
    <t>Flora</t>
  </si>
  <si>
    <t>Caoba (Swiettenia macrophylla)</t>
  </si>
  <si>
    <t>Restauracion activa</t>
  </si>
  <si>
    <t xml:space="preserve">Rstauracion activa </t>
  </si>
  <si>
    <t>Conservacion in situ</t>
  </si>
  <si>
    <t>(5) 7282672. Ext 203</t>
  </si>
  <si>
    <t>Cra 7 # 12  - 15</t>
  </si>
  <si>
    <t xml:space="preserve">El Plan de Manejo del sistema de acuifero de Maicao se adoptó en el 2011 </t>
  </si>
  <si>
    <t>Acuerdo # 008 del 11 de mayo de 2016</t>
  </si>
  <si>
    <t>Grupo de Ecosistemas y Biodiversidad</t>
  </si>
  <si>
    <t>Gregoria Isabel Fonseca Lindao</t>
  </si>
  <si>
    <t>g.fonseca@corpoguajira.gov.co</t>
  </si>
  <si>
    <t>(5) 7282672, Ext. 124</t>
  </si>
  <si>
    <t>Cra. 7 # 12 - 15</t>
  </si>
  <si>
    <t>Educación Ambiental, Información y Divulgación</t>
  </si>
  <si>
    <t>RFP</t>
  </si>
  <si>
    <t>Estudio poblacional de especies faunísticas de interés</t>
  </si>
  <si>
    <t>Identificación de especies vegetales promisorias económicamente</t>
  </si>
  <si>
    <t xml:space="preserve"> Montes de Oca</t>
  </si>
  <si>
    <t>Inversión asociada a la ejecución de los planes de manejo de áreas protegidas (En Millones $)</t>
  </si>
  <si>
    <t>Adquisición de predios</t>
  </si>
  <si>
    <t>MUSICHI</t>
  </si>
  <si>
    <t>DMI</t>
  </si>
  <si>
    <t>Fortalecimiento Organizacional De La Comunidad</t>
  </si>
  <si>
    <t>Bañaderos</t>
  </si>
  <si>
    <t>Educación Ambiental</t>
  </si>
  <si>
    <t>(5) 7282672</t>
  </si>
  <si>
    <t xml:space="preserve">(5) 7282672. </t>
  </si>
  <si>
    <t>Puy (Tabebuia bilbergi),</t>
  </si>
  <si>
    <t xml:space="preserve">Corazon fino (Platysmicium pinnatum), </t>
  </si>
  <si>
    <t xml:space="preserve">Cedro (Cedrela odorata), </t>
  </si>
  <si>
    <t xml:space="preserve">Ceiba tolua (Pachira quinata), </t>
  </si>
  <si>
    <t>Carreto (Aspisoperma polyneuron)</t>
  </si>
  <si>
    <t>Grupo de Ecosistema y Biodiversidad</t>
  </si>
  <si>
    <t>Formulación del plan acción para la ejecución del Plan Regional de Negocios Verdes</t>
  </si>
  <si>
    <t>Establecimiento de pilotos de negocios verdes</t>
  </si>
  <si>
    <t>Conformación de ventanillas/Nodo de negocios verdes o realización de alianzas o acuerdos con otras instituciones para su implementación.</t>
  </si>
  <si>
    <t>Grupo de Ecosistemas y biodiversidad</t>
  </si>
  <si>
    <t>Gregoria Fonseca Lindao</t>
  </si>
  <si>
    <t>(5) 7282672. Ext 124</t>
  </si>
  <si>
    <t>Identificar condiciones ambientales a humedales costeros en el Municipio de Dibulla, UAC Vertiente Norte Sierra Nevada de Santa Marta.</t>
  </si>
  <si>
    <t>Identificar condiciones ambientales humedales urbano costeros en el Municipio de Riohacha, UAC Vertiente Norte de la Sierra Nevada de Santa Marta.</t>
  </si>
  <si>
    <t>Identificar condiciones ambientales al humedal costero de Musichi en el Municipio de Manaure, UAC Alta Guajira - AG</t>
  </si>
  <si>
    <t>Taller de Trabajo para la socialización de los lineamientos técnicos para la incorporación de consideraciones de cambio climático en los POMIUAC</t>
  </si>
  <si>
    <t xml:space="preserve"> Comisión Conjunta No. 004 UAC AG,  correspondiente a la No. 1 de 2016</t>
  </si>
  <si>
    <t>7.2.1 Taller de Trabajo para estructurar una propuesta de polígono de la UAC en jurisdicción de CORPOGUAJIRA</t>
  </si>
  <si>
    <t>Estudios para la modelación y diseño de obras de control de erosión costera para los barrios José Antonio Galán y Marbella, Riohacha – La Guajira</t>
  </si>
  <si>
    <t>Modelación geoeléctricas con los SEV en el área del municipio de Maicao.</t>
  </si>
  <si>
    <t>Desarrollar modelos que permitan mostrar la disponibilidad de agua en los acuíferos del municipio de Maicao</t>
  </si>
  <si>
    <t>Exploraciones geoeléctricas</t>
  </si>
  <si>
    <t>Seguimiento y monitoreo a las comunidades indígenas para motivarlos a notificar ante la corporación cualquier eventualidad en las infraestructuras de suministro de agua (filtraciones, daños, etc.)</t>
  </si>
  <si>
    <t>Orientar e incrementar las acciones de legalización de las captaciones de aguas subterráneas.</t>
  </si>
  <si>
    <t>Implementar programas de legalización de los usuarios.</t>
  </si>
  <si>
    <t>Optimizar, complementar y mantener en operación permanente la red de monitoreo de calidad y cantidad del agua subterránea.</t>
  </si>
  <si>
    <t>Adoptar programas y tecnologías de reducción de pérdidas de agua y mejoramiento de la infraestructura obsoleta existente en los sistemas de abastecimiento de agua.</t>
  </si>
  <si>
    <t>Incrementar la capacidad de participación de todos los actores involucrados en el plan de manejo de aguas subterráneas.</t>
  </si>
  <si>
    <t>Seguimiento, actualización y calibración del modelo numérico.</t>
  </si>
  <si>
    <t>Diseñar e implementar medidas para la identificación de captaciones abandonadas</t>
  </si>
  <si>
    <t>Diseño de una base de datos en la cual se consolide toda la información de los instrumentos.</t>
  </si>
  <si>
    <t>Realización de  estudios y pruebas que permitan identificar, recopilar, y analizar  información  para la obtención del proyecto piloto.</t>
  </si>
  <si>
    <t>Porcentaje de Planes de Ordenación y Manejo de Cuencas (POMCAS), Planes de Manejo de Acuiferos (PMA) y Planes de Manejo de Microcuencas (PMM) en ejecución</t>
  </si>
  <si>
    <t>Desarrollo de estrategia de gobernanza para la gestión y monitoreo en areas protegidas regionales en el dpto de La Guajira</t>
  </si>
  <si>
    <t>Delta Rio Ranchería</t>
  </si>
  <si>
    <t xml:space="preserve"> Perijá</t>
  </si>
  <si>
    <t xml:space="preserve"> Cañaverales</t>
  </si>
  <si>
    <t>Cuenca Baja Rio Ranchería</t>
  </si>
  <si>
    <t>Adquisición de Predios</t>
  </si>
  <si>
    <t>PNR</t>
  </si>
  <si>
    <t>Cerro Pintao</t>
  </si>
  <si>
    <t>(5) 7282672. Ext. 124</t>
  </si>
  <si>
    <t>Gregoria Isabel Fonseca Lndao</t>
  </si>
  <si>
    <t>Gregoria Isabel Fonseca Lindao, Julio Segundo Curvelo Redondo</t>
  </si>
  <si>
    <t>Grupo de Ecosistemas y Biodiversidad; Grupo Administración y Aprovechamiento del Recurso Hidrico</t>
  </si>
  <si>
    <t>g.fonseca@corpoguajira.gov.co; j.curvelo@corpoguajira.gov.co</t>
  </si>
  <si>
    <t>(5) 7282672. Ext. 124; 214</t>
  </si>
  <si>
    <t>Gran Kayushi</t>
  </si>
  <si>
    <t>Acuerdo # 032 del 22 de diciembre 2106</t>
  </si>
  <si>
    <t>Declarado</t>
  </si>
  <si>
    <t>Pastos Marinos</t>
  </si>
  <si>
    <t>Bahia Honda, Bahia Hondita</t>
  </si>
  <si>
    <t xml:space="preserve">Observaciones Generales </t>
  </si>
  <si>
    <t xml:space="preserve">Realización de evaluaciones ambientales estratégica e identificación de su huella de carbono en los sectores turismo, comercio, industrias, pesca, e instituciones </t>
  </si>
  <si>
    <t>Capacitación y campañas para la disposición final de residuos peligrosos de Posconsumo.</t>
  </si>
  <si>
    <t>Implementación de estrategias para la prevención de la explotación ilícita de minerales y recursos naturales.</t>
  </si>
  <si>
    <t>Asesoría para la formación en buenas prácticas ambientales para el ejercicio de la pequeña, mediana y minería de subsistencia</t>
  </si>
  <si>
    <t xml:space="preserve">Implementación de estrategias para la producción más limpia con los sectores productivos </t>
  </si>
  <si>
    <t>Implementación de estrategias de capacitación para la prevención, control y manejo de incendios forestales con el sector agropecuario</t>
  </si>
  <si>
    <t>Socialización de la estrategia de divulgación y capacitación a actores en cambio climático y de la Política Nacional para la Gobernanza y la Cultura del Agua PGNCA en los sectores productivos.</t>
  </si>
  <si>
    <t>Implementación de estrategias para la conservación de espacios naturales con vocación turística.</t>
  </si>
  <si>
    <t>Mineria</t>
  </si>
  <si>
    <t>Mineria y Turismo</t>
  </si>
  <si>
    <t xml:space="preserve">Turismo </t>
  </si>
  <si>
    <t>Grupo de Educación</t>
  </si>
  <si>
    <t>j.pacheco@corpoguajira.gov.co</t>
  </si>
  <si>
    <t>(5) 7282672. Ext. 108</t>
  </si>
  <si>
    <t>Conocer e identificar la base natural que soporta el territorio.  Asesorías a los municipios de Riohacha y Maicao para la delimitación de la estructura ecológica urbana.</t>
  </si>
  <si>
    <t>Identificar, prevenir y mitigar amenazas y vulnerabilidades de origen natural, socio natural y antrópico. Desarrollo de campañas para la recuperación de humedales, mantenimiento o adecuación de canales, acequias o pasos de aguas de escorrentía.</t>
  </si>
  <si>
    <t xml:space="preserve">Conservar, preservar y recuperar elementos naturales del espacio público. Realización de jornadas de arborización urbana en viviendas de interés social, vivienda de interés prioritarias y/o áreas públicas </t>
  </si>
  <si>
    <t>Recuperación participativa de barrios para la gestión ambiental urbana.</t>
  </si>
  <si>
    <t>Desarrollo de jornadas para la conservación ambiental en zonas de playas de los municipios costeros del Departamento.</t>
  </si>
  <si>
    <t>Asesorías para la formulación e implementación de los planes locales de arborización en Riohacha y Maicao.</t>
  </si>
  <si>
    <t>Asesoría y asistencia técnica a los entes territoriales en alternativas innovadoras para la disposición final de residuos sólidos</t>
  </si>
  <si>
    <t>Sensibilización de la aplicación del comparendo ambiental.</t>
  </si>
  <si>
    <t>Promoción del reciclaje y aprovechamiento de residuos orgánicos e inorgánicos enfocado al programa Basura 0.</t>
  </si>
  <si>
    <t>Asesorías para la conformación o fortalecimiento a grupos de recicladores o empresas comunitarias prestadoras de servicios públicos en saneamiento.</t>
  </si>
  <si>
    <t>Recopilación, análisis y reporte de los Indicadores de Calidad Ambiental Urbana.</t>
  </si>
  <si>
    <t>Asesoría y asistencia técnica para la gestión de residuos de centros de acopio de residuos sólidos reciclables, escombros y demolición.</t>
  </si>
  <si>
    <t>El proyecto plantea en el PA 12 actividades/ Acciones de las cules en el año 1 se trabajan 10, en el año 2 12; en el año 3 once (11) y en el año 4 diez (10), por que dos se ejecutan en su totalidad en el año 2: El total de acciones del proyecto en el PA son 12.</t>
  </si>
  <si>
    <t>Grupo de Educación Ambiental</t>
  </si>
  <si>
    <t>(5) 7282672. Ext 108</t>
  </si>
  <si>
    <t>Sistema General de Regalias, SGR</t>
  </si>
  <si>
    <t>SISTEMA GENERAL DE REGALIA</t>
  </si>
  <si>
    <t>Meta Fisica</t>
  </si>
  <si>
    <t>Programa/Proyecto</t>
  </si>
  <si>
    <t>Meta Financiera</t>
  </si>
  <si>
    <t>Recursos Comprometidos</t>
  </si>
  <si>
    <t>% Cumplimiento Meta Fisica</t>
  </si>
  <si>
    <t>%  Cumplimiento Meta Financiera</t>
  </si>
  <si>
    <t>Grupo Ecosistemas y Biodiversidad</t>
  </si>
  <si>
    <t>(5) 7271225. Ext. 124</t>
  </si>
  <si>
    <t>N L.A.: Número de solicitudes de licencia ambiental otorgados o negados.</t>
  </si>
  <si>
    <t>Grupo Licenciamiento Ambiental</t>
  </si>
  <si>
    <t xml:space="preserve">Jorge Marcos Palomino </t>
  </si>
  <si>
    <t>(5) 7275125. Ext 322</t>
  </si>
  <si>
    <t>Oficina de Planeación y Grupo de Evaluación Ambiental</t>
  </si>
  <si>
    <t>Yovani Delgado Moreno y Javier Calderon Oliver</t>
  </si>
  <si>
    <t>y.delgado@car.corpoguajira.gov.co; j.calderon@corpoguajira.gov.co</t>
  </si>
  <si>
    <t>(5) 7275125. Ext. 203, 322</t>
  </si>
  <si>
    <t>Estimar la población y habitat actual bajo presión del trafico ilegal</t>
  </si>
  <si>
    <t>Cardinalis phoeniceus. Icterus icterus</t>
  </si>
  <si>
    <t>Ateles hibridus: Ara militaris</t>
  </si>
  <si>
    <t>Idntificación de especies y atención a varamientos</t>
  </si>
  <si>
    <t>Rehabilitación postdecomiso</t>
  </si>
  <si>
    <t>Phoenicopterus ruber</t>
  </si>
  <si>
    <t>Agouti paca</t>
  </si>
  <si>
    <t>Mazama americano</t>
  </si>
  <si>
    <t>Geochelone carbonaria</t>
  </si>
  <si>
    <t>Crocodilus acutus</t>
  </si>
  <si>
    <t>Puma concolor</t>
  </si>
  <si>
    <t>Desarrollar procesos de conservación con enfoque en póblación de marimonda y guacamaya verde</t>
  </si>
  <si>
    <t xml:space="preserve">N C.A.S.: Número de solicitudes de concesión de agua atendidas en el periodo. </t>
  </si>
  <si>
    <t>N P.V.: Número de solicitudes de permisos de vertimiento atendidas en el periodo.</t>
  </si>
  <si>
    <t>N A.F. Número de solicitudes de permisos de aprovechamiento forestal atendidas en el periodo</t>
  </si>
  <si>
    <t>N P.E. Número de solicitudes de permisos de emisiones atmosféricas atendidas en el periodo</t>
  </si>
  <si>
    <t>TLA. Tiempo efectivo de duración del tramite de otorgamiento de concesiónes de agua (# de días)</t>
  </si>
  <si>
    <t xml:space="preserve"> ANEXO 1.   MATRIZ DE  SEGUIMIENTO A LA GESTIÓN Y AVANCE EN LAS METAS FÍSICAS Y FINANCIERAS DEL PLAN DE ACCIÓN 2016- 2016.</t>
  </si>
  <si>
    <t>Licencias, permisos y tramites ambientales (evaluación)</t>
  </si>
  <si>
    <t>Número de usuarios de agua a 31/12/2016</t>
  </si>
  <si>
    <t>Número de concesiones de agua otorgadas a 31/12/2016</t>
  </si>
  <si>
    <t>Número de captaciones de agua otorgadas a 31/12/2016</t>
  </si>
  <si>
    <t>Número total de licencias ambientales vigentes y aprobadas por la Corporación a 31/12/2106:</t>
  </si>
  <si>
    <t>Número de permisos de vertimiento de agua otorgadas a 31/12/2016</t>
  </si>
  <si>
    <t>Número de puntos de vertimientos a 31/12/2016</t>
  </si>
  <si>
    <t>Número de usuarios de permisos de aprovechamiento forestal a 31/12/2016</t>
  </si>
  <si>
    <t>Número de permisos de aprovechamiento forestal vigentes a 31/12/2016</t>
  </si>
  <si>
    <t>Número de usuarios de permisos de emisiones atmosféricas a 31/12/2016</t>
  </si>
  <si>
    <t>Número de permisos de emisiones atmosféricas vigentes a 31/12/2016</t>
  </si>
  <si>
    <t>Superficie cubierta en el Plan de Ordenación Forestal adoptado a 31/12/2016 (ha)</t>
  </si>
  <si>
    <t>Número de áreas protegidas inscritas en el RUNAP a 31/12/2016 (número)</t>
  </si>
  <si>
    <t>Superficie de áreas protegidas inscritas en el RUNAP a 31/12/2016 (ha)</t>
  </si>
  <si>
    <t>(11)                          META FINANCIERA ANUAL                              ($)                          2017</t>
  </si>
  <si>
    <t>Meta fisica modificada por Acuerdo # 012 27 04 2017</t>
  </si>
  <si>
    <t xml:space="preserve">VIGENCIA EVALUADA (AÑO): 2017                                                                            PERIODO EVALUADO (SEMESTRE): Enero - Junio </t>
  </si>
  <si>
    <t>META FINANCIERA                                                                                                  PLAN DE ACCION CUATRIENAL</t>
  </si>
  <si>
    <t>COMPORTAMIENTO META FISICA 
PLAN DE ACCION CUATRIENAL</t>
  </si>
  <si>
    <t>Restauración Activa y Pasiva de los Ríos Tomarrazón, Cotoprix, Cañas y Jerez, en los municipios de Riohacha y Dibulla en el departamento de La Guajira.</t>
  </si>
  <si>
    <t>Reforestación y aislamiento en la cuenca media del Rio Molino en el municipio de El Molino, departamento de La Guajira.</t>
  </si>
  <si>
    <t>Construcción de Aislamientos para Protección y Recuperación de las Cuencas de los Ríos Cesar y Ranchería, municipio de San Juan del Cesar, La Guajira</t>
  </si>
  <si>
    <t>(3)                                      META FISICA ANUAL. 2017         (Según unidad de medida)</t>
  </si>
  <si>
    <t xml:space="preserve">Resursos Vigencia 30 de junio 2017.  </t>
  </si>
  <si>
    <t>30 de Junio de 2107</t>
  </si>
  <si>
    <t>RECURSOS DE LA NACION, FONAM, FCA
$</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</si>
</sst>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3" formatCode="_-* #,##0.00_-;\-* #,##0.00_-;_-* &quot;-&quot;??_-;_-@_-"/>
    <numFmt numFmtId="164" formatCode="0.0"/>
    <numFmt numFmtId="165" formatCode="_-* #,##0_-;\-* #,##0_-;_-* &quot;-&quot;??_-;_-@_-"/>
    <numFmt numFmtId="166" formatCode="#,##0.0000"/>
    <numFmt numFmtId="167" formatCode="#,##0.00_ ;\-#,##0.00\ "/>
    <numFmt numFmtId="168" formatCode="#,##0.00000000"/>
    <numFmt numFmtId="169" formatCode="#,##0.000"/>
    <numFmt numFmtId="170" formatCode="0.0%"/>
    <numFmt numFmtId="171" formatCode="0.0000"/>
    <numFmt numFmtId="172" formatCode="0;[Red]0"/>
    <numFmt numFmtId="173" formatCode="#,##0.000000000"/>
    <numFmt numFmtId="174" formatCode="#,##0.0"/>
    <numFmt numFmtId="175" formatCode="_ * #,##0.00_ ;_ * \-#,##0.00_ ;_ * &quot;-&quot;??_ ;_ @_ "/>
    <numFmt numFmtId="176" formatCode="_ * #,##0_ ;_ * \-#,##0_ ;_ * &quot;-&quot;??_ ;_ @_ "/>
  </numFmts>
  <fonts count="82">
    <font>
      <sz val="11"/>
      <color theme="1"/>
      <name val="Calibri"/>
      <family val="2"/>
      <scheme val="minor"/>
    </font>
    <font>
      <sz val="11"/>
      <color rgb="FF006100"/>
      <name val="Calibri"/>
      <family val="2"/>
      <scheme val="minor"/>
    </font>
    <font>
      <b/>
      <sz val="11"/>
      <color rgb="FF000000"/>
      <name val="Calibri"/>
      <family val="2"/>
      <scheme val="minor"/>
    </font>
    <font>
      <b/>
      <sz val="9"/>
      <color rgb="FF000000"/>
      <name val="Calibri"/>
      <family val="2"/>
      <scheme val="minor"/>
    </font>
    <font>
      <sz val="9"/>
      <color rgb="FF000000"/>
      <name val="Calibri"/>
      <family val="2"/>
      <scheme val="minor"/>
    </font>
    <font>
      <b/>
      <i/>
      <sz val="9"/>
      <color rgb="FF000000"/>
      <name val="Calibri"/>
      <family val="2"/>
      <scheme val="minor"/>
    </font>
    <font>
      <i/>
      <sz val="9"/>
      <color rgb="FF000000"/>
      <name val="Calibri"/>
      <family val="2"/>
      <scheme val="minor"/>
    </font>
    <font>
      <sz val="9"/>
      <color theme="1"/>
      <name val="Calibri"/>
      <family val="2"/>
      <scheme val="minor"/>
    </font>
    <font>
      <sz val="8"/>
      <color rgb="FF000000"/>
      <name val="Calibri"/>
      <family val="2"/>
      <scheme val="minor"/>
    </font>
    <font>
      <sz val="9"/>
      <color rgb="FF000000"/>
      <name val="Calibri"/>
      <family val="2"/>
    </font>
    <font>
      <sz val="7"/>
      <color rgb="FF000000"/>
      <name val="Times New Roman"/>
      <family val="1"/>
    </font>
    <font>
      <vertAlign val="subscript"/>
      <sz val="9"/>
      <color rgb="FF000000"/>
      <name val="Calibri"/>
      <family val="2"/>
      <scheme val="minor"/>
    </font>
    <font>
      <b/>
      <u/>
      <sz val="9"/>
      <color rgb="FF000000"/>
      <name val="Calibri"/>
      <family val="2"/>
      <scheme val="minor"/>
    </font>
    <font>
      <i/>
      <sz val="7"/>
      <color rgb="FF000000"/>
      <name val="Times New Roman"/>
      <family val="1"/>
    </font>
    <font>
      <sz val="10"/>
      <color theme="1"/>
      <name val="Calibri"/>
      <family val="2"/>
      <scheme val="minor"/>
    </font>
    <font>
      <u/>
      <sz val="9"/>
      <color rgb="FF000000"/>
      <name val="Calibri"/>
      <family val="2"/>
      <scheme val="minor"/>
    </font>
    <font>
      <sz val="9"/>
      <color rgb="FF000000"/>
      <name val="Symbol"/>
      <family val="1"/>
      <charset val="2"/>
    </font>
    <font>
      <u/>
      <sz val="11"/>
      <color theme="10"/>
      <name val="Calibri"/>
      <family val="2"/>
      <scheme val="minor"/>
    </font>
    <font>
      <sz val="12"/>
      <color rgb="FF000000"/>
      <name val="Calibri"/>
      <family val="2"/>
    </font>
    <font>
      <sz val="7"/>
      <color rgb="FF000000"/>
      <name val="Calibri"/>
      <family val="2"/>
      <scheme val="minor"/>
    </font>
    <font>
      <b/>
      <i/>
      <sz val="9"/>
      <color indexed="8"/>
      <name val="Calibri"/>
      <family val="2"/>
      <scheme val="minor"/>
    </font>
    <font>
      <sz val="11"/>
      <color theme="1"/>
      <name val="Calibri"/>
      <family val="2"/>
      <scheme val="minor"/>
    </font>
    <font>
      <b/>
      <sz val="11"/>
      <color theme="1"/>
      <name val="Calibri"/>
      <family val="2"/>
      <scheme val="minor"/>
    </font>
    <font>
      <sz val="10"/>
      <color rgb="FF006100"/>
      <name val="Calibri"/>
      <family val="2"/>
      <scheme val="minor"/>
    </font>
    <font>
      <u/>
      <sz val="10"/>
      <color theme="10"/>
      <name val="Calibri"/>
      <family val="2"/>
      <scheme val="minor"/>
    </font>
    <font>
      <sz val="10"/>
      <color rgb="FF000000"/>
      <name val="Calibri"/>
      <family val="2"/>
      <scheme val="minor"/>
    </font>
    <font>
      <sz val="18"/>
      <color rgb="FF000000"/>
      <name val="Calibri"/>
      <family val="2"/>
      <scheme val="minor"/>
    </font>
    <font>
      <sz val="9"/>
      <color rgb="FFFF0000"/>
      <name val="Calibri"/>
      <family val="2"/>
      <scheme val="minor"/>
    </font>
    <font>
      <sz val="8"/>
      <color theme="1"/>
      <name val="Calibri"/>
      <family val="2"/>
      <scheme val="minor"/>
    </font>
    <font>
      <b/>
      <sz val="8"/>
      <color rgb="FF000000"/>
      <name val="Calibri"/>
      <family val="2"/>
      <scheme val="minor"/>
    </font>
    <font>
      <sz val="10"/>
      <name val="Arial Narrow"/>
      <family val="2"/>
    </font>
    <font>
      <b/>
      <sz val="12"/>
      <name val="Arial Narrow"/>
      <family val="2"/>
    </font>
    <font>
      <sz val="10"/>
      <name val="Arial"/>
      <family val="2"/>
    </font>
    <font>
      <b/>
      <sz val="10"/>
      <name val="Arial Narrow"/>
      <family val="2"/>
    </font>
    <font>
      <b/>
      <sz val="10"/>
      <color indexed="10"/>
      <name val="Arial Narrow"/>
      <family val="2"/>
    </font>
    <font>
      <b/>
      <sz val="11"/>
      <name val="Arial Narrow"/>
      <family val="2"/>
    </font>
    <font>
      <b/>
      <sz val="8"/>
      <name val="Arial Narrow"/>
      <family val="2"/>
    </font>
    <font>
      <sz val="8"/>
      <name val="Arial Narrow"/>
      <family val="2"/>
    </font>
    <font>
      <b/>
      <sz val="9"/>
      <name val="Arial Narrow"/>
      <family val="2"/>
    </font>
    <font>
      <b/>
      <sz val="7"/>
      <name val="Arial Narrow"/>
      <family val="2"/>
    </font>
    <font>
      <sz val="7"/>
      <name val="Arial Narrow"/>
      <family val="2"/>
    </font>
    <font>
      <u/>
      <sz val="7"/>
      <name val="Arial Narrow"/>
      <family val="2"/>
    </font>
    <font>
      <b/>
      <sz val="10"/>
      <name val="Arial"/>
      <family val="2"/>
    </font>
    <font>
      <sz val="10"/>
      <name val="Univers"/>
      <family val="2"/>
    </font>
    <font>
      <b/>
      <sz val="8"/>
      <name val="Univers"/>
      <family val="2"/>
    </font>
    <font>
      <sz val="8"/>
      <name val="Univers"/>
      <family val="2"/>
    </font>
    <font>
      <sz val="8"/>
      <name val="Arial"/>
      <family val="2"/>
    </font>
    <font>
      <b/>
      <sz val="9"/>
      <name val="Univers"/>
      <family val="2"/>
    </font>
    <font>
      <b/>
      <sz val="8"/>
      <name val="Arial"/>
      <family val="2"/>
    </font>
    <font>
      <b/>
      <sz val="6"/>
      <name val="Arial"/>
      <family val="2"/>
    </font>
    <font>
      <b/>
      <sz val="14"/>
      <name val="Arial Narrow"/>
      <family val="2"/>
    </font>
    <font>
      <b/>
      <sz val="9"/>
      <name val="Arial"/>
      <family val="2"/>
    </font>
    <font>
      <b/>
      <sz val="8"/>
      <name val="Calibri"/>
      <family val="2"/>
      <scheme val="minor"/>
    </font>
    <font>
      <b/>
      <sz val="12"/>
      <name val="Calibri"/>
      <family val="2"/>
      <scheme val="minor"/>
    </font>
    <font>
      <b/>
      <sz val="10"/>
      <name val="Calibri"/>
      <family val="2"/>
      <scheme val="minor"/>
    </font>
    <font>
      <b/>
      <sz val="12"/>
      <color theme="1"/>
      <name val="Calibri"/>
      <family val="2"/>
      <scheme val="minor"/>
    </font>
    <font>
      <sz val="9"/>
      <name val="Calibri"/>
      <family val="2"/>
      <scheme val="minor"/>
    </font>
    <font>
      <sz val="8"/>
      <color rgb="FFFF0000"/>
      <name val="Arial Narrow"/>
      <family val="2"/>
    </font>
    <font>
      <b/>
      <sz val="8"/>
      <color rgb="FFFF0000"/>
      <name val="Arial Narrow"/>
      <family val="2"/>
    </font>
    <font>
      <sz val="7"/>
      <color rgb="FFFF0000"/>
      <name val="Calibri"/>
      <family val="2"/>
      <scheme val="minor"/>
    </font>
    <font>
      <strike/>
      <sz val="8"/>
      <name val="Arial Narrow"/>
      <family val="2"/>
    </font>
    <font>
      <sz val="8"/>
      <color theme="3" tint="0.39997558519241921"/>
      <name val="Arial Narrow"/>
      <family val="2"/>
    </font>
    <font>
      <b/>
      <sz val="8"/>
      <color theme="3" tint="0.39997558519241921"/>
      <name val="Arial Narrow"/>
      <family val="2"/>
    </font>
    <font>
      <sz val="6"/>
      <name val="Arial Narrow"/>
      <family val="2"/>
    </font>
    <font>
      <sz val="6"/>
      <name val="Calibri"/>
      <family val="2"/>
      <scheme val="minor"/>
    </font>
    <font>
      <b/>
      <sz val="11"/>
      <name val="Calibri"/>
      <family val="2"/>
      <scheme val="minor"/>
    </font>
    <font>
      <b/>
      <sz val="9"/>
      <name val="Calibri"/>
      <family val="2"/>
      <scheme val="minor"/>
    </font>
    <font>
      <b/>
      <sz val="8"/>
      <color theme="1"/>
      <name val="Arial Narrow"/>
      <family val="2"/>
    </font>
    <font>
      <sz val="7"/>
      <name val="Calibri"/>
      <family val="2"/>
      <scheme val="minor"/>
    </font>
    <font>
      <b/>
      <sz val="8"/>
      <color indexed="10"/>
      <name val="Arial Narrow"/>
      <family val="2"/>
    </font>
    <font>
      <b/>
      <sz val="7"/>
      <name val="Univers"/>
    </font>
    <font>
      <b/>
      <sz val="7"/>
      <name val="Univers"/>
      <family val="2"/>
    </font>
    <font>
      <sz val="7"/>
      <name val="Arial"/>
      <family val="2"/>
    </font>
    <font>
      <sz val="7"/>
      <name val="Univers"/>
      <family val="2"/>
    </font>
    <font>
      <b/>
      <sz val="8"/>
      <name val="Univers"/>
    </font>
    <font>
      <sz val="9"/>
      <name val="Univers"/>
    </font>
    <font>
      <sz val="8"/>
      <name val="Univers"/>
    </font>
    <font>
      <sz val="8"/>
      <color theme="1"/>
      <name val="Arial Narrow"/>
      <family val="2"/>
    </font>
    <font>
      <sz val="9"/>
      <name val="Arial"/>
      <family val="2"/>
    </font>
    <font>
      <b/>
      <sz val="8"/>
      <color theme="1"/>
      <name val="Calibri"/>
      <family val="2"/>
      <scheme val="minor"/>
    </font>
    <font>
      <b/>
      <sz val="10"/>
      <color theme="1"/>
      <name val="Calibri"/>
      <family val="2"/>
      <scheme val="minor"/>
    </font>
    <font>
      <sz val="8"/>
      <name val="Calibri"/>
      <family val="2"/>
      <scheme val="minor"/>
    </font>
  </fonts>
  <fills count="32">
    <fill>
      <patternFill patternType="none"/>
    </fill>
    <fill>
      <patternFill patternType="gray125"/>
    </fill>
    <fill>
      <patternFill patternType="solid">
        <fgColor rgb="FFC6EFCE"/>
      </patternFill>
    </fill>
    <fill>
      <patternFill patternType="solid">
        <fgColor rgb="FFFFFF00"/>
        <bgColor indexed="64"/>
      </patternFill>
    </fill>
    <fill>
      <patternFill patternType="solid">
        <fgColor rgb="FFD9D9D9"/>
        <bgColor indexed="64"/>
      </patternFill>
    </fill>
    <fill>
      <patternFill patternType="solid">
        <fgColor rgb="FFF7CAAC"/>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249977111117893"/>
        <bgColor indexed="64"/>
      </patternFill>
    </fill>
    <fill>
      <patternFill patternType="solid">
        <fgColor indexed="41"/>
        <bgColor indexed="64"/>
      </patternFill>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13"/>
        <bgColor indexed="64"/>
      </patternFill>
    </fill>
    <fill>
      <patternFill patternType="solid">
        <fgColor indexed="45"/>
        <bgColor indexed="64"/>
      </patternFill>
    </fill>
    <fill>
      <patternFill patternType="solid">
        <fgColor indexed="14"/>
        <bgColor indexed="64"/>
      </patternFill>
    </fill>
    <fill>
      <patternFill patternType="solid">
        <fgColor indexed="31"/>
        <bgColor indexed="64"/>
      </patternFill>
    </fill>
    <fill>
      <patternFill patternType="solid">
        <fgColor indexed="26"/>
        <bgColor indexed="64"/>
      </patternFill>
    </fill>
    <fill>
      <patternFill patternType="solid">
        <fgColor indexed="9"/>
        <bgColor indexed="64"/>
      </patternFill>
    </fill>
    <fill>
      <patternFill patternType="solid">
        <fgColor theme="2" tint="-9.9978637043366805E-2"/>
        <bgColor indexed="64"/>
      </patternFill>
    </fill>
    <fill>
      <patternFill patternType="solid">
        <fgColor rgb="FFFFFF99"/>
        <bgColor indexed="64"/>
      </patternFill>
    </fill>
    <fill>
      <patternFill patternType="solid">
        <fgColor rgb="FFCCFFCC"/>
        <bgColor indexed="64"/>
      </patternFill>
    </fill>
    <fill>
      <patternFill patternType="solid">
        <fgColor rgb="FF00B0F0"/>
        <bgColor indexed="64"/>
      </patternFill>
    </fill>
    <fill>
      <patternFill patternType="solid">
        <fgColor rgb="FFC4C4C4"/>
        <bgColor indexed="64"/>
      </patternFill>
    </fill>
    <fill>
      <patternFill patternType="solid">
        <fgColor theme="3" tint="0.59999389629810485"/>
        <bgColor indexed="64"/>
      </patternFill>
    </fill>
    <fill>
      <patternFill patternType="solid">
        <fgColor rgb="FF92D050"/>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99FFCC"/>
        <bgColor indexed="64"/>
      </patternFill>
    </fill>
  </fills>
  <borders count="76">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double">
        <color rgb="FFFF8001"/>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8"/>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diagonal/>
    </border>
    <border>
      <left/>
      <right style="medium">
        <color indexed="64"/>
      </right>
      <top/>
      <bottom style="thin">
        <color indexed="64"/>
      </bottom>
      <diagonal/>
    </border>
    <border>
      <left/>
      <right style="thin">
        <color indexed="64"/>
      </right>
      <top style="medium">
        <color indexed="64"/>
      </top>
      <bottom/>
      <diagonal/>
    </border>
    <border>
      <left/>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s>
  <cellStyleXfs count="7">
    <xf numFmtId="0" fontId="0" fillId="0" borderId="0"/>
    <xf numFmtId="0" fontId="1" fillId="2" borderId="0" applyNumberFormat="0" applyBorder="0" applyAlignment="0" applyProtection="0"/>
    <xf numFmtId="0" fontId="17" fillId="0" borderId="0" applyNumberFormat="0" applyFill="0" applyBorder="0" applyAlignment="0" applyProtection="0"/>
    <xf numFmtId="9" fontId="21" fillId="0" borderId="0" applyFont="0" applyFill="0" applyBorder="0" applyAlignment="0" applyProtection="0"/>
    <xf numFmtId="43" fontId="21" fillId="0" borderId="0" applyFont="0" applyFill="0" applyBorder="0" applyAlignment="0" applyProtection="0"/>
    <xf numFmtId="0" fontId="32" fillId="0" borderId="0"/>
    <xf numFmtId="0" fontId="32" fillId="0" borderId="0"/>
  </cellStyleXfs>
  <cellXfs count="1655">
    <xf numFmtId="0" fontId="0" fillId="0" borderId="0" xfId="0"/>
    <xf numFmtId="0" fontId="0" fillId="0" borderId="0" xfId="0" applyAlignment="1"/>
    <xf numFmtId="0" fontId="4" fillId="0" borderId="0" xfId="0" applyFont="1" applyAlignment="1">
      <alignment vertical="top"/>
    </xf>
    <xf numFmtId="0" fontId="4" fillId="0" borderId="8" xfId="0" applyFont="1" applyBorder="1" applyAlignment="1">
      <alignment horizontal="center" vertical="top" wrapText="1"/>
    </xf>
    <xf numFmtId="0" fontId="3" fillId="0" borderId="0" xfId="0" applyFont="1" applyAlignment="1">
      <alignment vertical="top"/>
    </xf>
    <xf numFmtId="0" fontId="3" fillId="0" borderId="12" xfId="0" applyFont="1" applyBorder="1" applyAlignment="1">
      <alignment vertical="top" wrapText="1"/>
    </xf>
    <xf numFmtId="0" fontId="0" fillId="0" borderId="0" xfId="0" applyAlignment="1">
      <alignment vertical="top"/>
    </xf>
    <xf numFmtId="0" fontId="4" fillId="3" borderId="7" xfId="0" applyFont="1" applyFill="1" applyBorder="1" applyAlignment="1" applyProtection="1">
      <alignment horizontal="center" vertical="top" wrapText="1"/>
      <protection locked="0"/>
    </xf>
    <xf numFmtId="0" fontId="4" fillId="0" borderId="0" xfId="0" applyFont="1" applyAlignment="1" applyProtection="1">
      <alignment vertical="top"/>
      <protection locked="0"/>
    </xf>
    <xf numFmtId="0" fontId="4" fillId="0" borderId="8" xfId="0" applyFont="1" applyBorder="1" applyAlignment="1" applyProtection="1">
      <alignment horizontal="center" vertical="top" wrapText="1"/>
      <protection locked="0"/>
    </xf>
    <xf numFmtId="0" fontId="3" fillId="0" borderId="0" xfId="0" applyFont="1" applyAlignment="1" applyProtection="1">
      <alignment vertical="top"/>
      <protection locked="0"/>
    </xf>
    <xf numFmtId="0" fontId="0" fillId="0" borderId="8" xfId="0" applyBorder="1"/>
    <xf numFmtId="0" fontId="0" fillId="0" borderId="5" xfId="0" applyBorder="1"/>
    <xf numFmtId="0" fontId="0" fillId="0" borderId="13" xfId="0" applyBorder="1"/>
    <xf numFmtId="0" fontId="0" fillId="0" borderId="6" xfId="0" applyBorder="1"/>
    <xf numFmtId="0" fontId="0" fillId="0" borderId="11" xfId="0" applyBorder="1"/>
    <xf numFmtId="0" fontId="4" fillId="0" borderId="8" xfId="0" applyFont="1" applyBorder="1" applyAlignment="1">
      <alignment horizontal="left" vertical="center" wrapText="1"/>
    </xf>
    <xf numFmtId="0" fontId="0" fillId="0" borderId="6" xfId="0" applyBorder="1" applyAlignment="1">
      <alignment vertical="top" wrapText="1"/>
    </xf>
    <xf numFmtId="0" fontId="0" fillId="7" borderId="16" xfId="0" applyFill="1" applyBorder="1" applyAlignment="1">
      <alignment vertical="top"/>
    </xf>
    <xf numFmtId="0" fontId="0" fillId="0" borderId="0" xfId="0" applyAlignment="1" applyProtection="1">
      <alignment vertical="top"/>
      <protection locked="0"/>
    </xf>
    <xf numFmtId="0" fontId="0" fillId="0" borderId="6" xfId="0" applyBorder="1" applyAlignment="1" applyProtection="1">
      <alignment vertical="top"/>
      <protection locked="0"/>
    </xf>
    <xf numFmtId="0" fontId="4" fillId="0" borderId="7" xfId="0" applyFont="1" applyBorder="1" applyAlignment="1" applyProtection="1">
      <alignment horizontal="center" vertical="top" wrapText="1"/>
      <protection locked="0"/>
    </xf>
    <xf numFmtId="0" fontId="0" fillId="0" borderId="6" xfId="0" applyBorder="1" applyAlignment="1">
      <alignment vertical="top"/>
    </xf>
    <xf numFmtId="0" fontId="0" fillId="0" borderId="11" xfId="0" applyBorder="1" applyAlignment="1">
      <alignment vertical="top"/>
    </xf>
    <xf numFmtId="0" fontId="0" fillId="0" borderId="8" xfId="0" applyBorder="1" applyAlignment="1">
      <alignment vertical="top"/>
    </xf>
    <xf numFmtId="0" fontId="14" fillId="0" borderId="7" xfId="0" applyFont="1" applyBorder="1" applyAlignment="1">
      <alignment vertical="top"/>
    </xf>
    <xf numFmtId="0" fontId="9" fillId="0" borderId="6" xfId="0" applyFont="1" applyBorder="1" applyAlignment="1">
      <alignment vertical="top" wrapText="1"/>
    </xf>
    <xf numFmtId="0" fontId="14" fillId="0" borderId="8" xfId="0" applyFont="1" applyBorder="1" applyAlignment="1">
      <alignment vertical="top"/>
    </xf>
    <xf numFmtId="0" fontId="5" fillId="0" borderId="0" xfId="0" applyFont="1" applyBorder="1" applyAlignment="1">
      <alignment vertical="top"/>
    </xf>
    <xf numFmtId="0" fontId="7" fillId="0" borderId="0" xfId="0" applyFont="1" applyAlignment="1" applyProtection="1">
      <alignment vertical="top"/>
      <protection locked="0"/>
    </xf>
    <xf numFmtId="0" fontId="4" fillId="3" borderId="8" xfId="0" applyFont="1" applyFill="1" applyBorder="1" applyAlignment="1" applyProtection="1">
      <alignment vertical="top" wrapText="1"/>
      <protection locked="0"/>
    </xf>
    <xf numFmtId="0" fontId="4" fillId="3" borderId="8" xfId="0" applyFont="1" applyFill="1" applyBorder="1" applyAlignment="1" applyProtection="1">
      <alignment vertical="top"/>
      <protection locked="0"/>
    </xf>
    <xf numFmtId="9" fontId="4" fillId="3" borderId="8" xfId="0" applyNumberFormat="1" applyFont="1" applyFill="1" applyBorder="1" applyAlignment="1" applyProtection="1">
      <alignment vertical="top"/>
      <protection locked="0"/>
    </xf>
    <xf numFmtId="9" fontId="4" fillId="0" borderId="8" xfId="0" applyNumberFormat="1" applyFont="1" applyFill="1" applyBorder="1" applyAlignment="1" applyProtection="1">
      <alignment vertical="top"/>
      <protection locked="0"/>
    </xf>
    <xf numFmtId="0" fontId="5" fillId="0" borderId="8" xfId="0" applyFont="1" applyBorder="1" applyAlignment="1" applyProtection="1">
      <alignment vertical="top" wrapText="1"/>
      <protection locked="0"/>
    </xf>
    <xf numFmtId="0" fontId="4" fillId="0" borderId="8" xfId="0" applyFont="1" applyBorder="1" applyAlignment="1" applyProtection="1">
      <alignment vertical="top"/>
      <protection locked="0"/>
    </xf>
    <xf numFmtId="17" fontId="4" fillId="0" borderId="13" xfId="0" applyNumberFormat="1" applyFont="1" applyBorder="1" applyAlignment="1" applyProtection="1">
      <alignment vertical="top" wrapText="1"/>
      <protection locked="0"/>
    </xf>
    <xf numFmtId="0" fontId="4" fillId="0" borderId="12" xfId="0" applyFont="1" applyBorder="1" applyAlignment="1" applyProtection="1">
      <alignment vertical="top" wrapText="1"/>
      <protection locked="0"/>
    </xf>
    <xf numFmtId="0" fontId="7" fillId="0" borderId="0" xfId="0" applyFont="1" applyAlignment="1">
      <alignment vertical="top"/>
    </xf>
    <xf numFmtId="0" fontId="4" fillId="0" borderId="7" xfId="0" applyFont="1" applyBorder="1" applyAlignment="1">
      <alignment vertical="top"/>
    </xf>
    <xf numFmtId="0" fontId="4" fillId="0" borderId="8" xfId="0" applyFont="1" applyBorder="1" applyAlignment="1">
      <alignment vertical="top"/>
    </xf>
    <xf numFmtId="0" fontId="4" fillId="0" borderId="8" xfId="0" applyFont="1" applyBorder="1" applyAlignment="1">
      <alignment vertical="top" wrapText="1"/>
    </xf>
    <xf numFmtId="0" fontId="4" fillId="3" borderId="8" xfId="0" applyFont="1" applyFill="1" applyBorder="1" applyAlignment="1">
      <alignment vertical="top"/>
    </xf>
    <xf numFmtId="0" fontId="4" fillId="4" borderId="8" xfId="0" applyFont="1" applyFill="1" applyBorder="1" applyAlignment="1">
      <alignment vertical="top"/>
    </xf>
    <xf numFmtId="0" fontId="4" fillId="0" borderId="7" xfId="0" applyFont="1" applyBorder="1" applyAlignment="1">
      <alignment vertical="top" wrapText="1"/>
    </xf>
    <xf numFmtId="0" fontId="4" fillId="3" borderId="8" xfId="0" applyFont="1" applyFill="1" applyBorder="1" applyAlignment="1">
      <alignment vertical="top" wrapText="1"/>
    </xf>
    <xf numFmtId="0" fontId="4" fillId="0" borderId="13" xfId="0" applyFont="1" applyBorder="1" applyAlignment="1">
      <alignment vertical="top"/>
    </xf>
    <xf numFmtId="0" fontId="4" fillId="0" borderId="6" xfId="0" applyFont="1" applyBorder="1" applyAlignment="1">
      <alignment vertical="top" wrapText="1"/>
    </xf>
    <xf numFmtId="0" fontId="4" fillId="0" borderId="13" xfId="0" applyFont="1" applyBorder="1" applyAlignment="1">
      <alignment vertical="top" wrapText="1"/>
    </xf>
    <xf numFmtId="0" fontId="5" fillId="0" borderId="8" xfId="0" applyFont="1" applyBorder="1" applyAlignment="1">
      <alignment vertical="top" wrapText="1"/>
    </xf>
    <xf numFmtId="17" fontId="4" fillId="0" borderId="13" xfId="0" applyNumberFormat="1" applyFont="1" applyBorder="1" applyAlignment="1">
      <alignment vertical="top" wrapText="1"/>
    </xf>
    <xf numFmtId="0" fontId="6" fillId="0" borderId="8" xfId="0" applyFont="1" applyBorder="1" applyAlignment="1">
      <alignment vertical="top" wrapText="1"/>
    </xf>
    <xf numFmtId="0" fontId="12" fillId="0" borderId="12" xfId="0" applyFont="1" applyBorder="1" applyAlignment="1">
      <alignment vertical="top" wrapText="1"/>
    </xf>
    <xf numFmtId="0" fontId="4" fillId="0" borderId="12" xfId="0" applyFont="1" applyBorder="1" applyAlignment="1">
      <alignment vertical="top" wrapText="1"/>
    </xf>
    <xf numFmtId="0" fontId="3" fillId="0" borderId="6" xfId="0" applyFont="1" applyBorder="1" applyAlignment="1">
      <alignment vertical="top" wrapText="1"/>
    </xf>
    <xf numFmtId="0" fontId="15" fillId="0" borderId="6" xfId="0" applyFont="1" applyBorder="1" applyAlignment="1">
      <alignment vertical="top" wrapText="1"/>
    </xf>
    <xf numFmtId="0" fontId="17" fillId="0" borderId="6" xfId="2" applyBorder="1" applyAlignment="1">
      <alignment vertical="top" wrapText="1"/>
    </xf>
    <xf numFmtId="0" fontId="17" fillId="0" borderId="8" xfId="2" applyBorder="1" applyAlignment="1">
      <alignment vertical="top" wrapText="1"/>
    </xf>
    <xf numFmtId="0" fontId="12" fillId="0" borderId="6" xfId="0" applyFont="1" applyBorder="1" applyAlignment="1">
      <alignment vertical="top" wrapText="1"/>
    </xf>
    <xf numFmtId="0" fontId="6" fillId="0" borderId="6" xfId="0" applyFont="1" applyBorder="1" applyAlignment="1">
      <alignment vertical="top" wrapText="1"/>
    </xf>
    <xf numFmtId="0" fontId="7" fillId="0" borderId="0" xfId="0" applyFont="1" applyAlignment="1">
      <alignment vertical="top" wrapText="1"/>
    </xf>
    <xf numFmtId="0" fontId="19" fillId="0" borderId="13" xfId="0" applyFont="1" applyBorder="1" applyAlignment="1">
      <alignment vertical="top" wrapText="1"/>
    </xf>
    <xf numFmtId="0" fontId="16" fillId="0" borderId="6" xfId="0" applyFont="1" applyBorder="1" applyAlignment="1">
      <alignment vertical="top" wrapText="1"/>
    </xf>
    <xf numFmtId="0" fontId="16" fillId="0" borderId="8" xfId="0" applyFont="1" applyBorder="1" applyAlignment="1">
      <alignment vertical="top" wrapText="1"/>
    </xf>
    <xf numFmtId="0" fontId="4" fillId="0" borderId="4" xfId="0" applyFont="1" applyBorder="1" applyAlignment="1">
      <alignment vertical="top" wrapText="1"/>
    </xf>
    <xf numFmtId="0" fontId="3" fillId="0" borderId="4" xfId="0" applyFont="1" applyBorder="1" applyAlignment="1">
      <alignment vertical="top" wrapText="1"/>
    </xf>
    <xf numFmtId="0" fontId="8" fillId="0" borderId="8" xfId="0" applyFont="1" applyBorder="1" applyAlignment="1">
      <alignment vertical="top" wrapText="1"/>
    </xf>
    <xf numFmtId="0" fontId="8" fillId="0" borderId="7" xfId="0" applyFont="1" applyBorder="1" applyAlignment="1">
      <alignment vertical="top" wrapText="1"/>
    </xf>
    <xf numFmtId="0" fontId="3" fillId="0" borderId="7" xfId="0" applyFont="1" applyBorder="1" applyAlignment="1">
      <alignment vertical="top"/>
    </xf>
    <xf numFmtId="0" fontId="3" fillId="0" borderId="8" xfId="0" applyFont="1" applyBorder="1" applyAlignment="1">
      <alignment vertical="top" wrapText="1"/>
    </xf>
    <xf numFmtId="0" fontId="8" fillId="0" borderId="6" xfId="0" applyFont="1" applyBorder="1" applyAlignment="1">
      <alignment vertical="top" wrapText="1"/>
    </xf>
    <xf numFmtId="0" fontId="3" fillId="0" borderId="7" xfId="0" applyFont="1" applyBorder="1" applyAlignment="1">
      <alignment vertical="top" wrapText="1"/>
    </xf>
    <xf numFmtId="0" fontId="15" fillId="0" borderId="8" xfId="0" applyFont="1" applyBorder="1" applyAlignment="1">
      <alignment vertical="top" wrapText="1"/>
    </xf>
    <xf numFmtId="0" fontId="8" fillId="0" borderId="13" xfId="0" applyFont="1" applyBorder="1" applyAlignment="1">
      <alignment vertical="top" wrapText="1"/>
    </xf>
    <xf numFmtId="0" fontId="8" fillId="0" borderId="4" xfId="0" applyFont="1" applyBorder="1" applyAlignment="1">
      <alignment vertical="top" wrapText="1"/>
    </xf>
    <xf numFmtId="0" fontId="0" fillId="3" borderId="16" xfId="0" applyFill="1" applyBorder="1" applyAlignment="1">
      <alignment vertical="top"/>
    </xf>
    <xf numFmtId="0" fontId="20" fillId="0" borderId="0" xfId="0" applyFont="1" applyBorder="1" applyAlignment="1">
      <alignment vertical="top"/>
    </xf>
    <xf numFmtId="0" fontId="4" fillId="0" borderId="0" xfId="0" applyFont="1" applyAlignment="1">
      <alignment horizontal="center" vertical="top"/>
    </xf>
    <xf numFmtId="0" fontId="6" fillId="0" borderId="0" xfId="0" applyFont="1" applyBorder="1" applyAlignment="1">
      <alignment horizontal="center" vertical="top" wrapText="1"/>
    </xf>
    <xf numFmtId="0" fontId="7" fillId="0" borderId="0" xfId="0" applyFont="1" applyAlignment="1" applyProtection="1">
      <alignment horizontal="center" vertical="top"/>
      <protection locked="0"/>
    </xf>
    <xf numFmtId="0" fontId="4" fillId="0" borderId="13" xfId="0" applyFont="1" applyBorder="1" applyAlignment="1" applyProtection="1">
      <alignment horizontal="center" vertical="top" wrapText="1"/>
      <protection locked="0"/>
    </xf>
    <xf numFmtId="0" fontId="0" fillId="0" borderId="0" xfId="0" applyAlignment="1" applyProtection="1">
      <alignment horizontal="center" vertical="top"/>
      <protection locked="0"/>
    </xf>
    <xf numFmtId="0" fontId="4" fillId="0" borderId="0" xfId="0" applyFont="1" applyAlignment="1" applyProtection="1">
      <alignment horizontal="center" vertical="top"/>
      <protection locked="0"/>
    </xf>
    <xf numFmtId="0" fontId="4" fillId="0" borderId="6" xfId="0" applyFont="1" applyBorder="1" applyAlignment="1" applyProtection="1">
      <alignment horizontal="center" vertical="top" wrapText="1"/>
      <protection locked="0"/>
    </xf>
    <xf numFmtId="0" fontId="3" fillId="0" borderId="0" xfId="0" applyFont="1" applyAlignment="1" applyProtection="1">
      <alignment horizontal="center" vertical="top"/>
      <protection locked="0"/>
    </xf>
    <xf numFmtId="0" fontId="3" fillId="0" borderId="0" xfId="0" applyFont="1" applyBorder="1" applyAlignment="1" applyProtection="1">
      <alignment horizontal="center" vertical="top" wrapText="1"/>
      <protection locked="0"/>
    </xf>
    <xf numFmtId="0" fontId="12" fillId="0" borderId="0" xfId="0" applyFont="1" applyBorder="1" applyAlignment="1" applyProtection="1">
      <alignment horizontal="center" vertical="top" wrapText="1"/>
      <protection locked="0"/>
    </xf>
    <xf numFmtId="0" fontId="4" fillId="0" borderId="10" xfId="0" applyFont="1" applyBorder="1" applyAlignment="1" applyProtection="1">
      <alignment horizontal="center" vertical="top" wrapText="1"/>
      <protection locked="0"/>
    </xf>
    <xf numFmtId="0" fontId="0" fillId="0" borderId="0" xfId="0" applyAlignment="1">
      <alignment horizontal="center" vertical="top"/>
    </xf>
    <xf numFmtId="0" fontId="7" fillId="0" borderId="0" xfId="0" applyFont="1" applyAlignment="1">
      <alignment horizontal="center" vertical="top"/>
    </xf>
    <xf numFmtId="0" fontId="4" fillId="0" borderId="2" xfId="0" applyFont="1" applyBorder="1" applyAlignment="1">
      <alignment horizontal="center" vertical="top" wrapText="1"/>
    </xf>
    <xf numFmtId="0" fontId="4" fillId="0" borderId="7" xfId="0" applyFont="1" applyBorder="1" applyAlignment="1">
      <alignment horizontal="center" vertical="top"/>
    </xf>
    <xf numFmtId="0" fontId="4" fillId="0" borderId="8" xfId="0" applyFont="1" applyBorder="1" applyAlignment="1">
      <alignment horizontal="center" vertical="top"/>
    </xf>
    <xf numFmtId="0" fontId="4" fillId="0" borderId="9" xfId="0" applyFont="1" applyBorder="1" applyAlignment="1">
      <alignment horizontal="center" vertical="top" wrapText="1"/>
    </xf>
    <xf numFmtId="0" fontId="4" fillId="0" borderId="10" xfId="0" applyFont="1" applyBorder="1" applyAlignment="1">
      <alignment horizontal="center" vertical="top" wrapText="1"/>
    </xf>
    <xf numFmtId="0" fontId="4" fillId="0" borderId="6" xfId="0" applyFont="1" applyBorder="1" applyAlignment="1">
      <alignment horizontal="center" vertical="top" wrapText="1"/>
    </xf>
    <xf numFmtId="0" fontId="3" fillId="0" borderId="0" xfId="0" applyFont="1" applyAlignment="1">
      <alignment horizontal="center" vertical="top"/>
    </xf>
    <xf numFmtId="0" fontId="3" fillId="0" borderId="0" xfId="0" applyFont="1" applyBorder="1" applyAlignment="1">
      <alignment horizontal="center" vertical="top" wrapText="1"/>
    </xf>
    <xf numFmtId="0" fontId="12" fillId="0" borderId="0" xfId="0" applyFont="1" applyBorder="1" applyAlignment="1">
      <alignment horizontal="center" vertical="top" wrapText="1"/>
    </xf>
    <xf numFmtId="0" fontId="4" fillId="0" borderId="7" xfId="0" applyFont="1" applyBorder="1" applyAlignment="1">
      <alignment horizontal="center" vertical="top" wrapText="1"/>
    </xf>
    <xf numFmtId="0" fontId="4" fillId="0" borderId="1" xfId="0" applyFont="1" applyBorder="1" applyAlignment="1">
      <alignment horizontal="center" vertical="top" wrapText="1"/>
    </xf>
    <xf numFmtId="0" fontId="4" fillId="0" borderId="13" xfId="0" applyFont="1" applyBorder="1" applyAlignment="1">
      <alignment horizontal="center" vertical="top" wrapText="1"/>
    </xf>
    <xf numFmtId="0" fontId="4" fillId="0" borderId="0" xfId="0" applyFont="1" applyBorder="1" applyAlignment="1">
      <alignment horizontal="center" vertical="top" wrapText="1"/>
    </xf>
    <xf numFmtId="0" fontId="8" fillId="0" borderId="2" xfId="0" applyFont="1" applyBorder="1" applyAlignment="1">
      <alignment horizontal="center" vertical="top" wrapText="1"/>
    </xf>
    <xf numFmtId="0" fontId="8" fillId="0" borderId="9" xfId="0" applyFont="1" applyBorder="1" applyAlignment="1">
      <alignment horizontal="center" vertical="top" wrapText="1"/>
    </xf>
    <xf numFmtId="0" fontId="19" fillId="0" borderId="10" xfId="0" applyFont="1" applyBorder="1" applyAlignment="1">
      <alignment horizontal="center" vertical="top" wrapText="1"/>
    </xf>
    <xf numFmtId="0" fontId="4" fillId="0" borderId="4" xfId="0" applyFont="1" applyBorder="1" applyAlignment="1">
      <alignment horizontal="center" vertical="top" wrapText="1"/>
    </xf>
    <xf numFmtId="0" fontId="3" fillId="0" borderId="8" xfId="0" applyFont="1" applyBorder="1" applyAlignment="1">
      <alignment horizontal="center" vertical="top" wrapText="1"/>
    </xf>
    <xf numFmtId="0" fontId="4" fillId="0" borderId="0" xfId="0" applyFont="1" applyBorder="1" applyAlignment="1">
      <alignment horizontal="center" vertical="top"/>
    </xf>
    <xf numFmtId="0" fontId="8" fillId="0" borderId="10" xfId="0" applyFont="1" applyBorder="1" applyAlignment="1">
      <alignment horizontal="center" vertical="top" wrapText="1"/>
    </xf>
    <xf numFmtId="0" fontId="8" fillId="0" borderId="6" xfId="0" applyFont="1" applyBorder="1" applyAlignment="1">
      <alignment horizontal="center" vertical="top" wrapText="1"/>
    </xf>
    <xf numFmtId="0" fontId="8" fillId="0" borderId="8" xfId="0" applyFont="1" applyBorder="1" applyAlignment="1">
      <alignment horizontal="center" vertical="top" wrapText="1"/>
    </xf>
    <xf numFmtId="0" fontId="14" fillId="0" borderId="8" xfId="0" applyFont="1" applyBorder="1" applyAlignment="1">
      <alignment horizontal="center" vertical="top"/>
    </xf>
    <xf numFmtId="0" fontId="4" fillId="0" borderId="8" xfId="0" applyFont="1" applyFill="1" applyBorder="1" applyAlignment="1">
      <alignment vertical="top" wrapText="1"/>
    </xf>
    <xf numFmtId="0" fontId="0" fillId="0" borderId="1" xfId="0" applyBorder="1" applyAlignment="1" applyProtection="1">
      <alignment vertical="top"/>
      <protection locked="0"/>
    </xf>
    <xf numFmtId="0" fontId="0" fillId="0" borderId="5" xfId="0" applyBorder="1" applyAlignment="1" applyProtection="1">
      <alignment vertical="top"/>
      <protection locked="0"/>
    </xf>
    <xf numFmtId="0" fontId="0" fillId="0" borderId="13" xfId="0" applyBorder="1" applyAlignment="1" applyProtection="1">
      <alignment vertical="top"/>
      <protection locked="0"/>
    </xf>
    <xf numFmtId="0" fontId="0" fillId="0" borderId="1" xfId="0" applyBorder="1" applyAlignment="1">
      <alignment vertical="top"/>
    </xf>
    <xf numFmtId="0" fontId="0" fillId="0" borderId="5" xfId="0" applyBorder="1" applyAlignment="1">
      <alignment vertical="top"/>
    </xf>
    <xf numFmtId="0" fontId="0" fillId="0" borderId="13" xfId="0" applyBorder="1" applyAlignment="1">
      <alignment vertical="top"/>
    </xf>
    <xf numFmtId="0" fontId="0" fillId="0" borderId="1" xfId="0" applyBorder="1"/>
    <xf numFmtId="0" fontId="12" fillId="0" borderId="14" xfId="0" applyFont="1" applyBorder="1" applyAlignment="1">
      <alignment vertical="top"/>
    </xf>
    <xf numFmtId="0" fontId="12" fillId="0" borderId="15" xfId="0" applyFont="1" applyBorder="1" applyAlignment="1">
      <alignment vertical="top"/>
    </xf>
    <xf numFmtId="0" fontId="12" fillId="0" borderId="7" xfId="0" applyFont="1" applyBorder="1" applyAlignment="1">
      <alignment vertical="top"/>
    </xf>
    <xf numFmtId="0" fontId="4" fillId="0" borderId="7" xfId="0" applyFont="1" applyBorder="1" applyAlignment="1">
      <alignment vertical="top" wrapText="1"/>
    </xf>
    <xf numFmtId="0" fontId="12" fillId="0" borderId="14" xfId="0" applyFont="1" applyBorder="1" applyAlignment="1">
      <alignment vertical="top" wrapText="1"/>
    </xf>
    <xf numFmtId="0" fontId="12" fillId="0" borderId="15" xfId="0" applyFont="1" applyBorder="1" applyAlignment="1">
      <alignment vertical="top" wrapText="1"/>
    </xf>
    <xf numFmtId="0" fontId="12" fillId="0" borderId="7" xfId="0" applyFont="1" applyBorder="1" applyAlignment="1">
      <alignment vertical="top" wrapText="1"/>
    </xf>
    <xf numFmtId="0" fontId="4" fillId="0" borderId="11" xfId="0" applyFont="1" applyBorder="1" applyAlignment="1">
      <alignment vertical="top" wrapText="1"/>
    </xf>
    <xf numFmtId="0" fontId="4" fillId="0" borderId="8" xfId="0" applyFont="1" applyBorder="1" applyAlignment="1">
      <alignment vertical="top" wrapText="1"/>
    </xf>
    <xf numFmtId="0" fontId="4" fillId="0" borderId="8" xfId="0" applyFont="1" applyBorder="1" applyAlignment="1">
      <alignment horizontal="center" vertical="top" wrapText="1"/>
    </xf>
    <xf numFmtId="0" fontId="4" fillId="0" borderId="0" xfId="0" applyFont="1" applyBorder="1" applyAlignment="1">
      <alignment horizontal="center" vertical="top" wrapText="1"/>
    </xf>
    <xf numFmtId="0" fontId="4" fillId="0" borderId="14" xfId="0" applyFont="1" applyBorder="1" applyAlignment="1">
      <alignment vertical="top"/>
    </xf>
    <xf numFmtId="0" fontId="4" fillId="0" borderId="15" xfId="0" applyFont="1" applyBorder="1" applyAlignment="1">
      <alignment vertical="top"/>
    </xf>
    <xf numFmtId="0" fontId="4" fillId="0" borderId="7" xfId="0" applyFont="1" applyBorder="1" applyAlignment="1">
      <alignment vertical="top"/>
    </xf>
    <xf numFmtId="0" fontId="4" fillId="3" borderId="8" xfId="0" applyFont="1" applyFill="1" applyBorder="1" applyAlignment="1">
      <alignment horizontal="center" vertical="top"/>
    </xf>
    <xf numFmtId="0" fontId="3" fillId="0" borderId="1" xfId="0" applyFont="1" applyBorder="1" applyAlignment="1">
      <alignment vertical="top" wrapText="1"/>
    </xf>
    <xf numFmtId="0" fontId="4" fillId="0" borderId="0" xfId="0" applyFont="1" applyBorder="1" applyAlignment="1">
      <alignment vertical="top" wrapText="1"/>
    </xf>
    <xf numFmtId="0" fontId="0" fillId="0" borderId="0" xfId="0" applyAlignment="1">
      <alignment horizontal="left" vertical="top"/>
    </xf>
    <xf numFmtId="0" fontId="0" fillId="0" borderId="0" xfId="0" applyAlignment="1">
      <alignment horizontal="left"/>
    </xf>
    <xf numFmtId="0" fontId="0" fillId="0" borderId="0" xfId="0" applyAlignment="1">
      <alignment horizontal="center"/>
    </xf>
    <xf numFmtId="0" fontId="4" fillId="3" borderId="8" xfId="0" applyFont="1" applyFill="1" applyBorder="1" applyAlignment="1">
      <alignment horizontal="left" vertical="top"/>
    </xf>
    <xf numFmtId="3" fontId="4" fillId="4" borderId="8" xfId="0" applyNumberFormat="1" applyFont="1" applyFill="1" applyBorder="1" applyAlignment="1">
      <alignment vertical="top"/>
    </xf>
    <xf numFmtId="3" fontId="4" fillId="4" borderId="13" xfId="0" applyNumberFormat="1" applyFont="1" applyFill="1" applyBorder="1" applyAlignment="1">
      <alignment vertical="top"/>
    </xf>
    <xf numFmtId="3" fontId="4" fillId="4" borderId="13" xfId="0" applyNumberFormat="1" applyFont="1" applyFill="1" applyBorder="1" applyAlignment="1">
      <alignment horizontal="center" vertical="top"/>
    </xf>
    <xf numFmtId="9" fontId="4" fillId="4" borderId="12" xfId="3" applyFont="1" applyFill="1" applyBorder="1" applyAlignment="1">
      <alignment horizontal="center" vertical="top"/>
    </xf>
    <xf numFmtId="3" fontId="4" fillId="4" borderId="13" xfId="0" applyNumberFormat="1" applyFont="1" applyFill="1" applyBorder="1" applyAlignment="1">
      <alignment horizontal="right" vertical="top"/>
    </xf>
    <xf numFmtId="9" fontId="4" fillId="4" borderId="12" xfId="3" applyFont="1" applyFill="1" applyBorder="1" applyAlignment="1">
      <alignment vertical="top" wrapText="1"/>
    </xf>
    <xf numFmtId="9" fontId="4" fillId="4" borderId="8" xfId="3" applyFont="1" applyFill="1" applyBorder="1" applyAlignment="1">
      <alignment vertical="top"/>
    </xf>
    <xf numFmtId="9" fontId="4" fillId="4" borderId="8" xfId="0" applyNumberFormat="1" applyFont="1" applyFill="1" applyBorder="1" applyAlignment="1">
      <alignment vertical="top"/>
    </xf>
    <xf numFmtId="9" fontId="4" fillId="4" borderId="8" xfId="3" applyFont="1" applyFill="1" applyBorder="1" applyAlignment="1">
      <alignment vertical="top" wrapText="1"/>
    </xf>
    <xf numFmtId="0" fontId="4" fillId="4" borderId="8" xfId="0" applyFont="1" applyFill="1" applyBorder="1" applyAlignment="1">
      <alignment horizontal="center" vertical="top"/>
    </xf>
    <xf numFmtId="164" fontId="4" fillId="4" borderId="8" xfId="0" applyNumberFormat="1" applyFont="1" applyFill="1" applyBorder="1" applyAlignment="1">
      <alignment horizontal="center" vertical="top"/>
    </xf>
    <xf numFmtId="3" fontId="4" fillId="3" borderId="7" xfId="0" applyNumberFormat="1" applyFont="1" applyFill="1" applyBorder="1" applyAlignment="1" applyProtection="1">
      <alignment horizontal="right" vertical="top" wrapText="1"/>
      <protection locked="0"/>
    </xf>
    <xf numFmtId="9" fontId="4" fillId="4" borderId="12" xfId="3" applyFont="1" applyFill="1" applyBorder="1" applyAlignment="1">
      <alignment horizontal="center" vertical="center"/>
    </xf>
    <xf numFmtId="9" fontId="4" fillId="4" borderId="12" xfId="3" applyFont="1" applyFill="1" applyBorder="1" applyAlignment="1">
      <alignment horizontal="center" vertical="top" wrapText="1"/>
    </xf>
    <xf numFmtId="0" fontId="4" fillId="4" borderId="12" xfId="0" applyFont="1" applyFill="1" applyBorder="1" applyAlignment="1">
      <alignment horizontal="center" vertical="top" wrapText="1"/>
    </xf>
    <xf numFmtId="0" fontId="4" fillId="6" borderId="8" xfId="0" applyFont="1" applyFill="1" applyBorder="1" applyAlignment="1">
      <alignment horizontal="center" vertical="top" wrapText="1"/>
    </xf>
    <xf numFmtId="0" fontId="4" fillId="6" borderId="7" xfId="0" applyFont="1" applyFill="1" applyBorder="1" applyAlignment="1" applyProtection="1">
      <alignment horizontal="center" vertical="top" wrapText="1"/>
      <protection locked="0"/>
    </xf>
    <xf numFmtId="9" fontId="4" fillId="6" borderId="12" xfId="3" applyFont="1" applyFill="1" applyBorder="1" applyAlignment="1">
      <alignment horizontal="center" vertical="top" wrapText="1"/>
    </xf>
    <xf numFmtId="9" fontId="4" fillId="6" borderId="8" xfId="3" applyNumberFormat="1" applyFont="1" applyFill="1" applyBorder="1" applyAlignment="1">
      <alignment horizontal="center" vertical="top" wrapText="1"/>
    </xf>
    <xf numFmtId="9" fontId="4" fillId="4" borderId="7" xfId="0" applyNumberFormat="1" applyFont="1" applyFill="1" applyBorder="1" applyAlignment="1">
      <alignment horizontal="center" vertical="top"/>
    </xf>
    <xf numFmtId="9" fontId="4" fillId="4" borderId="8" xfId="0" applyNumberFormat="1" applyFont="1" applyFill="1" applyBorder="1" applyAlignment="1">
      <alignment horizontal="center" vertical="top"/>
    </xf>
    <xf numFmtId="0" fontId="22" fillId="0" borderId="0" xfId="0" applyFont="1" applyAlignment="1">
      <alignment vertical="top"/>
    </xf>
    <xf numFmtId="9" fontId="4" fillId="3" borderId="8" xfId="0" applyNumberFormat="1" applyFont="1" applyFill="1" applyBorder="1" applyAlignment="1" applyProtection="1">
      <alignment horizontal="center" vertical="top"/>
      <protection locked="0"/>
    </xf>
    <xf numFmtId="9" fontId="4" fillId="4" borderId="14" xfId="0" applyNumberFormat="1" applyFont="1" applyFill="1" applyBorder="1" applyAlignment="1" applyProtection="1">
      <alignment horizontal="center" vertical="top"/>
    </xf>
    <xf numFmtId="0" fontId="0" fillId="0" borderId="16" xfId="0" applyBorder="1"/>
    <xf numFmtId="0" fontId="4" fillId="3" borderId="8" xfId="0" applyFont="1" applyFill="1" applyBorder="1" applyAlignment="1" applyProtection="1">
      <alignment horizontal="left" vertical="top"/>
      <protection locked="0"/>
    </xf>
    <xf numFmtId="0" fontId="3" fillId="3" borderId="24" xfId="0" applyFont="1" applyFill="1" applyBorder="1" applyAlignment="1">
      <alignment horizontal="left" vertical="top" wrapText="1"/>
    </xf>
    <xf numFmtId="0" fontId="3" fillId="3" borderId="25" xfId="0" applyFont="1" applyFill="1" applyBorder="1" applyAlignment="1">
      <alignment horizontal="left" vertical="top" wrapText="1"/>
    </xf>
    <xf numFmtId="0" fontId="3" fillId="3" borderId="26" xfId="0" applyFont="1" applyFill="1" applyBorder="1" applyAlignment="1">
      <alignment horizontal="left" vertical="top" wrapText="1"/>
    </xf>
    <xf numFmtId="0" fontId="12" fillId="0" borderId="14" xfId="0" applyFont="1" applyBorder="1" applyAlignment="1">
      <alignment horizontal="left" vertical="top"/>
    </xf>
    <xf numFmtId="0" fontId="4" fillId="5" borderId="8" xfId="0" applyFont="1" applyFill="1" applyBorder="1" applyAlignment="1" applyProtection="1">
      <alignment horizontal="left" vertical="top"/>
      <protection locked="0"/>
    </xf>
    <xf numFmtId="0" fontId="4" fillId="5" borderId="8" xfId="0" applyFont="1" applyFill="1" applyBorder="1" applyAlignment="1">
      <alignment vertical="top"/>
    </xf>
    <xf numFmtId="0" fontId="4" fillId="0" borderId="14" xfId="0" applyFont="1" applyBorder="1" applyAlignment="1">
      <alignment horizontal="left" vertical="top"/>
    </xf>
    <xf numFmtId="0" fontId="4" fillId="5" borderId="8" xfId="0" applyFont="1" applyFill="1" applyBorder="1" applyAlignment="1">
      <alignment horizontal="left" vertical="top" wrapText="1"/>
    </xf>
    <xf numFmtId="0" fontId="4" fillId="5" borderId="8" xfId="0" applyFont="1" applyFill="1" applyBorder="1" applyAlignment="1">
      <alignment horizontal="left" vertical="top"/>
    </xf>
    <xf numFmtId="0" fontId="7" fillId="0" borderId="0" xfId="0" applyFont="1" applyAlignment="1">
      <alignment horizontal="right" vertical="top"/>
    </xf>
    <xf numFmtId="0" fontId="4" fillId="0" borderId="0" xfId="0" applyFont="1" applyAlignment="1">
      <alignment horizontal="right" vertical="top"/>
    </xf>
    <xf numFmtId="0" fontId="0" fillId="0" borderId="0" xfId="0" applyAlignment="1">
      <alignment horizontal="right" vertical="top"/>
    </xf>
    <xf numFmtId="0" fontId="0" fillId="0" borderId="0" xfId="0" applyFill="1"/>
    <xf numFmtId="0" fontId="0" fillId="0" borderId="0" xfId="0" applyFill="1" applyBorder="1" applyAlignment="1">
      <alignment horizontal="left" vertical="top"/>
    </xf>
    <xf numFmtId="0" fontId="0" fillId="0" borderId="0" xfId="0" applyFill="1" applyBorder="1" applyAlignment="1">
      <alignment horizontal="left" vertical="top" wrapText="1"/>
    </xf>
    <xf numFmtId="0" fontId="22" fillId="0" borderId="0" xfId="0" applyFont="1"/>
    <xf numFmtId="0" fontId="6" fillId="0" borderId="8" xfId="0" applyFont="1" applyBorder="1" applyAlignment="1" applyProtection="1">
      <alignment vertical="top" wrapText="1"/>
      <protection locked="0"/>
    </xf>
    <xf numFmtId="0" fontId="3" fillId="0" borderId="6" xfId="0" applyFont="1" applyBorder="1" applyAlignment="1" applyProtection="1">
      <alignment vertical="top" wrapText="1"/>
      <protection locked="0"/>
    </xf>
    <xf numFmtId="0" fontId="4" fillId="0" borderId="6" xfId="0" applyFont="1" applyBorder="1" applyAlignment="1" applyProtection="1">
      <alignment vertical="top" wrapText="1"/>
      <protection locked="0"/>
    </xf>
    <xf numFmtId="0" fontId="0" fillId="0" borderId="6" xfId="0" applyBorder="1" applyAlignment="1" applyProtection="1">
      <alignment vertical="top" wrapText="1"/>
      <protection locked="0"/>
    </xf>
    <xf numFmtId="0" fontId="4" fillId="0" borderId="13" xfId="0" applyFont="1" applyBorder="1" applyAlignment="1" applyProtection="1">
      <alignment vertical="top" wrapText="1"/>
      <protection locked="0"/>
    </xf>
    <xf numFmtId="0" fontId="4" fillId="0" borderId="7" xfId="0" applyFont="1" applyBorder="1" applyAlignment="1" applyProtection="1">
      <alignment vertical="top" wrapText="1"/>
      <protection locked="0"/>
    </xf>
    <xf numFmtId="0" fontId="4" fillId="0" borderId="8" xfId="0" applyFont="1" applyBorder="1" applyAlignment="1" applyProtection="1">
      <alignment vertical="top" wrapText="1"/>
      <protection locked="0"/>
    </xf>
    <xf numFmtId="0" fontId="12" fillId="0" borderId="14" xfId="0" applyFont="1" applyBorder="1" applyAlignment="1" applyProtection="1">
      <alignment vertical="top" wrapText="1"/>
      <protection locked="0"/>
    </xf>
    <xf numFmtId="0" fontId="12" fillId="0" borderId="15" xfId="0" applyFont="1" applyBorder="1" applyAlignment="1" applyProtection="1">
      <alignment vertical="top" wrapText="1"/>
      <protection locked="0"/>
    </xf>
    <xf numFmtId="0" fontId="12" fillId="0" borderId="7" xfId="0" applyFont="1" applyBorder="1" applyAlignment="1" applyProtection="1">
      <alignment vertical="top" wrapText="1"/>
      <protection locked="0"/>
    </xf>
    <xf numFmtId="0" fontId="4" fillId="0" borderId="8" xfId="0" applyFont="1" applyBorder="1" applyAlignment="1">
      <alignment vertical="top" wrapText="1"/>
    </xf>
    <xf numFmtId="0" fontId="3" fillId="0" borderId="1" xfId="0" applyFont="1" applyBorder="1" applyAlignment="1">
      <alignment vertical="top" wrapText="1"/>
    </xf>
    <xf numFmtId="9" fontId="4" fillId="4" borderId="12" xfId="3" applyFont="1" applyFill="1" applyBorder="1" applyAlignment="1" applyProtection="1">
      <alignment horizontal="center" vertical="top"/>
    </xf>
    <xf numFmtId="3" fontId="4" fillId="3" borderId="8" xfId="0" applyNumberFormat="1" applyFont="1" applyFill="1" applyBorder="1" applyAlignment="1" applyProtection="1">
      <alignment vertical="top" wrapText="1"/>
      <protection locked="0"/>
    </xf>
    <xf numFmtId="0" fontId="0" fillId="3" borderId="16" xfId="0" applyFill="1" applyBorder="1" applyAlignment="1" applyProtection="1">
      <alignment vertical="top"/>
      <protection locked="0"/>
    </xf>
    <xf numFmtId="0" fontId="0" fillId="0" borderId="0" xfId="0" applyProtection="1">
      <protection locked="0"/>
    </xf>
    <xf numFmtId="3" fontId="4" fillId="4" borderId="8" xfId="0" applyNumberFormat="1" applyFont="1" applyFill="1" applyBorder="1" applyAlignment="1" applyProtection="1">
      <alignment vertical="top"/>
      <protection locked="0"/>
    </xf>
    <xf numFmtId="3" fontId="4" fillId="4" borderId="13" xfId="0" applyNumberFormat="1" applyFont="1" applyFill="1" applyBorder="1" applyAlignment="1" applyProtection="1">
      <alignment vertical="top"/>
      <protection locked="0"/>
    </xf>
    <xf numFmtId="0" fontId="0" fillId="0" borderId="8" xfId="0" applyBorder="1" applyAlignment="1" applyProtection="1">
      <alignment vertical="top"/>
      <protection locked="0"/>
    </xf>
    <xf numFmtId="0" fontId="12" fillId="0" borderId="12" xfId="0" applyFont="1" applyBorder="1" applyAlignment="1" applyProtection="1">
      <alignment vertical="top" wrapText="1"/>
      <protection locked="0"/>
    </xf>
    <xf numFmtId="0" fontId="4" fillId="0" borderId="1" xfId="0" applyFont="1" applyBorder="1" applyAlignment="1" applyProtection="1">
      <alignment horizontal="center" vertical="top" wrapText="1"/>
      <protection locked="0"/>
    </xf>
    <xf numFmtId="0" fontId="15" fillId="0" borderId="6" xfId="0" applyFont="1" applyBorder="1" applyAlignment="1" applyProtection="1">
      <alignment vertical="top" wrapText="1"/>
      <protection locked="0"/>
    </xf>
    <xf numFmtId="9" fontId="25" fillId="6" borderId="8" xfId="0" applyNumberFormat="1" applyFont="1" applyFill="1" applyBorder="1" applyAlignment="1" applyProtection="1">
      <alignment horizontal="center" vertical="top"/>
    </xf>
    <xf numFmtId="9" fontId="4" fillId="4" borderId="14" xfId="0" applyNumberFormat="1" applyFont="1" applyFill="1" applyBorder="1" applyAlignment="1" applyProtection="1">
      <alignment horizontal="right" vertical="top"/>
    </xf>
    <xf numFmtId="9" fontId="26" fillId="4" borderId="8" xfId="0" applyNumberFormat="1" applyFont="1" applyFill="1" applyBorder="1" applyAlignment="1">
      <alignment vertical="top"/>
    </xf>
    <xf numFmtId="0" fontId="14" fillId="0" borderId="16" xfId="0" applyFont="1" applyBorder="1"/>
    <xf numFmtId="0" fontId="4" fillId="0" borderId="4" xfId="0" applyFont="1" applyBorder="1" applyAlignment="1">
      <alignment horizontal="center" vertical="center" wrapText="1"/>
    </xf>
    <xf numFmtId="0" fontId="4" fillId="0" borderId="8" xfId="0" applyFont="1" applyBorder="1" applyAlignment="1">
      <alignment horizontal="center" vertical="center" wrapText="1"/>
    </xf>
    <xf numFmtId="0" fontId="8" fillId="0" borderId="4" xfId="0" applyFont="1" applyBorder="1" applyAlignment="1">
      <alignment horizontal="center" vertical="center" wrapText="1"/>
    </xf>
    <xf numFmtId="0" fontId="8" fillId="0" borderId="8" xfId="0" applyFont="1" applyBorder="1" applyAlignment="1">
      <alignment horizontal="center" vertical="center" wrapText="1"/>
    </xf>
    <xf numFmtId="0" fontId="4" fillId="0" borderId="12" xfId="0" applyFont="1" applyBorder="1" applyAlignment="1">
      <alignment horizontal="center" vertical="top" wrapText="1"/>
    </xf>
    <xf numFmtId="9" fontId="4" fillId="6" borderId="8" xfId="3" applyFont="1" applyFill="1" applyBorder="1" applyAlignment="1">
      <alignment horizontal="center" vertical="top"/>
    </xf>
    <xf numFmtId="9" fontId="8" fillId="4" borderId="14" xfId="0" applyNumberFormat="1" applyFont="1" applyFill="1" applyBorder="1" applyAlignment="1" applyProtection="1">
      <alignment horizontal="distributed" vertical="top"/>
    </xf>
    <xf numFmtId="0" fontId="4" fillId="3" borderId="7" xfId="0" applyFont="1" applyFill="1" applyBorder="1" applyAlignment="1" applyProtection="1">
      <alignment horizontal="center" vertical="top"/>
      <protection locked="0"/>
    </xf>
    <xf numFmtId="3" fontId="4" fillId="3" borderId="8" xfId="0" applyNumberFormat="1" applyFont="1" applyFill="1" applyBorder="1" applyAlignment="1" applyProtection="1">
      <alignment vertical="top"/>
      <protection locked="0"/>
    </xf>
    <xf numFmtId="165" fontId="4" fillId="4" borderId="12" xfId="4" applyNumberFormat="1" applyFont="1" applyFill="1" applyBorder="1" applyAlignment="1">
      <alignment horizontal="center" vertical="top" wrapText="1"/>
    </xf>
    <xf numFmtId="9" fontId="25" fillId="6" borderId="8" xfId="3" applyNumberFormat="1" applyFont="1" applyFill="1" applyBorder="1" applyAlignment="1">
      <alignment horizontal="center" vertical="top" wrapText="1"/>
    </xf>
    <xf numFmtId="0" fontId="0" fillId="3" borderId="30" xfId="0" applyFill="1" applyBorder="1" applyAlignment="1">
      <alignment vertical="top"/>
    </xf>
    <xf numFmtId="0" fontId="23" fillId="6" borderId="18" xfId="0" applyFont="1" applyFill="1" applyBorder="1" applyAlignment="1">
      <alignment vertical="top"/>
    </xf>
    <xf numFmtId="0" fontId="0" fillId="6" borderId="20" xfId="0" applyFill="1" applyBorder="1" applyAlignment="1">
      <alignment vertical="top"/>
    </xf>
    <xf numFmtId="9" fontId="0" fillId="8" borderId="12" xfId="0" applyNumberFormat="1" applyFill="1" applyBorder="1" applyAlignment="1">
      <alignment horizontal="center" vertical="top"/>
    </xf>
    <xf numFmtId="9" fontId="0" fillId="0" borderId="0" xfId="3" applyFont="1"/>
    <xf numFmtId="9" fontId="0" fillId="6" borderId="12" xfId="0" applyNumberFormat="1" applyFill="1" applyBorder="1" applyAlignment="1">
      <alignment horizontal="center" vertical="top"/>
    </xf>
    <xf numFmtId="0" fontId="4" fillId="0" borderId="5" xfId="0" applyFont="1" applyBorder="1" applyAlignment="1" applyProtection="1">
      <alignment vertical="top" wrapText="1"/>
      <protection locked="0"/>
    </xf>
    <xf numFmtId="0" fontId="4" fillId="0" borderId="13" xfId="0" applyFont="1" applyBorder="1" applyAlignment="1" applyProtection="1">
      <alignment vertical="top" wrapText="1"/>
      <protection locked="0"/>
    </xf>
    <xf numFmtId="0" fontId="4" fillId="0" borderId="7" xfId="0" applyFont="1" applyBorder="1" applyAlignment="1" applyProtection="1">
      <alignment vertical="top" wrapText="1"/>
      <protection locked="0"/>
    </xf>
    <xf numFmtId="0" fontId="4" fillId="0" borderId="5" xfId="0" applyFont="1" applyBorder="1" applyAlignment="1">
      <alignment vertical="top" wrapText="1"/>
    </xf>
    <xf numFmtId="0" fontId="4" fillId="0" borderId="13" xfId="0" applyFont="1" applyBorder="1" applyAlignment="1">
      <alignment vertical="top" wrapText="1"/>
    </xf>
    <xf numFmtId="0" fontId="4" fillId="0" borderId="8" xfId="0" applyFont="1" applyBorder="1" applyAlignment="1" applyProtection="1">
      <alignment horizontal="center" vertical="top" wrapText="1"/>
      <protection locked="0"/>
    </xf>
    <xf numFmtId="0" fontId="4" fillId="0" borderId="14" xfId="0" applyFont="1" applyBorder="1" applyAlignment="1" applyProtection="1">
      <alignment vertical="top"/>
      <protection locked="0"/>
    </xf>
    <xf numFmtId="0" fontId="4" fillId="0" borderId="7" xfId="0" applyFont="1" applyBorder="1" applyAlignment="1" applyProtection="1">
      <alignment vertical="top"/>
      <protection locked="0"/>
    </xf>
    <xf numFmtId="0" fontId="8" fillId="0" borderId="5" xfId="0" applyFont="1" applyBorder="1" applyAlignment="1" applyProtection="1">
      <alignment vertical="top" wrapText="1"/>
      <protection locked="0"/>
    </xf>
    <xf numFmtId="0" fontId="4" fillId="0" borderId="5" xfId="0" applyFont="1" applyBorder="1" applyAlignment="1" applyProtection="1">
      <alignment vertical="top" wrapText="1"/>
      <protection locked="0"/>
    </xf>
    <xf numFmtId="0" fontId="4" fillId="0" borderId="13" xfId="0" applyFont="1" applyBorder="1" applyAlignment="1" applyProtection="1">
      <alignment vertical="top" wrapText="1"/>
      <protection locked="0"/>
    </xf>
    <xf numFmtId="0" fontId="4" fillId="0" borderId="14" xfId="0" applyFont="1" applyBorder="1" applyAlignment="1" applyProtection="1">
      <alignment vertical="top"/>
      <protection locked="0"/>
    </xf>
    <xf numFmtId="0" fontId="4" fillId="0" borderId="6" xfId="0" applyFont="1" applyBorder="1" applyAlignment="1" applyProtection="1">
      <alignment horizontal="center" vertical="top" wrapText="1"/>
      <protection locked="0"/>
    </xf>
    <xf numFmtId="0" fontId="4" fillId="0" borderId="8" xfId="0" applyFont="1" applyBorder="1" applyAlignment="1" applyProtection="1">
      <alignment horizontal="center" vertical="top" wrapText="1"/>
      <protection locked="0"/>
    </xf>
    <xf numFmtId="0" fontId="0" fillId="7" borderId="20" xfId="0" applyFill="1" applyBorder="1" applyAlignment="1">
      <alignment vertical="top"/>
    </xf>
    <xf numFmtId="9" fontId="4" fillId="3" borderId="8" xfId="0" applyNumberFormat="1" applyFont="1" applyFill="1" applyBorder="1" applyAlignment="1" applyProtection="1">
      <alignment horizontal="center" vertical="top" wrapText="1"/>
      <protection locked="0"/>
    </xf>
    <xf numFmtId="0" fontId="0" fillId="0" borderId="0" xfId="0" applyAlignment="1" applyProtection="1">
      <protection locked="0"/>
    </xf>
    <xf numFmtId="0" fontId="4" fillId="6" borderId="8" xfId="0" applyFont="1" applyFill="1" applyBorder="1" applyAlignment="1" applyProtection="1">
      <alignment horizontal="left" vertical="top"/>
      <protection locked="0"/>
    </xf>
    <xf numFmtId="0" fontId="0" fillId="0" borderId="0" xfId="0" applyProtection="1"/>
    <xf numFmtId="0" fontId="2" fillId="0" borderId="0" xfId="0" applyFont="1" applyAlignment="1" applyProtection="1">
      <alignment vertical="top"/>
    </xf>
    <xf numFmtId="0" fontId="2" fillId="0" borderId="0" xfId="0" applyFont="1" applyAlignment="1" applyProtection="1">
      <alignment horizontal="center" vertical="top"/>
    </xf>
    <xf numFmtId="0" fontId="0" fillId="0" borderId="0" xfId="0" applyAlignment="1" applyProtection="1">
      <alignment vertical="top"/>
    </xf>
    <xf numFmtId="0" fontId="4" fillId="0" borderId="0" xfId="0" applyFont="1" applyAlignment="1" applyProtection="1">
      <alignment vertical="top"/>
    </xf>
    <xf numFmtId="0" fontId="4" fillId="0" borderId="0" xfId="0" applyFont="1" applyAlignment="1" applyProtection="1">
      <alignment horizontal="center" vertical="top"/>
    </xf>
    <xf numFmtId="0" fontId="20" fillId="0" borderId="0" xfId="0" applyFont="1" applyBorder="1" applyAlignment="1" applyProtection="1">
      <alignment vertical="top"/>
    </xf>
    <xf numFmtId="0" fontId="6" fillId="0" borderId="0" xfId="0" applyFont="1" applyBorder="1" applyAlignment="1" applyProtection="1">
      <alignment horizontal="center" vertical="top" wrapText="1"/>
    </xf>
    <xf numFmtId="0" fontId="0" fillId="7" borderId="16" xfId="0" applyFill="1" applyBorder="1" applyAlignment="1" applyProtection="1">
      <alignment vertical="top"/>
    </xf>
    <xf numFmtId="0" fontId="0" fillId="0" borderId="0" xfId="0" applyFont="1" applyAlignment="1" applyProtection="1">
      <alignment vertical="top"/>
    </xf>
    <xf numFmtId="0" fontId="7" fillId="0" borderId="0" xfId="0" applyFont="1" applyAlignment="1" applyProtection="1">
      <alignment horizontal="right" vertical="top"/>
    </xf>
    <xf numFmtId="0" fontId="23" fillId="6" borderId="18" xfId="1" applyFont="1" applyFill="1" applyBorder="1" applyAlignment="1" applyProtection="1">
      <alignment vertical="top"/>
    </xf>
    <xf numFmtId="9" fontId="0" fillId="6" borderId="12" xfId="0" applyNumberFormat="1" applyFill="1" applyBorder="1" applyAlignment="1" applyProtection="1">
      <alignment horizontal="center" vertical="top"/>
    </xf>
    <xf numFmtId="0" fontId="1" fillId="6" borderId="20" xfId="1" applyFill="1" applyBorder="1" applyAlignment="1" applyProtection="1">
      <alignment vertical="top"/>
    </xf>
    <xf numFmtId="0" fontId="0" fillId="3" borderId="16" xfId="0" applyFill="1" applyBorder="1" applyAlignment="1" applyProtection="1">
      <alignment vertical="top"/>
    </xf>
    <xf numFmtId="0" fontId="4" fillId="0" borderId="0" xfId="0" applyFont="1" applyBorder="1" applyAlignment="1" applyProtection="1">
      <alignment horizontal="center" vertical="top"/>
    </xf>
    <xf numFmtId="0" fontId="4" fillId="0" borderId="0" xfId="0" applyFont="1" applyAlignment="1" applyProtection="1">
      <alignment horizontal="right" vertical="top"/>
    </xf>
    <xf numFmtId="0" fontId="23" fillId="6" borderId="18" xfId="0" applyFont="1" applyFill="1" applyBorder="1" applyAlignment="1" applyProtection="1">
      <alignment vertical="top"/>
    </xf>
    <xf numFmtId="9" fontId="7" fillId="6" borderId="12" xfId="0" applyNumberFormat="1" applyFont="1" applyFill="1" applyBorder="1" applyAlignment="1" applyProtection="1">
      <alignment horizontal="center" vertical="top"/>
    </xf>
    <xf numFmtId="0" fontId="0" fillId="6" borderId="20" xfId="0" applyFill="1" applyBorder="1" applyAlignment="1" applyProtection="1">
      <alignment vertical="top"/>
    </xf>
    <xf numFmtId="0" fontId="0" fillId="0" borderId="0" xfId="0" applyAlignment="1" applyProtection="1">
      <alignment horizontal="center" vertical="top"/>
    </xf>
    <xf numFmtId="0" fontId="7" fillId="0" borderId="0" xfId="0" applyFont="1" applyBorder="1" applyAlignment="1" applyProtection="1">
      <alignment vertical="top" wrapText="1"/>
    </xf>
    <xf numFmtId="0" fontId="4" fillId="0" borderId="1" xfId="0" applyFont="1" applyBorder="1" applyAlignment="1" applyProtection="1">
      <alignment vertical="top" wrapText="1"/>
    </xf>
    <xf numFmtId="0" fontId="4" fillId="0" borderId="2" xfId="0" applyFont="1" applyBorder="1" applyAlignment="1" applyProtection="1">
      <alignment horizontal="center" vertical="top" wrapText="1"/>
    </xf>
    <xf numFmtId="0" fontId="4" fillId="0" borderId="2" xfId="0" applyFont="1" applyBorder="1" applyAlignment="1" applyProtection="1">
      <alignment vertical="top" wrapText="1"/>
    </xf>
    <xf numFmtId="0" fontId="4" fillId="0" borderId="3" xfId="0" applyFont="1" applyBorder="1" applyAlignment="1" applyProtection="1">
      <alignment vertical="top" wrapText="1"/>
    </xf>
    <xf numFmtId="0" fontId="4" fillId="0" borderId="4" xfId="0" applyFont="1" applyBorder="1" applyAlignment="1" applyProtection="1">
      <alignment vertical="top" wrapText="1"/>
    </xf>
    <xf numFmtId="0" fontId="4" fillId="0" borderId="6" xfId="0" applyFont="1" applyBorder="1" applyAlignment="1" applyProtection="1">
      <alignment horizontal="center" vertical="top" wrapText="1"/>
    </xf>
    <xf numFmtId="0" fontId="4" fillId="0" borderId="7" xfId="0" applyFont="1" applyBorder="1" applyAlignment="1" applyProtection="1">
      <alignment vertical="top" wrapText="1"/>
    </xf>
    <xf numFmtId="0" fontId="0" fillId="0" borderId="6" xfId="0" applyBorder="1" applyAlignment="1" applyProtection="1">
      <alignment vertical="top"/>
    </xf>
    <xf numFmtId="0" fontId="4" fillId="0" borderId="8" xfId="0" applyFont="1" applyBorder="1" applyAlignment="1" applyProtection="1">
      <alignment vertical="top" wrapText="1"/>
    </xf>
    <xf numFmtId="0" fontId="4" fillId="0" borderId="9" xfId="0" applyFont="1" applyBorder="1" applyAlignment="1" applyProtection="1">
      <alignment horizontal="center" vertical="top" wrapText="1"/>
    </xf>
    <xf numFmtId="0" fontId="4" fillId="0" borderId="11" xfId="0" applyFont="1" applyBorder="1" applyAlignment="1" applyProtection="1">
      <alignment vertical="top" wrapText="1"/>
    </xf>
    <xf numFmtId="0" fontId="4" fillId="0" borderId="8" xfId="0" applyFont="1" applyBorder="1" applyAlignment="1" applyProtection="1">
      <alignment vertical="top" wrapText="1"/>
    </xf>
    <xf numFmtId="0" fontId="4" fillId="0" borderId="7" xfId="0" applyFont="1" applyBorder="1" applyAlignment="1" applyProtection="1">
      <alignment horizontal="center" vertical="top" wrapText="1"/>
    </xf>
    <xf numFmtId="0" fontId="4" fillId="0" borderId="7" xfId="0" applyFont="1" applyBorder="1" applyAlignment="1" applyProtection="1">
      <alignment vertical="top"/>
    </xf>
    <xf numFmtId="0" fontId="0" fillId="0" borderId="1" xfId="0" applyBorder="1" applyAlignment="1" applyProtection="1">
      <alignment vertical="top"/>
    </xf>
    <xf numFmtId="0" fontId="4" fillId="0" borderId="8" xfId="0" applyFont="1" applyBorder="1" applyAlignment="1" applyProtection="1">
      <alignment horizontal="center" vertical="top" wrapText="1"/>
    </xf>
    <xf numFmtId="0" fontId="4" fillId="4" borderId="8" xfId="0" applyFont="1" applyFill="1" applyBorder="1" applyAlignment="1" applyProtection="1">
      <alignment vertical="top"/>
    </xf>
    <xf numFmtId="0" fontId="0" fillId="0" borderId="13" xfId="0" applyBorder="1" applyAlignment="1" applyProtection="1">
      <alignment vertical="top"/>
    </xf>
    <xf numFmtId="0" fontId="4" fillId="0" borderId="13" xfId="0" applyFont="1" applyBorder="1" applyAlignment="1" applyProtection="1">
      <alignment vertical="top" wrapText="1"/>
    </xf>
    <xf numFmtId="0" fontId="4" fillId="0" borderId="10" xfId="0" applyFont="1" applyBorder="1" applyAlignment="1" applyProtection="1">
      <alignment horizontal="center" vertical="top" wrapText="1"/>
    </xf>
    <xf numFmtId="0" fontId="4" fillId="0" borderId="7" xfId="0" applyFont="1" applyBorder="1" applyAlignment="1" applyProtection="1">
      <alignment vertical="top" wrapText="1"/>
    </xf>
    <xf numFmtId="0" fontId="12" fillId="0" borderId="14" xfId="0" applyFont="1" applyBorder="1" applyAlignment="1" applyProtection="1">
      <alignment vertical="top" wrapText="1"/>
    </xf>
    <xf numFmtId="0" fontId="5" fillId="0" borderId="8" xfId="0" applyFont="1" applyBorder="1" applyAlignment="1" applyProtection="1">
      <alignment vertical="top" wrapText="1"/>
    </xf>
    <xf numFmtId="0" fontId="4" fillId="3" borderId="8" xfId="0" applyFont="1" applyFill="1" applyBorder="1" applyAlignment="1" applyProtection="1">
      <alignment vertical="top"/>
    </xf>
    <xf numFmtId="0" fontId="12" fillId="0" borderId="14" xfId="0" applyFont="1" applyBorder="1" applyAlignment="1" applyProtection="1">
      <alignment vertical="top"/>
    </xf>
    <xf numFmtId="0" fontId="12" fillId="0" borderId="15" xfId="0" applyFont="1" applyBorder="1" applyAlignment="1" applyProtection="1">
      <alignment vertical="top"/>
    </xf>
    <xf numFmtId="0" fontId="12" fillId="0" borderId="7" xfId="0" applyFont="1" applyBorder="1" applyAlignment="1" applyProtection="1">
      <alignment vertical="top"/>
    </xf>
    <xf numFmtId="0" fontId="4" fillId="0" borderId="8" xfId="0" applyFont="1" applyBorder="1" applyAlignment="1" applyProtection="1">
      <alignment vertical="top"/>
    </xf>
    <xf numFmtId="17" fontId="4" fillId="0" borderId="13" xfId="0" applyNumberFormat="1" applyFont="1" applyBorder="1" applyAlignment="1" applyProtection="1">
      <alignment vertical="top" wrapText="1"/>
    </xf>
    <xf numFmtId="0" fontId="6" fillId="0" borderId="8" xfId="0" applyFont="1" applyBorder="1" applyAlignment="1" applyProtection="1">
      <alignment vertical="top" wrapText="1"/>
    </xf>
    <xf numFmtId="0" fontId="3" fillId="0" borderId="1" xfId="0" applyFont="1" applyBorder="1" applyAlignment="1" applyProtection="1">
      <alignment vertical="top" wrapText="1"/>
    </xf>
    <xf numFmtId="0" fontId="3" fillId="0" borderId="0" xfId="0" applyFont="1" applyBorder="1" applyAlignment="1" applyProtection="1">
      <alignment horizontal="center" vertical="top" wrapText="1"/>
    </xf>
    <xf numFmtId="0" fontId="4" fillId="0" borderId="12" xfId="0" applyFont="1" applyBorder="1" applyAlignment="1" applyProtection="1">
      <alignment vertical="top" wrapText="1"/>
    </xf>
    <xf numFmtId="0" fontId="4" fillId="0" borderId="14" xfId="0" applyFont="1" applyBorder="1" applyAlignment="1" applyProtection="1">
      <alignment horizontal="center" vertical="top" wrapText="1"/>
    </xf>
    <xf numFmtId="0" fontId="4" fillId="0" borderId="9" xfId="0" applyFont="1" applyBorder="1" applyAlignment="1" applyProtection="1">
      <alignment vertical="top" wrapText="1"/>
    </xf>
    <xf numFmtId="0" fontId="4" fillId="0" borderId="8" xfId="0" applyFont="1" applyBorder="1" applyAlignment="1" applyProtection="1">
      <alignment horizontal="left" vertical="top"/>
      <protection locked="0"/>
    </xf>
    <xf numFmtId="0" fontId="4" fillId="5" borderId="8" xfId="0" applyFont="1" applyFill="1" applyBorder="1" applyAlignment="1" applyProtection="1">
      <alignment vertical="top" wrapText="1"/>
      <protection locked="0"/>
    </xf>
    <xf numFmtId="0" fontId="7" fillId="0" borderId="0" xfId="0" applyFont="1" applyAlignment="1" applyProtection="1">
      <alignment horizontal="center" vertical="top"/>
    </xf>
    <xf numFmtId="9" fontId="4" fillId="9" borderId="12" xfId="3" applyFont="1" applyFill="1" applyBorder="1" applyAlignment="1" applyProtection="1">
      <alignment horizontal="center" vertical="top"/>
    </xf>
    <xf numFmtId="0" fontId="12" fillId="0" borderId="14" xfId="0" applyFont="1" applyBorder="1" applyAlignment="1" applyProtection="1">
      <alignment horizontal="center" vertical="top"/>
    </xf>
    <xf numFmtId="0" fontId="3" fillId="0" borderId="8" xfId="0" applyFont="1" applyBorder="1" applyAlignment="1" applyProtection="1">
      <alignment vertical="top" wrapText="1"/>
    </xf>
    <xf numFmtId="0" fontId="3" fillId="0" borderId="0" xfId="0" applyFont="1" applyAlignment="1" applyProtection="1">
      <alignment vertical="top"/>
    </xf>
    <xf numFmtId="0" fontId="3" fillId="0" borderId="0" xfId="0" applyFont="1" applyAlignment="1" applyProtection="1">
      <alignment horizontal="center" vertical="top"/>
    </xf>
    <xf numFmtId="0" fontId="12" fillId="0" borderId="12" xfId="0" applyFont="1" applyBorder="1" applyAlignment="1" applyProtection="1">
      <alignment vertical="top" wrapText="1"/>
    </xf>
    <xf numFmtId="0" fontId="12" fillId="0" borderId="0" xfId="0" applyFont="1" applyBorder="1" applyAlignment="1" applyProtection="1">
      <alignment horizontal="center" vertical="top" wrapText="1"/>
    </xf>
    <xf numFmtId="0" fontId="3" fillId="0" borderId="6" xfId="0" applyFont="1" applyBorder="1" applyAlignment="1" applyProtection="1">
      <alignment vertical="top" wrapText="1"/>
    </xf>
    <xf numFmtId="0" fontId="4" fillId="0" borderId="6" xfId="0" applyFont="1" applyBorder="1" applyAlignment="1" applyProtection="1">
      <alignment vertical="top" wrapText="1"/>
    </xf>
    <xf numFmtId="0" fontId="0" fillId="0" borderId="6" xfId="0" applyBorder="1" applyAlignment="1" applyProtection="1">
      <alignment vertical="top" wrapText="1"/>
    </xf>
    <xf numFmtId="0" fontId="4" fillId="5" borderId="8" xfId="0" applyFont="1" applyFill="1" applyBorder="1" applyAlignment="1" applyProtection="1">
      <alignment vertical="top"/>
      <protection locked="0"/>
    </xf>
    <xf numFmtId="0" fontId="7" fillId="0" borderId="0" xfId="0" applyFont="1" applyAlignment="1" applyProtection="1">
      <alignment vertical="top" wrapText="1"/>
    </xf>
    <xf numFmtId="0" fontId="4" fillId="0" borderId="7" xfId="0" applyFont="1" applyBorder="1" applyAlignment="1" applyProtection="1">
      <alignment horizontal="center" vertical="top"/>
    </xf>
    <xf numFmtId="0" fontId="7" fillId="0" borderId="0" xfId="0" applyFont="1" applyAlignment="1" applyProtection="1">
      <alignment vertical="top"/>
    </xf>
    <xf numFmtId="0" fontId="0" fillId="0" borderId="7" xfId="0" applyBorder="1" applyAlignment="1" applyProtection="1">
      <alignment vertical="top"/>
    </xf>
    <xf numFmtId="0" fontId="12" fillId="0" borderId="15" xfId="0" applyFont="1" applyBorder="1" applyAlignment="1" applyProtection="1">
      <alignment vertical="top" wrapText="1"/>
    </xf>
    <xf numFmtId="0" fontId="12" fillId="0" borderId="7" xfId="0" applyFont="1" applyBorder="1" applyAlignment="1" applyProtection="1">
      <alignment vertical="top" wrapText="1"/>
    </xf>
    <xf numFmtId="0" fontId="5" fillId="0" borderId="14" xfId="0" applyFont="1" applyBorder="1" applyAlignment="1" applyProtection="1">
      <alignment vertical="top" wrapText="1"/>
    </xf>
    <xf numFmtId="0" fontId="0" fillId="0" borderId="4" xfId="0" applyBorder="1" applyAlignment="1" applyProtection="1">
      <alignment vertical="top"/>
    </xf>
    <xf numFmtId="0" fontId="4" fillId="0" borderId="14" xfId="0" applyFont="1" applyBorder="1" applyAlignment="1" applyProtection="1">
      <alignment vertical="top" wrapText="1"/>
    </xf>
    <xf numFmtId="0" fontId="7" fillId="0" borderId="11" xfId="0" applyFont="1" applyBorder="1" applyAlignment="1" applyProtection="1">
      <alignment vertical="top" wrapText="1"/>
    </xf>
    <xf numFmtId="0" fontId="0" fillId="0" borderId="8" xfId="0" applyBorder="1" applyAlignment="1" applyProtection="1">
      <alignment vertical="top"/>
    </xf>
    <xf numFmtId="0" fontId="5" fillId="0" borderId="14" xfId="0" applyFont="1" applyBorder="1" applyAlignment="1" applyProtection="1">
      <alignment vertical="top"/>
    </xf>
    <xf numFmtId="0" fontId="4" fillId="0" borderId="14" xfId="0" applyFont="1" applyBorder="1" applyAlignment="1" applyProtection="1">
      <alignment vertical="top"/>
    </xf>
    <xf numFmtId="0" fontId="4" fillId="0" borderId="10" xfId="0" applyFont="1" applyBorder="1" applyAlignment="1" applyProtection="1">
      <alignment vertical="top" wrapText="1"/>
    </xf>
    <xf numFmtId="0" fontId="4" fillId="0" borderId="11" xfId="0" applyFont="1" applyBorder="1" applyAlignment="1" applyProtection="1">
      <alignment horizontal="center" vertical="top" wrapText="1"/>
    </xf>
    <xf numFmtId="0" fontId="4" fillId="0" borderId="15" xfId="0" applyFont="1" applyBorder="1" applyAlignment="1" applyProtection="1">
      <alignment vertical="top" wrapText="1"/>
    </xf>
    <xf numFmtId="0" fontId="3" fillId="0" borderId="7" xfId="0" applyFont="1" applyBorder="1" applyAlignment="1" applyProtection="1">
      <alignment vertical="top" wrapText="1"/>
    </xf>
    <xf numFmtId="0" fontId="14" fillId="0" borderId="0" xfId="0" applyFont="1" applyAlignment="1" applyProtection="1">
      <alignment vertical="top" wrapText="1"/>
    </xf>
    <xf numFmtId="0" fontId="14" fillId="0" borderId="0" xfId="0" applyFont="1" applyAlignment="1" applyProtection="1">
      <alignment horizontal="center" vertical="top" wrapText="1"/>
    </xf>
    <xf numFmtId="0" fontId="3" fillId="0" borderId="12" xfId="0" applyFont="1" applyBorder="1" applyAlignment="1" applyProtection="1">
      <alignment vertical="top" wrapText="1"/>
    </xf>
    <xf numFmtId="0" fontId="4" fillId="3" borderId="7" xfId="0" applyFont="1" applyFill="1" applyBorder="1" applyAlignment="1" applyProtection="1">
      <alignment vertical="top"/>
      <protection locked="0"/>
    </xf>
    <xf numFmtId="0" fontId="4" fillId="0" borderId="5" xfId="0" applyFont="1" applyBorder="1" applyAlignment="1" applyProtection="1">
      <alignment vertical="top" wrapText="1"/>
    </xf>
    <xf numFmtId="0" fontId="4" fillId="0" borderId="5" xfId="0" applyFont="1" applyBorder="1" applyAlignment="1">
      <alignment horizontal="left" vertical="top" wrapText="1"/>
    </xf>
    <xf numFmtId="0" fontId="4" fillId="0" borderId="12" xfId="0" applyFont="1" applyBorder="1" applyAlignment="1">
      <alignment vertical="top"/>
    </xf>
    <xf numFmtId="0" fontId="4" fillId="9" borderId="8" xfId="0" applyFont="1" applyFill="1" applyBorder="1" applyAlignment="1" applyProtection="1">
      <alignment vertical="top"/>
      <protection locked="0"/>
    </xf>
    <xf numFmtId="0" fontId="4" fillId="9" borderId="8" xfId="0" applyFont="1" applyFill="1" applyBorder="1" applyAlignment="1" applyProtection="1">
      <alignment horizontal="center" vertical="top"/>
      <protection locked="0"/>
    </xf>
    <xf numFmtId="0" fontId="4" fillId="9" borderId="7" xfId="0" applyFont="1" applyFill="1" applyBorder="1" applyAlignment="1" applyProtection="1">
      <alignment vertical="top"/>
    </xf>
    <xf numFmtId="0" fontId="4" fillId="0" borderId="8" xfId="0" applyFont="1" applyBorder="1" applyAlignment="1" applyProtection="1">
      <alignment horizontal="left" vertical="top" wrapText="1"/>
    </xf>
    <xf numFmtId="0" fontId="4" fillId="0" borderId="4" xfId="0" applyFont="1" applyBorder="1" applyAlignment="1" applyProtection="1">
      <alignment horizontal="center" vertical="top" wrapText="1"/>
    </xf>
    <xf numFmtId="0" fontId="4" fillId="0" borderId="8" xfId="0" applyFont="1" applyBorder="1" applyAlignment="1" applyProtection="1">
      <alignment horizontal="center" vertical="top" wrapText="1"/>
    </xf>
    <xf numFmtId="0" fontId="17" fillId="0" borderId="8" xfId="2" applyBorder="1" applyAlignment="1" applyProtection="1">
      <alignment vertical="top" wrapText="1"/>
    </xf>
    <xf numFmtId="0" fontId="16" fillId="0" borderId="6" xfId="0" applyFont="1" applyBorder="1" applyAlignment="1" applyProtection="1">
      <alignment vertical="top" wrapText="1"/>
    </xf>
    <xf numFmtId="0" fontId="16" fillId="0" borderId="8" xfId="0" applyFont="1" applyBorder="1" applyAlignment="1" applyProtection="1">
      <alignment vertical="top" wrapText="1"/>
    </xf>
    <xf numFmtId="0" fontId="4" fillId="0" borderId="1" xfId="0" applyFont="1" applyBorder="1" applyAlignment="1" applyProtection="1">
      <alignment horizontal="center" vertical="top" wrapText="1"/>
    </xf>
    <xf numFmtId="0" fontId="0" fillId="0" borderId="9" xfId="0" applyBorder="1" applyProtection="1">
      <protection locked="0"/>
    </xf>
    <xf numFmtId="3" fontId="4" fillId="4" borderId="13" xfId="0" applyNumberFormat="1" applyFont="1" applyFill="1" applyBorder="1" applyAlignment="1" applyProtection="1">
      <alignment horizontal="center" vertical="top"/>
    </xf>
    <xf numFmtId="0" fontId="0" fillId="0" borderId="13" xfId="0" applyBorder="1" applyProtection="1"/>
    <xf numFmtId="0" fontId="8" fillId="0" borderId="13" xfId="0" applyFont="1" applyBorder="1" applyAlignment="1" applyProtection="1">
      <alignment vertical="top" wrapText="1"/>
    </xf>
    <xf numFmtId="0" fontId="8" fillId="0" borderId="10" xfId="0" applyFont="1" applyBorder="1" applyAlignment="1" applyProtection="1">
      <alignment horizontal="center" vertical="top" wrapText="1"/>
    </xf>
    <xf numFmtId="0" fontId="4" fillId="0" borderId="13" xfId="0" applyFont="1" applyBorder="1" applyAlignment="1" applyProtection="1">
      <alignment horizontal="center" vertical="top" wrapText="1"/>
    </xf>
    <xf numFmtId="0" fontId="15" fillId="0" borderId="6" xfId="0" applyFont="1" applyBorder="1" applyAlignment="1" applyProtection="1">
      <alignment vertical="top" wrapText="1"/>
    </xf>
    <xf numFmtId="0" fontId="14" fillId="0" borderId="16" xfId="0" applyFont="1" applyBorder="1" applyAlignment="1" applyProtection="1">
      <alignment horizontal="left" vertical="top"/>
    </xf>
    <xf numFmtId="0" fontId="24" fillId="0" borderId="16" xfId="2" applyFont="1" applyBorder="1" applyAlignment="1" applyProtection="1">
      <alignment horizontal="left" vertical="top" wrapText="1"/>
    </xf>
    <xf numFmtId="0" fontId="0" fillId="0" borderId="0" xfId="0" applyAlignment="1" applyProtection="1"/>
    <xf numFmtId="0" fontId="8" fillId="0" borderId="2" xfId="0" applyFont="1" applyBorder="1" applyAlignment="1" applyProtection="1">
      <alignment horizontal="center" vertical="top" wrapText="1"/>
    </xf>
    <xf numFmtId="0" fontId="8" fillId="0" borderId="6" xfId="0" applyFont="1" applyBorder="1" applyAlignment="1" applyProtection="1">
      <alignment horizontal="center" vertical="top" wrapText="1"/>
    </xf>
    <xf numFmtId="0" fontId="8" fillId="0" borderId="9" xfId="0" applyFont="1" applyBorder="1" applyAlignment="1" applyProtection="1">
      <alignment horizontal="center" vertical="top" wrapText="1"/>
    </xf>
    <xf numFmtId="0" fontId="8" fillId="0" borderId="7" xfId="0" applyFont="1" applyBorder="1" applyAlignment="1" applyProtection="1">
      <alignment horizontal="center" vertical="top" wrapText="1"/>
    </xf>
    <xf numFmtId="0" fontId="0" fillId="0" borderId="5" xfId="0" applyBorder="1" applyAlignment="1" applyProtection="1">
      <alignment vertical="top"/>
    </xf>
    <xf numFmtId="0" fontId="3" fillId="0" borderId="7" xfId="0" applyFont="1" applyBorder="1" applyAlignment="1" applyProtection="1">
      <alignment horizontal="center" vertical="top" wrapText="1"/>
    </xf>
    <xf numFmtId="0" fontId="3" fillId="0" borderId="7" xfId="0" applyFont="1" applyBorder="1" applyAlignment="1" applyProtection="1">
      <alignment vertical="top"/>
    </xf>
    <xf numFmtId="0" fontId="4" fillId="6" borderId="8" xfId="0" applyFont="1" applyFill="1" applyBorder="1" applyAlignment="1" applyProtection="1">
      <alignment vertical="top"/>
    </xf>
    <xf numFmtId="9" fontId="4" fillId="6" borderId="8" xfId="0" applyNumberFormat="1" applyFont="1" applyFill="1" applyBorder="1" applyAlignment="1" applyProtection="1">
      <alignment horizontal="center" vertical="top"/>
    </xf>
    <xf numFmtId="0" fontId="3" fillId="0" borderId="12" xfId="0" applyFont="1" applyBorder="1" applyAlignment="1" applyProtection="1">
      <alignment horizontal="center" vertical="top" wrapText="1"/>
    </xf>
    <xf numFmtId="0" fontId="3" fillId="0" borderId="7" xfId="0" applyFont="1" applyFill="1" applyBorder="1" applyAlignment="1" applyProtection="1">
      <alignment vertical="top"/>
    </xf>
    <xf numFmtId="9" fontId="4" fillId="4" borderId="8" xfId="0" applyNumberFormat="1" applyFont="1" applyFill="1" applyBorder="1" applyAlignment="1" applyProtection="1">
      <alignment horizontal="center" vertical="top"/>
    </xf>
    <xf numFmtId="0" fontId="12" fillId="0" borderId="4" xfId="0" applyFont="1" applyBorder="1" applyAlignment="1" applyProtection="1">
      <alignment vertical="top"/>
    </xf>
    <xf numFmtId="0" fontId="4" fillId="0" borderId="12" xfId="0" applyFont="1" applyBorder="1" applyAlignment="1" applyProtection="1">
      <alignment vertical="top"/>
    </xf>
    <xf numFmtId="0" fontId="12" fillId="0" borderId="12" xfId="0" applyFont="1" applyBorder="1" applyAlignment="1" applyProtection="1">
      <alignment vertical="top"/>
    </xf>
    <xf numFmtId="9" fontId="4" fillId="5" borderId="8" xfId="0" applyNumberFormat="1" applyFont="1" applyFill="1" applyBorder="1" applyAlignment="1" applyProtection="1">
      <alignment vertical="top" wrapText="1"/>
    </xf>
    <xf numFmtId="9" fontId="0" fillId="0" borderId="0" xfId="0" applyNumberFormat="1" applyAlignment="1" applyProtection="1">
      <alignment vertical="top"/>
    </xf>
    <xf numFmtId="0" fontId="4" fillId="0" borderId="0" xfId="0" applyFont="1" applyBorder="1" applyAlignment="1" applyProtection="1">
      <alignment vertical="top" wrapText="1"/>
    </xf>
    <xf numFmtId="0" fontId="8" fillId="0" borderId="5" xfId="0" applyFont="1" applyBorder="1" applyAlignment="1" applyProtection="1">
      <alignment vertical="top" wrapText="1"/>
    </xf>
    <xf numFmtId="0" fontId="4" fillId="3" borderId="8" xfId="0" applyFont="1" applyFill="1" applyBorder="1" applyAlignment="1" applyProtection="1">
      <alignment horizontal="center" vertical="top"/>
      <protection locked="0"/>
    </xf>
    <xf numFmtId="0" fontId="4" fillId="3" borderId="8" xfId="0" applyFont="1" applyFill="1" applyBorder="1" applyAlignment="1" applyProtection="1">
      <alignment horizontal="center" vertical="top" wrapText="1"/>
      <protection locked="0"/>
    </xf>
    <xf numFmtId="3" fontId="4" fillId="4" borderId="8" xfId="0" applyNumberFormat="1" applyFont="1" applyFill="1" applyBorder="1" applyAlignment="1" applyProtection="1">
      <alignment vertical="top"/>
    </xf>
    <xf numFmtId="3" fontId="4" fillId="4" borderId="8" xfId="0" applyNumberFormat="1" applyFont="1" applyFill="1" applyBorder="1" applyAlignment="1" applyProtection="1">
      <alignment horizontal="center" vertical="top"/>
    </xf>
    <xf numFmtId="0" fontId="3" fillId="0" borderId="9" xfId="0" applyFont="1" applyBorder="1" applyAlignment="1" applyProtection="1">
      <alignment vertical="top"/>
    </xf>
    <xf numFmtId="3" fontId="4" fillId="9" borderId="13" xfId="0" applyNumberFormat="1" applyFont="1" applyFill="1" applyBorder="1" applyAlignment="1" applyProtection="1">
      <alignment horizontal="right" vertical="top"/>
    </xf>
    <xf numFmtId="3" fontId="4" fillId="9" borderId="13" xfId="0" applyNumberFormat="1" applyFont="1" applyFill="1" applyBorder="1" applyAlignment="1" applyProtection="1">
      <alignment horizontal="center" vertical="top"/>
    </xf>
    <xf numFmtId="0" fontId="4" fillId="9" borderId="8" xfId="0" applyFont="1" applyFill="1" applyBorder="1" applyAlignment="1" applyProtection="1">
      <alignment vertical="top"/>
    </xf>
    <xf numFmtId="0" fontId="4" fillId="0" borderId="31" xfId="0" applyFont="1" applyBorder="1" applyAlignment="1" applyProtection="1">
      <alignment vertical="top"/>
    </xf>
    <xf numFmtId="0" fontId="4" fillId="0" borderId="32" xfId="0" applyFont="1" applyBorder="1" applyAlignment="1" applyProtection="1">
      <alignment vertical="top"/>
    </xf>
    <xf numFmtId="0" fontId="4" fillId="0" borderId="33" xfId="0" applyFont="1" applyBorder="1" applyAlignment="1" applyProtection="1">
      <alignment vertical="top"/>
    </xf>
    <xf numFmtId="0" fontId="4" fillId="0" borderId="34" xfId="0" applyFont="1" applyBorder="1" applyAlignment="1" applyProtection="1">
      <alignment vertical="top"/>
    </xf>
    <xf numFmtId="3" fontId="4" fillId="6" borderId="16" xfId="0" applyNumberFormat="1" applyFont="1" applyFill="1" applyBorder="1" applyAlignment="1" applyProtection="1">
      <alignment horizontal="center" vertical="top"/>
    </xf>
    <xf numFmtId="3" fontId="4" fillId="6" borderId="35" xfId="0" applyNumberFormat="1" applyFont="1" applyFill="1" applyBorder="1" applyAlignment="1" applyProtection="1">
      <alignment horizontal="center" vertical="top"/>
    </xf>
    <xf numFmtId="0" fontId="4" fillId="0" borderId="34" xfId="0" applyFont="1" applyBorder="1" applyAlignment="1" applyProtection="1">
      <alignment vertical="top" wrapText="1"/>
    </xf>
    <xf numFmtId="9" fontId="4" fillId="6" borderId="36" xfId="3" applyFont="1" applyFill="1" applyBorder="1" applyAlignment="1" applyProtection="1">
      <alignment horizontal="center" vertical="top"/>
    </xf>
    <xf numFmtId="0" fontId="4" fillId="3" borderId="12" xfId="0" applyFont="1" applyFill="1" applyBorder="1" applyAlignment="1" applyProtection="1">
      <alignment vertical="top"/>
      <protection locked="0"/>
    </xf>
    <xf numFmtId="0" fontId="0" fillId="0" borderId="9" xfId="0" applyBorder="1" applyAlignment="1" applyProtection="1">
      <alignment vertical="top"/>
      <protection locked="0"/>
    </xf>
    <xf numFmtId="0" fontId="0" fillId="0" borderId="0" xfId="0" applyBorder="1" applyProtection="1">
      <protection locked="0"/>
    </xf>
    <xf numFmtId="0" fontId="0" fillId="0" borderId="6" xfId="0" applyBorder="1" applyProtection="1">
      <protection locked="0"/>
    </xf>
    <xf numFmtId="0" fontId="0" fillId="0" borderId="10" xfId="0" applyBorder="1" applyAlignment="1" applyProtection="1">
      <alignment vertical="top"/>
      <protection locked="0"/>
    </xf>
    <xf numFmtId="0" fontId="0" fillId="0" borderId="11" xfId="0" applyBorder="1" applyProtection="1">
      <protection locked="0"/>
    </xf>
    <xf numFmtId="0" fontId="0" fillId="0" borderId="8" xfId="0" applyBorder="1" applyProtection="1">
      <protection locked="0"/>
    </xf>
    <xf numFmtId="0" fontId="0" fillId="0" borderId="2" xfId="0" applyBorder="1" applyAlignment="1" applyProtection="1">
      <alignment vertical="top"/>
    </xf>
    <xf numFmtId="0" fontId="0" fillId="0" borderId="3" xfId="0" applyBorder="1" applyProtection="1"/>
    <xf numFmtId="0" fontId="0" fillId="0" borderId="4" xfId="0" applyBorder="1" applyProtection="1"/>
    <xf numFmtId="0" fontId="4" fillId="0" borderId="0" xfId="0" applyFont="1" applyBorder="1" applyAlignment="1" applyProtection="1">
      <alignment horizontal="center" vertical="top" wrapText="1"/>
    </xf>
    <xf numFmtId="3" fontId="4" fillId="0" borderId="8" xfId="0" applyNumberFormat="1" applyFont="1" applyFill="1" applyBorder="1" applyAlignment="1">
      <alignment vertical="top"/>
    </xf>
    <xf numFmtId="3" fontId="4" fillId="4" borderId="16" xfId="0" applyNumberFormat="1" applyFont="1" applyFill="1" applyBorder="1" applyAlignment="1">
      <alignment horizontal="right" vertical="top"/>
    </xf>
    <xf numFmtId="3" fontId="4" fillId="6" borderId="13" xfId="0" applyNumberFormat="1" applyFont="1" applyFill="1" applyBorder="1" applyAlignment="1">
      <alignment horizontal="right" vertical="top"/>
    </xf>
    <xf numFmtId="9" fontId="4" fillId="4" borderId="16" xfId="3" applyFont="1" applyFill="1" applyBorder="1" applyAlignment="1">
      <alignment horizontal="right" vertical="top"/>
    </xf>
    <xf numFmtId="9" fontId="4" fillId="3" borderId="16" xfId="0" applyNumberFormat="1" applyFont="1" applyFill="1" applyBorder="1" applyAlignment="1" applyProtection="1">
      <alignment horizontal="center" vertical="top"/>
      <protection locked="0"/>
    </xf>
    <xf numFmtId="0" fontId="28" fillId="0" borderId="16" xfId="0" applyFont="1" applyBorder="1" applyAlignment="1">
      <alignment vertical="top"/>
    </xf>
    <xf numFmtId="0" fontId="0" fillId="0" borderId="0" xfId="0"/>
    <xf numFmtId="0" fontId="0" fillId="0" borderId="0" xfId="0"/>
    <xf numFmtId="9" fontId="4" fillId="0" borderId="16" xfId="0" applyNumberFormat="1" applyFont="1" applyFill="1" applyBorder="1" applyAlignment="1" applyProtection="1">
      <alignment horizontal="center" vertical="top"/>
      <protection locked="0"/>
    </xf>
    <xf numFmtId="9" fontId="4" fillId="3" borderId="20" xfId="0" applyNumberFormat="1" applyFont="1" applyFill="1" applyBorder="1" applyAlignment="1" applyProtection="1">
      <alignment horizontal="right" vertical="top"/>
      <protection locked="0"/>
    </xf>
    <xf numFmtId="1" fontId="4" fillId="4" borderId="12" xfId="3" applyNumberFormat="1" applyFont="1" applyFill="1" applyBorder="1" applyAlignment="1">
      <alignment horizontal="center" vertical="top"/>
    </xf>
    <xf numFmtId="0" fontId="8" fillId="0" borderId="0" xfId="0" applyFont="1" applyBorder="1" applyAlignment="1">
      <alignment vertical="top" wrapText="1"/>
    </xf>
    <xf numFmtId="0" fontId="8" fillId="0" borderId="12" xfId="0" applyFont="1" applyBorder="1" applyAlignment="1">
      <alignment vertical="top" wrapText="1"/>
    </xf>
    <xf numFmtId="9" fontId="0" fillId="6" borderId="12" xfId="3" applyFont="1" applyFill="1" applyBorder="1" applyAlignment="1">
      <alignment horizontal="center" vertical="top"/>
    </xf>
    <xf numFmtId="0" fontId="4" fillId="0" borderId="4" xfId="0" applyFont="1" applyBorder="1" applyAlignment="1" applyProtection="1">
      <alignment vertical="top" wrapText="1"/>
    </xf>
    <xf numFmtId="0" fontId="4" fillId="0" borderId="0" xfId="0" applyFont="1" applyBorder="1" applyAlignment="1" applyProtection="1">
      <alignment vertical="top" wrapText="1"/>
    </xf>
    <xf numFmtId="0" fontId="4" fillId="0" borderId="7" xfId="0" applyFont="1" applyBorder="1" applyAlignment="1" applyProtection="1">
      <alignment vertical="top" wrapText="1"/>
    </xf>
    <xf numFmtId="0" fontId="12" fillId="0" borderId="14" xfId="0" applyFont="1" applyBorder="1" applyAlignment="1" applyProtection="1">
      <alignment vertical="top" wrapText="1"/>
    </xf>
    <xf numFmtId="0" fontId="12" fillId="0" borderId="15" xfId="0" applyFont="1" applyBorder="1" applyAlignment="1" applyProtection="1">
      <alignment vertical="top" wrapText="1"/>
    </xf>
    <xf numFmtId="0" fontId="12" fillId="0" borderId="7" xfId="0" applyFont="1" applyBorder="1" applyAlignment="1" applyProtection="1">
      <alignment vertical="top" wrapText="1"/>
    </xf>
    <xf numFmtId="0" fontId="4" fillId="0" borderId="13" xfId="0" applyFont="1" applyBorder="1" applyAlignment="1" applyProtection="1">
      <alignment vertical="top" wrapText="1"/>
    </xf>
    <xf numFmtId="0" fontId="4" fillId="0" borderId="8" xfId="0" applyFont="1" applyBorder="1" applyAlignment="1" applyProtection="1">
      <alignment vertical="top" wrapText="1"/>
    </xf>
    <xf numFmtId="0" fontId="6" fillId="0" borderId="8" xfId="0" applyFont="1" applyBorder="1" applyAlignment="1" applyProtection="1">
      <alignment vertical="top" wrapText="1"/>
    </xf>
    <xf numFmtId="0" fontId="4" fillId="0" borderId="8" xfId="0" applyFont="1" applyBorder="1" applyAlignment="1" applyProtection="1">
      <alignment horizontal="center" vertical="top" wrapText="1"/>
    </xf>
    <xf numFmtId="0" fontId="3" fillId="0" borderId="4" xfId="0" applyFont="1" applyBorder="1" applyAlignment="1">
      <alignment vertical="top" wrapText="1"/>
    </xf>
    <xf numFmtId="0" fontId="4" fillId="0" borderId="14" xfId="0" applyFont="1" applyBorder="1" applyAlignment="1">
      <alignment horizontal="center" vertical="top" wrapText="1"/>
    </xf>
    <xf numFmtId="0" fontId="3" fillId="0" borderId="3" xfId="0" applyFont="1" applyBorder="1" applyAlignment="1">
      <alignment vertical="top" wrapText="1"/>
    </xf>
    <xf numFmtId="0" fontId="4" fillId="0" borderId="14" xfId="0" applyFont="1" applyBorder="1" applyAlignment="1" applyProtection="1">
      <alignment vertical="top"/>
      <protection locked="0"/>
    </xf>
    <xf numFmtId="0" fontId="28" fillId="0" borderId="16" xfId="0" applyFont="1" applyBorder="1" applyAlignment="1">
      <alignment vertical="top" wrapText="1"/>
    </xf>
    <xf numFmtId="0" fontId="4" fillId="0" borderId="7" xfId="0" applyFont="1" applyBorder="1" applyAlignment="1" applyProtection="1">
      <alignment vertical="top" wrapText="1"/>
    </xf>
    <xf numFmtId="0" fontId="4" fillId="3" borderId="7" xfId="0" applyFont="1" applyFill="1" applyBorder="1" applyAlignment="1" applyProtection="1">
      <alignment vertical="top"/>
      <protection locked="0"/>
    </xf>
    <xf numFmtId="0" fontId="4" fillId="0" borderId="5" xfId="0" applyFont="1" applyBorder="1" applyAlignment="1">
      <alignment vertical="top" wrapText="1"/>
    </xf>
    <xf numFmtId="0" fontId="4" fillId="0" borderId="13" xfId="0" applyFont="1" applyBorder="1" applyAlignment="1">
      <alignment vertical="top" wrapText="1"/>
    </xf>
    <xf numFmtId="0" fontId="4" fillId="0" borderId="0" xfId="0" applyFont="1" applyAlignment="1">
      <alignment vertical="top" wrapText="1"/>
    </xf>
    <xf numFmtId="0" fontId="4" fillId="0" borderId="11" xfId="0" applyFont="1" applyBorder="1" applyAlignment="1">
      <alignment vertical="top" wrapText="1"/>
    </xf>
    <xf numFmtId="0" fontId="4" fillId="0" borderId="15" xfId="0" applyFont="1" applyBorder="1" applyAlignment="1">
      <alignment vertical="top"/>
    </xf>
    <xf numFmtId="0" fontId="4" fillId="0" borderId="8" xfId="0" applyFont="1" applyBorder="1" applyAlignment="1">
      <alignment horizontal="center" vertical="top" wrapText="1"/>
    </xf>
    <xf numFmtId="0" fontId="8" fillId="0" borderId="7" xfId="0" applyFont="1" applyBorder="1" applyAlignment="1">
      <alignment vertical="top" wrapText="1"/>
    </xf>
    <xf numFmtId="0" fontId="3" fillId="0" borderId="1" xfId="0" applyFont="1" applyBorder="1" applyAlignment="1">
      <alignment vertical="top" wrapText="1"/>
    </xf>
    <xf numFmtId="0" fontId="4" fillId="0" borderId="14" xfId="0" applyFont="1" applyBorder="1" applyAlignment="1" applyProtection="1">
      <alignment vertical="top"/>
      <protection locked="0"/>
    </xf>
    <xf numFmtId="9" fontId="4" fillId="3" borderId="12" xfId="0" applyNumberFormat="1" applyFont="1" applyFill="1" applyBorder="1" applyAlignment="1" applyProtection="1">
      <alignment vertical="top"/>
      <protection locked="0"/>
    </xf>
    <xf numFmtId="9" fontId="4" fillId="4" borderId="12" xfId="0" applyNumberFormat="1" applyFont="1" applyFill="1" applyBorder="1" applyAlignment="1" applyProtection="1">
      <alignment horizontal="right" vertical="top"/>
    </xf>
    <xf numFmtId="0" fontId="0" fillId="0" borderId="6" xfId="0" applyBorder="1" applyAlignment="1" applyProtection="1">
      <alignment horizontal="center" vertical="top"/>
    </xf>
    <xf numFmtId="3" fontId="4" fillId="4" borderId="8" xfId="0" applyNumberFormat="1" applyFont="1" applyFill="1" applyBorder="1" applyAlignment="1" applyProtection="1">
      <alignment horizontal="right" vertical="top"/>
    </xf>
    <xf numFmtId="3" fontId="4" fillId="4" borderId="8" xfId="0" applyNumberFormat="1" applyFont="1" applyFill="1" applyBorder="1" applyAlignment="1" applyProtection="1">
      <alignment horizontal="right" vertical="top" wrapText="1"/>
    </xf>
    <xf numFmtId="9" fontId="4" fillId="4" borderId="3" xfId="3" applyFont="1" applyFill="1" applyBorder="1" applyAlignment="1" applyProtection="1">
      <alignment horizontal="center" vertical="top"/>
    </xf>
    <xf numFmtId="9" fontId="4" fillId="4" borderId="4" xfId="3" applyFont="1" applyFill="1" applyBorder="1" applyAlignment="1" applyProtection="1">
      <alignment horizontal="center" vertical="top"/>
    </xf>
    <xf numFmtId="0" fontId="4" fillId="0" borderId="14" xfId="0" applyFont="1" applyBorder="1" applyAlignment="1" applyProtection="1">
      <alignment horizontal="left" vertical="top"/>
      <protection locked="0"/>
    </xf>
    <xf numFmtId="9" fontId="4" fillId="4" borderId="8" xfId="3" applyFont="1" applyFill="1" applyBorder="1" applyAlignment="1" applyProtection="1">
      <alignment horizontal="right" vertical="top"/>
    </xf>
    <xf numFmtId="0" fontId="4" fillId="0" borderId="12" xfId="0" applyFont="1" applyBorder="1" applyAlignment="1" applyProtection="1">
      <alignment horizontal="center" vertical="center" wrapText="1"/>
    </xf>
    <xf numFmtId="0" fontId="3" fillId="3" borderId="8" xfId="0" applyFont="1" applyFill="1" applyBorder="1" applyAlignment="1" applyProtection="1">
      <alignment horizontal="center" vertical="top" wrapText="1"/>
      <protection locked="0"/>
    </xf>
    <xf numFmtId="9" fontId="25" fillId="6" borderId="16" xfId="0" applyNumberFormat="1" applyFont="1" applyFill="1" applyBorder="1" applyAlignment="1" applyProtection="1">
      <alignment horizontal="right" vertical="top"/>
    </xf>
    <xf numFmtId="9" fontId="25" fillId="6" borderId="16" xfId="3" applyFont="1" applyFill="1" applyBorder="1" applyAlignment="1" applyProtection="1">
      <alignment horizontal="right" vertical="top"/>
    </xf>
    <xf numFmtId="0" fontId="14" fillId="6" borderId="16" xfId="0" applyFont="1" applyFill="1" applyBorder="1" applyAlignment="1">
      <alignment horizontal="right"/>
    </xf>
    <xf numFmtId="0" fontId="14" fillId="6" borderId="37" xfId="0" applyFont="1" applyFill="1" applyBorder="1" applyAlignment="1">
      <alignment horizontal="right"/>
    </xf>
    <xf numFmtId="3" fontId="4" fillId="4" borderId="16" xfId="0" applyNumberFormat="1" applyFont="1" applyFill="1" applyBorder="1" applyAlignment="1" applyProtection="1">
      <alignment horizontal="right" vertical="top"/>
    </xf>
    <xf numFmtId="0" fontId="14" fillId="6" borderId="30" xfId="0" applyFont="1" applyFill="1" applyBorder="1" applyAlignment="1">
      <alignment horizontal="right"/>
    </xf>
    <xf numFmtId="9" fontId="25" fillId="6" borderId="16" xfId="0" applyNumberFormat="1" applyFont="1" applyFill="1" applyBorder="1" applyAlignment="1">
      <alignment horizontal="right" vertical="top" wrapText="1"/>
    </xf>
    <xf numFmtId="9" fontId="25" fillId="6" borderId="16" xfId="3" applyFont="1" applyFill="1" applyBorder="1" applyAlignment="1">
      <alignment horizontal="right" vertical="top"/>
    </xf>
    <xf numFmtId="9" fontId="25" fillId="6" borderId="16" xfId="0" applyNumberFormat="1" applyFont="1" applyFill="1" applyBorder="1" applyAlignment="1">
      <alignment horizontal="right" vertical="top"/>
    </xf>
    <xf numFmtId="0" fontId="0" fillId="3" borderId="16" xfId="0" applyFill="1" applyBorder="1" applyAlignment="1" applyProtection="1">
      <alignment horizontal="center"/>
      <protection locked="0"/>
    </xf>
    <xf numFmtId="0" fontId="4" fillId="3" borderId="7" xfId="0" applyFont="1" applyFill="1" applyBorder="1" applyAlignment="1" applyProtection="1">
      <alignment horizontal="left" vertical="center"/>
      <protection locked="0"/>
    </xf>
    <xf numFmtId="0" fontId="4" fillId="3" borderId="8" xfId="0" applyFont="1" applyFill="1" applyBorder="1" applyAlignment="1" applyProtection="1">
      <alignment horizontal="left" vertical="center"/>
      <protection locked="0"/>
    </xf>
    <xf numFmtId="0" fontId="0" fillId="3" borderId="16" xfId="0" applyFill="1" applyBorder="1" applyAlignment="1" applyProtection="1">
      <alignment horizontal="center" vertical="center"/>
      <protection locked="0"/>
    </xf>
    <xf numFmtId="0" fontId="4" fillId="3" borderId="15" xfId="0" applyFont="1" applyFill="1" applyBorder="1" applyAlignment="1" applyProtection="1">
      <alignment horizontal="center" vertical="top" wrapText="1"/>
      <protection locked="0"/>
    </xf>
    <xf numFmtId="9" fontId="4" fillId="4" borderId="14" xfId="3" applyFont="1" applyFill="1" applyBorder="1" applyAlignment="1">
      <alignment horizontal="center" vertical="center"/>
    </xf>
    <xf numFmtId="0" fontId="0" fillId="0" borderId="2" xfId="0" applyBorder="1" applyAlignment="1">
      <alignment vertical="top"/>
    </xf>
    <xf numFmtId="0" fontId="0" fillId="0" borderId="4" xfId="0" applyBorder="1" applyAlignment="1">
      <alignment vertical="top"/>
    </xf>
    <xf numFmtId="0" fontId="0" fillId="0" borderId="9" xfId="0" applyBorder="1" applyAlignment="1">
      <alignment vertical="top"/>
    </xf>
    <xf numFmtId="0" fontId="0" fillId="0" borderId="10" xfId="0" applyBorder="1" applyAlignment="1">
      <alignment vertical="top"/>
    </xf>
    <xf numFmtId="0" fontId="4" fillId="7" borderId="8" xfId="0" applyFont="1" applyFill="1" applyBorder="1" applyAlignment="1" applyProtection="1">
      <alignment horizontal="left" vertical="top"/>
      <protection locked="0"/>
    </xf>
    <xf numFmtId="3" fontId="4" fillId="3" borderId="16" xfId="0" applyNumberFormat="1" applyFont="1" applyFill="1" applyBorder="1" applyAlignment="1" applyProtection="1">
      <alignment vertical="top"/>
      <protection locked="0"/>
    </xf>
    <xf numFmtId="0" fontId="4" fillId="10" borderId="8" xfId="0" applyFont="1" applyFill="1" applyBorder="1" applyAlignment="1" applyProtection="1">
      <alignment vertical="top" wrapText="1"/>
    </xf>
    <xf numFmtId="3" fontId="4" fillId="3" borderId="13" xfId="0" applyNumberFormat="1" applyFont="1" applyFill="1" applyBorder="1" applyAlignment="1" applyProtection="1">
      <alignment vertical="top" wrapText="1"/>
      <protection locked="0"/>
    </xf>
    <xf numFmtId="0" fontId="8" fillId="3" borderId="8" xfId="0" applyFont="1" applyFill="1" applyBorder="1" applyAlignment="1" applyProtection="1">
      <alignment vertical="top"/>
      <protection locked="0"/>
    </xf>
    <xf numFmtId="0" fontId="4" fillId="3" borderId="8" xfId="0" applyFont="1" applyFill="1" applyBorder="1" applyAlignment="1" applyProtection="1">
      <alignment horizontal="left" vertical="top" wrapText="1"/>
      <protection locked="0"/>
    </xf>
    <xf numFmtId="0" fontId="4" fillId="3" borderId="12" xfId="0" applyFont="1" applyFill="1" applyBorder="1" applyAlignment="1" applyProtection="1">
      <alignment vertical="top" wrapText="1"/>
      <protection locked="0"/>
    </xf>
    <xf numFmtId="0" fontId="3" fillId="3" borderId="8" xfId="0" applyFont="1" applyFill="1" applyBorder="1" applyAlignment="1" applyProtection="1">
      <alignment vertical="top" wrapText="1"/>
      <protection locked="0"/>
    </xf>
    <xf numFmtId="0" fontId="14" fillId="3" borderId="8" xfId="0" applyFont="1" applyFill="1" applyBorder="1" applyAlignment="1" applyProtection="1">
      <alignment horizontal="center" vertical="top"/>
      <protection locked="0"/>
    </xf>
    <xf numFmtId="3" fontId="7" fillId="3" borderId="16" xfId="0" applyNumberFormat="1" applyFont="1" applyFill="1" applyBorder="1" applyAlignment="1" applyProtection="1">
      <alignment horizontal="right" vertical="top"/>
      <protection locked="0"/>
    </xf>
    <xf numFmtId="165" fontId="7" fillId="3" borderId="16" xfId="0" applyNumberFormat="1" applyFont="1" applyFill="1" applyBorder="1" applyAlignment="1" applyProtection="1">
      <alignment horizontal="right" vertical="top"/>
      <protection locked="0"/>
    </xf>
    <xf numFmtId="9" fontId="3" fillId="3" borderId="8" xfId="0" applyNumberFormat="1" applyFont="1" applyFill="1" applyBorder="1" applyAlignment="1" applyProtection="1">
      <alignment horizontal="center" vertical="top"/>
      <protection locked="0"/>
    </xf>
    <xf numFmtId="0" fontId="29" fillId="0" borderId="1" xfId="0" applyFont="1" applyBorder="1" applyAlignment="1">
      <alignment vertical="top" wrapText="1"/>
    </xf>
    <xf numFmtId="164" fontId="4" fillId="3" borderId="8" xfId="0" applyNumberFormat="1" applyFont="1" applyFill="1" applyBorder="1" applyAlignment="1" applyProtection="1">
      <alignment horizontal="center" vertical="top"/>
      <protection locked="0"/>
    </xf>
    <xf numFmtId="165" fontId="4" fillId="8" borderId="15" xfId="0" applyNumberFormat="1" applyFont="1" applyFill="1" applyBorder="1" applyAlignment="1" applyProtection="1">
      <alignment horizontal="center" wrapText="1"/>
      <protection locked="0"/>
    </xf>
    <xf numFmtId="0" fontId="4" fillId="0" borderId="0" xfId="0" applyFont="1" applyAlignment="1">
      <alignment vertical="center" wrapText="1"/>
    </xf>
    <xf numFmtId="0" fontId="4" fillId="0" borderId="6" xfId="0" applyFont="1" applyBorder="1" applyAlignment="1">
      <alignment vertical="center" wrapText="1"/>
    </xf>
    <xf numFmtId="0" fontId="0" fillId="3" borderId="30" xfId="0" applyFill="1" applyBorder="1" applyAlignment="1" applyProtection="1">
      <alignment vertical="top"/>
      <protection locked="0"/>
    </xf>
    <xf numFmtId="0" fontId="4" fillId="0" borderId="16" xfId="0" applyFont="1" applyBorder="1" applyAlignment="1">
      <alignment vertical="top"/>
    </xf>
    <xf numFmtId="0" fontId="4" fillId="3" borderId="6" xfId="0" applyFont="1" applyFill="1" applyBorder="1" applyAlignment="1" applyProtection="1">
      <alignment vertical="top"/>
      <protection locked="0"/>
    </xf>
    <xf numFmtId="0" fontId="4" fillId="3" borderId="6" xfId="0" applyFont="1" applyFill="1" applyBorder="1" applyAlignment="1" applyProtection="1">
      <alignment horizontal="left" vertical="center"/>
      <protection locked="0"/>
    </xf>
    <xf numFmtId="9" fontId="4" fillId="4" borderId="13" xfId="3" applyFont="1" applyFill="1" applyBorder="1" applyAlignment="1">
      <alignment horizontal="center" vertical="top" wrapText="1"/>
    </xf>
    <xf numFmtId="0" fontId="4" fillId="3" borderId="32" xfId="0" applyFont="1" applyFill="1" applyBorder="1" applyAlignment="1" applyProtection="1">
      <alignment vertical="top"/>
      <protection locked="0"/>
    </xf>
    <xf numFmtId="0" fontId="4" fillId="3" borderId="33" xfId="0" applyFont="1" applyFill="1" applyBorder="1" applyAlignment="1" applyProtection="1">
      <alignment vertical="top"/>
      <protection locked="0"/>
    </xf>
    <xf numFmtId="0" fontId="0" fillId="3" borderId="35" xfId="0" applyFill="1" applyBorder="1" applyAlignment="1" applyProtection="1">
      <alignment horizontal="center" vertical="center"/>
      <protection locked="0"/>
    </xf>
    <xf numFmtId="0" fontId="0" fillId="3" borderId="38" xfId="0" applyFill="1" applyBorder="1" applyAlignment="1" applyProtection="1">
      <alignment horizontal="center" vertical="center"/>
      <protection locked="0"/>
    </xf>
    <xf numFmtId="0" fontId="0" fillId="3" borderId="36" xfId="0" applyFill="1" applyBorder="1" applyAlignment="1" applyProtection="1">
      <alignment horizontal="center" vertical="center"/>
      <protection locked="0"/>
    </xf>
    <xf numFmtId="0" fontId="0" fillId="3" borderId="39" xfId="0" applyFill="1" applyBorder="1" applyAlignment="1" applyProtection="1">
      <alignment horizontal="center" vertical="center"/>
      <protection locked="0"/>
    </xf>
    <xf numFmtId="0" fontId="3" fillId="0" borderId="1" xfId="0" applyFont="1" applyBorder="1" applyAlignment="1" applyProtection="1">
      <alignment vertical="top" wrapText="1"/>
      <protection locked="0"/>
    </xf>
    <xf numFmtId="9" fontId="4" fillId="3" borderId="12" xfId="3" applyFont="1" applyFill="1" applyBorder="1" applyAlignment="1" applyProtection="1">
      <alignment horizontal="center" vertical="top"/>
      <protection locked="0"/>
    </xf>
    <xf numFmtId="0" fontId="4" fillId="0" borderId="14" xfId="0" applyFont="1" applyBorder="1" applyAlignment="1" applyProtection="1">
      <alignment vertical="top"/>
      <protection locked="0"/>
    </xf>
    <xf numFmtId="0" fontId="17" fillId="0" borderId="0" xfId="2" applyFill="1"/>
    <xf numFmtId="0" fontId="0" fillId="0" borderId="16" xfId="0" applyBorder="1" applyAlignment="1">
      <alignment horizontal="center"/>
    </xf>
    <xf numFmtId="0" fontId="0" fillId="0" borderId="0" xfId="0" applyFill="1" applyBorder="1" applyAlignment="1">
      <alignment vertical="top"/>
    </xf>
    <xf numFmtId="0" fontId="17" fillId="0" borderId="0" xfId="2" applyFill="1" applyBorder="1"/>
    <xf numFmtId="0" fontId="7" fillId="0" borderId="0" xfId="0" applyFont="1" applyBorder="1" applyAlignment="1" applyProtection="1">
      <alignment horizontal="center" vertical="top"/>
    </xf>
    <xf numFmtId="0" fontId="4" fillId="0" borderId="0" xfId="0" applyFont="1" applyBorder="1" applyAlignment="1" applyProtection="1">
      <alignment horizontal="right" vertical="top"/>
    </xf>
    <xf numFmtId="0" fontId="4" fillId="3" borderId="16" xfId="0" applyFont="1" applyFill="1" applyBorder="1" applyAlignment="1" applyProtection="1">
      <alignment horizontal="center" vertical="top" wrapText="1"/>
      <protection locked="0"/>
    </xf>
    <xf numFmtId="0" fontId="7" fillId="3" borderId="16" xfId="0" applyFont="1" applyFill="1" applyBorder="1" applyAlignment="1" applyProtection="1">
      <alignment horizontal="center" vertical="top"/>
      <protection locked="0"/>
    </xf>
    <xf numFmtId="0" fontId="7" fillId="0" borderId="16" xfId="0" applyFont="1" applyBorder="1" applyAlignment="1" applyProtection="1">
      <alignment horizontal="center" vertical="center"/>
    </xf>
    <xf numFmtId="0" fontId="7" fillId="0" borderId="16" xfId="0" applyFont="1" applyBorder="1" applyAlignment="1" applyProtection="1">
      <alignment horizontal="center" vertical="center" wrapText="1"/>
    </xf>
    <xf numFmtId="0" fontId="0" fillId="0" borderId="16" xfId="0" applyBorder="1" applyAlignment="1" applyProtection="1">
      <alignment vertical="center"/>
    </xf>
    <xf numFmtId="0" fontId="0" fillId="0" borderId="16" xfId="0" applyBorder="1" applyAlignment="1" applyProtection="1">
      <alignment horizontal="center" vertical="center"/>
    </xf>
    <xf numFmtId="0" fontId="4" fillId="0" borderId="7" xfId="0" applyFont="1" applyBorder="1" applyAlignment="1" applyProtection="1">
      <alignment vertical="top" wrapText="1"/>
    </xf>
    <xf numFmtId="0" fontId="4" fillId="0" borderId="8" xfId="0" applyFont="1" applyBorder="1" applyAlignment="1" applyProtection="1">
      <alignment vertical="top" wrapText="1"/>
    </xf>
    <xf numFmtId="0" fontId="4" fillId="0" borderId="8" xfId="0" applyFont="1" applyBorder="1" applyAlignment="1" applyProtection="1">
      <alignment horizontal="center" vertical="top" wrapText="1"/>
    </xf>
    <xf numFmtId="0" fontId="0" fillId="6" borderId="16" xfId="3" applyNumberFormat="1" applyFont="1" applyFill="1" applyBorder="1" applyAlignment="1" applyProtection="1">
      <alignment horizontal="left" vertical="top"/>
    </xf>
    <xf numFmtId="0" fontId="0" fillId="0" borderId="16" xfId="0" applyBorder="1" applyAlignment="1" applyProtection="1">
      <alignment vertical="center"/>
      <protection locked="0"/>
    </xf>
    <xf numFmtId="9" fontId="0" fillId="0" borderId="16" xfId="0" applyNumberFormat="1" applyBorder="1" applyAlignment="1" applyProtection="1">
      <alignment horizontal="center" vertical="top"/>
      <protection locked="0"/>
    </xf>
    <xf numFmtId="0" fontId="0" fillId="0" borderId="16" xfId="0" applyBorder="1" applyAlignment="1" applyProtection="1">
      <alignment horizontal="center" vertical="top"/>
      <protection locked="0"/>
    </xf>
    <xf numFmtId="0" fontId="7" fillId="0" borderId="18" xfId="0" applyFont="1" applyBorder="1" applyAlignment="1" applyProtection="1">
      <alignment horizontal="center" vertical="center"/>
    </xf>
    <xf numFmtId="0" fontId="7" fillId="0" borderId="20" xfId="0" applyFont="1" applyBorder="1" applyAlignment="1" applyProtection="1">
      <alignment horizontal="center" vertical="center"/>
      <protection locked="0"/>
    </xf>
    <xf numFmtId="0" fontId="7" fillId="6" borderId="20" xfId="3" applyNumberFormat="1" applyFont="1" applyFill="1" applyBorder="1" applyAlignment="1" applyProtection="1">
      <alignment horizontal="left" vertical="top"/>
      <protection locked="0"/>
    </xf>
    <xf numFmtId="0" fontId="7" fillId="0" borderId="19" xfId="0" applyFont="1" applyBorder="1" applyAlignment="1" applyProtection="1">
      <alignment horizontal="center" vertical="center"/>
    </xf>
    <xf numFmtId="0" fontId="7" fillId="6" borderId="19" xfId="3" applyNumberFormat="1" applyFont="1" applyFill="1" applyBorder="1" applyAlignment="1" applyProtection="1">
      <alignment horizontal="left" vertical="top"/>
    </xf>
    <xf numFmtId="0" fontId="7" fillId="0" borderId="16" xfId="0" applyFont="1" applyBorder="1" applyAlignment="1">
      <alignment horizontal="center" vertical="center"/>
    </xf>
    <xf numFmtId="0" fontId="17" fillId="0" borderId="0" xfId="2" applyFill="1" applyProtection="1"/>
    <xf numFmtId="0" fontId="17" fillId="0" borderId="0" xfId="2" applyFill="1" applyBorder="1" applyProtection="1"/>
    <xf numFmtId="0" fontId="4" fillId="0" borderId="8" xfId="0" applyFont="1" applyBorder="1" applyAlignment="1" applyProtection="1">
      <alignment horizontal="center" vertical="top"/>
    </xf>
    <xf numFmtId="0" fontId="4" fillId="0" borderId="13" xfId="0" applyFont="1" applyBorder="1" applyAlignment="1" applyProtection="1">
      <alignment vertical="top"/>
    </xf>
    <xf numFmtId="3" fontId="4" fillId="4" borderId="13" xfId="0" applyNumberFormat="1" applyFont="1" applyFill="1" applyBorder="1" applyAlignment="1" applyProtection="1">
      <alignment vertical="top"/>
    </xf>
    <xf numFmtId="9" fontId="4" fillId="4" borderId="8" xfId="3" applyFont="1" applyFill="1" applyBorder="1" applyAlignment="1" applyProtection="1">
      <alignment vertical="top"/>
    </xf>
    <xf numFmtId="9" fontId="0" fillId="0" borderId="0" xfId="0" applyNumberFormat="1" applyProtection="1"/>
    <xf numFmtId="9" fontId="4" fillId="4" borderId="12" xfId="0" applyNumberFormat="1" applyFont="1" applyFill="1" applyBorder="1" applyAlignment="1" applyProtection="1">
      <alignment horizontal="center" vertical="top"/>
    </xf>
    <xf numFmtId="0" fontId="0" fillId="0" borderId="11" xfId="0" applyBorder="1" applyAlignment="1" applyProtection="1">
      <alignment vertical="top"/>
    </xf>
    <xf numFmtId="0" fontId="0" fillId="3" borderId="16" xfId="0" applyFill="1" applyBorder="1" applyAlignment="1" applyProtection="1">
      <alignment horizontal="left" vertical="top"/>
      <protection locked="0"/>
    </xf>
    <xf numFmtId="0" fontId="0" fillId="3" borderId="16" xfId="0" applyFill="1" applyBorder="1" applyAlignment="1" applyProtection="1">
      <alignment horizontal="left" vertical="top" wrapText="1"/>
      <protection locked="0"/>
    </xf>
    <xf numFmtId="0" fontId="17" fillId="0" borderId="0" xfId="2" applyProtection="1">
      <protection locked="0"/>
    </xf>
    <xf numFmtId="9" fontId="0" fillId="6" borderId="0" xfId="3" applyFont="1" applyFill="1" applyAlignment="1" applyProtection="1">
      <alignment horizontal="center" vertical="top"/>
      <protection hidden="1"/>
    </xf>
    <xf numFmtId="9" fontId="0" fillId="6" borderId="16" xfId="3" applyFont="1" applyFill="1" applyBorder="1" applyAlignment="1" applyProtection="1">
      <alignment horizontal="center" vertical="top"/>
      <protection hidden="1"/>
    </xf>
    <xf numFmtId="0" fontId="7" fillId="6" borderId="16" xfId="3" applyNumberFormat="1" applyFont="1" applyFill="1" applyBorder="1" applyAlignment="1" applyProtection="1">
      <alignment horizontal="left" vertical="top" wrapText="1"/>
      <protection hidden="1"/>
    </xf>
    <xf numFmtId="0" fontId="7" fillId="6" borderId="18" xfId="3" applyNumberFormat="1" applyFont="1" applyFill="1" applyBorder="1" applyAlignment="1" applyProtection="1">
      <alignment horizontal="left" vertical="top" wrapText="1"/>
      <protection hidden="1"/>
    </xf>
    <xf numFmtId="0" fontId="4" fillId="0" borderId="6" xfId="0" applyFont="1" applyBorder="1" applyAlignment="1" applyProtection="1">
      <alignment horizontal="center" vertical="top"/>
    </xf>
    <xf numFmtId="0" fontId="4" fillId="3" borderId="7" xfId="0" applyFont="1" applyFill="1" applyBorder="1" applyAlignment="1" applyProtection="1">
      <alignment horizontal="center" vertical="top"/>
    </xf>
    <xf numFmtId="0" fontId="4" fillId="0" borderId="0" xfId="0" applyFont="1" applyBorder="1" applyAlignment="1" applyProtection="1">
      <alignment horizontal="right" vertical="top" wrapText="1"/>
    </xf>
    <xf numFmtId="0" fontId="30" fillId="0" borderId="0" xfId="0" applyFont="1" applyFill="1" applyAlignment="1">
      <alignment vertical="center" wrapText="1"/>
    </xf>
    <xf numFmtId="0" fontId="30" fillId="0" borderId="0" xfId="0" applyFont="1" applyBorder="1" applyAlignment="1">
      <alignment vertical="center"/>
    </xf>
    <xf numFmtId="0" fontId="30" fillId="11" borderId="0" xfId="5" applyFont="1" applyFill="1" applyAlignment="1">
      <alignment vertical="center" wrapText="1"/>
    </xf>
    <xf numFmtId="0" fontId="30" fillId="0" borderId="0" xfId="5" applyFont="1" applyFill="1" applyAlignment="1">
      <alignment vertical="center" wrapText="1"/>
    </xf>
    <xf numFmtId="0" fontId="32" fillId="0" borderId="0" xfId="5" applyAlignment="1">
      <alignment vertical="center"/>
    </xf>
    <xf numFmtId="0" fontId="39" fillId="13" borderId="1" xfId="5" applyFont="1" applyFill="1" applyBorder="1" applyAlignment="1">
      <alignment horizontal="center" vertical="center" wrapText="1"/>
    </xf>
    <xf numFmtId="0" fontId="39" fillId="0" borderId="44" xfId="5" applyFont="1" applyBorder="1" applyAlignment="1">
      <alignment vertical="center" wrapText="1"/>
    </xf>
    <xf numFmtId="0" fontId="40" fillId="0" borderId="44" xfId="5" applyFont="1" applyBorder="1" applyAlignment="1">
      <alignment horizontal="justify" vertical="center" wrapText="1"/>
    </xf>
    <xf numFmtId="0" fontId="39" fillId="0" borderId="50" xfId="5" applyFont="1" applyBorder="1" applyAlignment="1">
      <alignment vertical="center" wrapText="1"/>
    </xf>
    <xf numFmtId="0" fontId="40" fillId="0" borderId="50" xfId="5" applyFont="1" applyBorder="1" applyAlignment="1">
      <alignment horizontal="justify" vertical="center" wrapText="1"/>
    </xf>
    <xf numFmtId="0" fontId="32" fillId="11" borderId="0" xfId="5" applyFill="1"/>
    <xf numFmtId="0" fontId="32" fillId="0" borderId="0" xfId="5"/>
    <xf numFmtId="0" fontId="42" fillId="11" borderId="0" xfId="5" applyFont="1" applyFill="1" applyBorder="1" applyAlignment="1">
      <alignment horizontal="center" vertical="center"/>
    </xf>
    <xf numFmtId="0" fontId="0" fillId="0" borderId="0" xfId="0" applyAlignment="1">
      <alignment vertical="center"/>
    </xf>
    <xf numFmtId="0" fontId="22" fillId="0" borderId="31" xfId="0" applyFont="1" applyBorder="1" applyAlignment="1">
      <alignment vertical="center"/>
    </xf>
    <xf numFmtId="0" fontId="0" fillId="0" borderId="33" xfId="0" applyBorder="1" applyAlignment="1">
      <alignment vertical="center"/>
    </xf>
    <xf numFmtId="0" fontId="22" fillId="0" borderId="34" xfId="0" applyFont="1" applyBorder="1" applyAlignment="1">
      <alignment vertical="center"/>
    </xf>
    <xf numFmtId="0" fontId="0" fillId="0" borderId="35" xfId="0" applyBorder="1" applyAlignment="1">
      <alignment vertical="center"/>
    </xf>
    <xf numFmtId="0" fontId="22" fillId="0" borderId="38" xfId="0" applyFont="1" applyBorder="1" applyAlignment="1">
      <alignment vertical="center"/>
    </xf>
    <xf numFmtId="0" fontId="0" fillId="0" borderId="39" xfId="0" applyBorder="1" applyAlignment="1">
      <alignment vertical="center"/>
    </xf>
    <xf numFmtId="0" fontId="31" fillId="12" borderId="15" xfId="5" applyFont="1" applyFill="1" applyBorder="1" applyAlignment="1">
      <alignment vertical="center" wrapText="1"/>
    </xf>
    <xf numFmtId="0" fontId="31" fillId="12" borderId="15" xfId="0" applyFont="1" applyFill="1" applyBorder="1" applyAlignment="1">
      <alignment vertical="center" wrapText="1"/>
    </xf>
    <xf numFmtId="0" fontId="31" fillId="12" borderId="7" xfId="0" applyFont="1" applyFill="1" applyBorder="1" applyAlignment="1">
      <alignment vertical="center" wrapText="1"/>
    </xf>
    <xf numFmtId="0" fontId="30" fillId="11" borderId="14" xfId="0" applyFont="1" applyFill="1" applyBorder="1" applyAlignment="1">
      <alignment vertical="center" wrapText="1"/>
    </xf>
    <xf numFmtId="0" fontId="30" fillId="11" borderId="15" xfId="0" applyFont="1" applyFill="1" applyBorder="1" applyAlignment="1">
      <alignment vertical="center" wrapText="1"/>
    </xf>
    <xf numFmtId="0" fontId="30" fillId="11" borderId="7" xfId="0" applyFont="1" applyFill="1" applyBorder="1" applyAlignment="1">
      <alignment vertical="center" wrapText="1"/>
    </xf>
    <xf numFmtId="0" fontId="4" fillId="3" borderId="30" xfId="0" applyFont="1" applyFill="1" applyBorder="1" applyAlignment="1" applyProtection="1">
      <alignment vertical="top" wrapText="1"/>
    </xf>
    <xf numFmtId="0" fontId="36" fillId="15" borderId="4" xfId="0" applyFont="1" applyFill="1" applyBorder="1" applyAlignment="1">
      <alignment horizontal="center" vertical="top" wrapText="1"/>
    </xf>
    <xf numFmtId="0" fontId="36" fillId="15" borderId="1" xfId="0" applyFont="1" applyFill="1" applyBorder="1" applyAlignment="1">
      <alignment horizontal="center" vertical="top" wrapText="1"/>
    </xf>
    <xf numFmtId="0" fontId="36" fillId="22" borderId="1" xfId="0" applyFont="1" applyFill="1" applyBorder="1" applyAlignment="1">
      <alignment horizontal="center" vertical="top" wrapText="1"/>
    </xf>
    <xf numFmtId="0" fontId="36" fillId="16" borderId="1" xfId="0" applyFont="1" applyFill="1" applyBorder="1" applyAlignment="1">
      <alignment horizontal="center" vertical="top" wrapText="1"/>
    </xf>
    <xf numFmtId="0" fontId="36" fillId="16" borderId="2" xfId="0" applyFont="1" applyFill="1" applyBorder="1" applyAlignment="1">
      <alignment horizontal="center" vertical="top" wrapText="1"/>
    </xf>
    <xf numFmtId="0" fontId="36" fillId="17" borderId="1" xfId="0" applyFont="1" applyFill="1" applyBorder="1" applyAlignment="1">
      <alignment horizontal="center" vertical="center" wrapText="1"/>
    </xf>
    <xf numFmtId="0" fontId="36" fillId="17" borderId="1" xfId="0" applyFont="1" applyFill="1" applyBorder="1" applyAlignment="1">
      <alignment horizontal="center" vertical="top" wrapText="1"/>
    </xf>
    <xf numFmtId="0" fontId="52" fillId="17" borderId="1" xfId="0" applyFont="1" applyFill="1" applyBorder="1" applyAlignment="1">
      <alignment horizontal="center" vertical="top" wrapText="1"/>
    </xf>
    <xf numFmtId="0" fontId="36" fillId="18" borderId="1" xfId="0" applyFont="1" applyFill="1" applyBorder="1" applyAlignment="1">
      <alignment horizontal="center" vertical="top" wrapText="1"/>
    </xf>
    <xf numFmtId="9" fontId="36" fillId="15" borderId="12" xfId="0" applyNumberFormat="1" applyFont="1" applyFill="1" applyBorder="1" applyAlignment="1">
      <alignment horizontal="center" vertical="center" wrapText="1"/>
    </xf>
    <xf numFmtId="10" fontId="36" fillId="15" borderId="3" xfId="0" applyNumberFormat="1" applyFont="1" applyFill="1" applyBorder="1" applyAlignment="1">
      <alignment horizontal="center" vertical="center" wrapText="1"/>
    </xf>
    <xf numFmtId="10" fontId="36" fillId="15" borderId="12" xfId="0" applyNumberFormat="1" applyFont="1" applyFill="1" applyBorder="1" applyAlignment="1">
      <alignment horizontal="center" vertical="center" wrapText="1"/>
    </xf>
    <xf numFmtId="9" fontId="36" fillId="23" borderId="3" xfId="0" applyNumberFormat="1" applyFont="1" applyFill="1" applyBorder="1" applyAlignment="1">
      <alignment horizontal="center" vertical="center" wrapText="1"/>
    </xf>
    <xf numFmtId="9" fontId="36" fillId="0" borderId="3" xfId="3" applyFont="1" applyFill="1" applyBorder="1" applyAlignment="1">
      <alignment horizontal="center" vertical="center" wrapText="1"/>
    </xf>
    <xf numFmtId="3" fontId="36" fillId="0" borderId="4" xfId="0" applyNumberFormat="1" applyFont="1" applyFill="1" applyBorder="1" applyAlignment="1">
      <alignment vertical="center" wrapText="1"/>
    </xf>
    <xf numFmtId="9" fontId="36" fillId="15" borderId="11" xfId="0" applyNumberFormat="1" applyFont="1" applyFill="1" applyBorder="1" applyAlignment="1">
      <alignment horizontal="center" vertical="center" wrapText="1"/>
    </xf>
    <xf numFmtId="0" fontId="36" fillId="15" borderId="12" xfId="0" applyFont="1" applyFill="1" applyBorder="1" applyAlignment="1">
      <alignment vertical="center" wrapText="1"/>
    </xf>
    <xf numFmtId="0" fontId="36" fillId="15" borderId="11" xfId="0" applyFont="1" applyFill="1" applyBorder="1" applyAlignment="1">
      <alignment vertical="center" wrapText="1"/>
    </xf>
    <xf numFmtId="0" fontId="36" fillId="16" borderId="11" xfId="0" applyFont="1" applyFill="1" applyBorder="1" applyAlignment="1">
      <alignment vertical="center" wrapText="1"/>
    </xf>
    <xf numFmtId="166" fontId="37" fillId="16" borderId="11" xfId="0" applyNumberFormat="1" applyFont="1" applyFill="1" applyBorder="1" applyAlignment="1">
      <alignment horizontal="center" vertical="center" wrapText="1"/>
    </xf>
    <xf numFmtId="3" fontId="36" fillId="0" borderId="12" xfId="0" applyNumberFormat="1" applyFont="1" applyFill="1" applyBorder="1" applyAlignment="1">
      <alignment vertical="center" wrapText="1"/>
    </xf>
    <xf numFmtId="3" fontId="37" fillId="15" borderId="30" xfId="0" applyNumberFormat="1" applyFont="1" applyFill="1" applyBorder="1" applyAlignment="1">
      <alignment horizontal="center" vertical="center" wrapText="1"/>
    </xf>
    <xf numFmtId="9" fontId="37" fillId="15" borderId="30" xfId="3" applyFont="1" applyFill="1" applyBorder="1" applyAlignment="1">
      <alignment horizontal="center" vertical="center" wrapText="1"/>
    </xf>
    <xf numFmtId="9" fontId="37" fillId="22" borderId="30" xfId="3" applyFont="1" applyFill="1" applyBorder="1" applyAlignment="1">
      <alignment horizontal="center" vertical="center" wrapText="1"/>
    </xf>
    <xf numFmtId="9" fontId="37" fillId="23" borderId="30" xfId="0" applyNumberFormat="1" applyFont="1" applyFill="1" applyBorder="1" applyAlignment="1">
      <alignment horizontal="center" vertical="center" wrapText="1"/>
    </xf>
    <xf numFmtId="3" fontId="37" fillId="15" borderId="30" xfId="0" applyNumberFormat="1" applyFont="1" applyFill="1" applyBorder="1" applyAlignment="1">
      <alignment vertical="center" wrapText="1"/>
    </xf>
    <xf numFmtId="9" fontId="37" fillId="16" borderId="30" xfId="0" applyNumberFormat="1" applyFont="1" applyFill="1" applyBorder="1" applyAlignment="1">
      <alignment vertical="center" wrapText="1"/>
    </xf>
    <xf numFmtId="3" fontId="37" fillId="16" borderId="30" xfId="0" applyNumberFormat="1" applyFont="1" applyFill="1" applyBorder="1" applyAlignment="1">
      <alignment horizontal="center" vertical="center" wrapText="1"/>
    </xf>
    <xf numFmtId="9" fontId="37" fillId="16" borderId="30" xfId="0" applyNumberFormat="1" applyFont="1" applyFill="1" applyBorder="1" applyAlignment="1">
      <alignment horizontal="center" vertical="center" wrapText="1"/>
    </xf>
    <xf numFmtId="3" fontId="57" fillId="16" borderId="30" xfId="0" applyNumberFormat="1" applyFont="1" applyFill="1" applyBorder="1" applyAlignment="1">
      <alignment vertical="center" wrapText="1"/>
    </xf>
    <xf numFmtId="3" fontId="58" fillId="0" borderId="30" xfId="0" applyNumberFormat="1" applyFont="1" applyFill="1" applyBorder="1" applyAlignment="1">
      <alignment vertical="center" wrapText="1"/>
    </xf>
    <xf numFmtId="3" fontId="59" fillId="0" borderId="64" xfId="0" applyNumberFormat="1" applyFont="1" applyFill="1" applyBorder="1" applyAlignment="1">
      <alignment vertical="center" wrapText="1"/>
    </xf>
    <xf numFmtId="3" fontId="37" fillId="15" borderId="16" xfId="0" applyNumberFormat="1" applyFont="1" applyFill="1" applyBorder="1" applyAlignment="1">
      <alignment horizontal="center" vertical="center" wrapText="1"/>
    </xf>
    <xf numFmtId="9" fontId="37" fillId="15" borderId="16" xfId="3" applyFont="1" applyFill="1" applyBorder="1" applyAlignment="1">
      <alignment horizontal="center" vertical="center" wrapText="1"/>
    </xf>
    <xf numFmtId="9" fontId="37" fillId="22" borderId="16" xfId="3" applyFont="1" applyFill="1" applyBorder="1" applyAlignment="1">
      <alignment horizontal="center" vertical="center" wrapText="1"/>
    </xf>
    <xf numFmtId="9" fontId="37" fillId="15" borderId="16" xfId="0" applyNumberFormat="1" applyFont="1" applyFill="1" applyBorder="1" applyAlignment="1">
      <alignment horizontal="center" vertical="center" wrapText="1"/>
    </xf>
    <xf numFmtId="3" fontId="37" fillId="15" borderId="16" xfId="0" applyNumberFormat="1" applyFont="1" applyFill="1" applyBorder="1" applyAlignment="1">
      <alignment vertical="center" wrapText="1"/>
    </xf>
    <xf numFmtId="1" fontId="37" fillId="16" borderId="16" xfId="3" applyNumberFormat="1" applyFont="1" applyFill="1" applyBorder="1" applyAlignment="1">
      <alignment horizontal="center" vertical="center" wrapText="1"/>
    </xf>
    <xf numFmtId="3" fontId="37" fillId="16" borderId="16" xfId="0" applyNumberFormat="1" applyFont="1" applyFill="1" applyBorder="1" applyAlignment="1">
      <alignment horizontal="center" vertical="center" wrapText="1"/>
    </xf>
    <xf numFmtId="9" fontId="37" fillId="16" borderId="16" xfId="0" applyNumberFormat="1" applyFont="1" applyFill="1" applyBorder="1" applyAlignment="1">
      <alignment horizontal="center" vertical="center" wrapText="1"/>
    </xf>
    <xf numFmtId="3" fontId="57" fillId="16" borderId="16" xfId="0" applyNumberFormat="1" applyFont="1" applyFill="1" applyBorder="1" applyAlignment="1">
      <alignment vertical="center" wrapText="1"/>
    </xf>
    <xf numFmtId="3" fontId="58" fillId="0" borderId="16" xfId="0" applyNumberFormat="1" applyFont="1" applyFill="1" applyBorder="1" applyAlignment="1">
      <alignment vertical="center" wrapText="1"/>
    </xf>
    <xf numFmtId="3" fontId="58" fillId="0" borderId="45" xfId="0" applyNumberFormat="1" applyFont="1" applyFill="1" applyBorder="1" applyAlignment="1">
      <alignment vertical="center" wrapText="1"/>
    </xf>
    <xf numFmtId="10" fontId="37" fillId="16" borderId="16" xfId="0" applyNumberFormat="1" applyFont="1" applyFill="1" applyBorder="1" applyAlignment="1">
      <alignment horizontal="center" vertical="center" wrapText="1"/>
    </xf>
    <xf numFmtId="9" fontId="37" fillId="16" borderId="16" xfId="3" applyFont="1" applyFill="1" applyBorder="1" applyAlignment="1">
      <alignment horizontal="center" vertical="center" wrapText="1"/>
    </xf>
    <xf numFmtId="9" fontId="60" fillId="15" borderId="16" xfId="0" applyNumberFormat="1" applyFont="1" applyFill="1" applyBorder="1" applyAlignment="1">
      <alignment horizontal="center" vertical="center" wrapText="1"/>
    </xf>
    <xf numFmtId="10" fontId="57" fillId="16" borderId="16" xfId="0" applyNumberFormat="1" applyFont="1" applyFill="1" applyBorder="1" applyAlignment="1">
      <alignment horizontal="center" vertical="center" wrapText="1"/>
    </xf>
    <xf numFmtId="3" fontId="37" fillId="16" borderId="16" xfId="0" applyNumberFormat="1" applyFont="1" applyFill="1" applyBorder="1" applyAlignment="1">
      <alignment vertical="center" wrapText="1"/>
    </xf>
    <xf numFmtId="3" fontId="36" fillId="0" borderId="16" xfId="0" applyNumberFormat="1" applyFont="1" applyFill="1" applyBorder="1" applyAlignment="1">
      <alignment vertical="center" wrapText="1"/>
    </xf>
    <xf numFmtId="3" fontId="36" fillId="0" borderId="45" xfId="0" applyNumberFormat="1" applyFont="1" applyFill="1" applyBorder="1" applyAlignment="1">
      <alignment vertical="center" wrapText="1"/>
    </xf>
    <xf numFmtId="0" fontId="56" fillId="24" borderId="18" xfId="0" applyFont="1" applyFill="1" applyBorder="1" applyAlignment="1">
      <alignment horizontal="justify" vertical="top" wrapText="1"/>
    </xf>
    <xf numFmtId="9" fontId="37" fillId="23" borderId="16" xfId="0" applyNumberFormat="1" applyFont="1" applyFill="1" applyBorder="1" applyAlignment="1">
      <alignment horizontal="center" vertical="center" wrapText="1"/>
    </xf>
    <xf numFmtId="9" fontId="57" fillId="16" borderId="16" xfId="0" applyNumberFormat="1" applyFont="1" applyFill="1" applyBorder="1" applyAlignment="1">
      <alignment horizontal="center" vertical="center" wrapText="1"/>
    </xf>
    <xf numFmtId="9" fontId="37" fillId="3" borderId="16" xfId="0" applyNumberFormat="1" applyFont="1" applyFill="1" applyBorder="1" applyAlignment="1">
      <alignment horizontal="center" vertical="center" wrapText="1"/>
    </xf>
    <xf numFmtId="0" fontId="56" fillId="24" borderId="21" xfId="0" applyFont="1" applyFill="1" applyBorder="1" applyAlignment="1">
      <alignment horizontal="justify" vertical="center" wrapText="1"/>
    </xf>
    <xf numFmtId="3" fontId="37" fillId="15" borderId="37" xfId="0" applyNumberFormat="1" applyFont="1" applyFill="1" applyBorder="1" applyAlignment="1">
      <alignment horizontal="center" vertical="center" wrapText="1"/>
    </xf>
    <xf numFmtId="9" fontId="37" fillId="15" borderId="37" xfId="3" applyFont="1" applyFill="1" applyBorder="1" applyAlignment="1">
      <alignment horizontal="center" vertical="center" wrapText="1"/>
    </xf>
    <xf numFmtId="9" fontId="37" fillId="22" borderId="37" xfId="3" applyFont="1" applyFill="1" applyBorder="1" applyAlignment="1">
      <alignment horizontal="center" vertical="center" wrapText="1"/>
    </xf>
    <xf numFmtId="9" fontId="37" fillId="15" borderId="37" xfId="0" applyNumberFormat="1" applyFont="1" applyFill="1" applyBorder="1" applyAlignment="1">
      <alignment horizontal="center" vertical="center" wrapText="1"/>
    </xf>
    <xf numFmtId="9" fontId="57" fillId="16" borderId="37" xfId="0" applyNumberFormat="1" applyFont="1" applyFill="1" applyBorder="1" applyAlignment="1">
      <alignment horizontal="center" vertical="center" wrapText="1"/>
    </xf>
    <xf numFmtId="3" fontId="37" fillId="16" borderId="37" xfId="0" applyNumberFormat="1" applyFont="1" applyFill="1" applyBorder="1" applyAlignment="1">
      <alignment horizontal="center" vertical="center" wrapText="1"/>
    </xf>
    <xf numFmtId="9" fontId="37" fillId="3" borderId="37" xfId="0" applyNumberFormat="1" applyFont="1" applyFill="1" applyBorder="1" applyAlignment="1">
      <alignment horizontal="center" vertical="center" wrapText="1"/>
    </xf>
    <xf numFmtId="3" fontId="37" fillId="16" borderId="37" xfId="0" applyNumberFormat="1" applyFont="1" applyFill="1" applyBorder="1" applyAlignment="1">
      <alignment vertical="center" wrapText="1"/>
    </xf>
    <xf numFmtId="3" fontId="36" fillId="0" borderId="37" xfId="0" applyNumberFormat="1" applyFont="1" applyFill="1" applyBorder="1" applyAlignment="1">
      <alignment vertical="center" wrapText="1"/>
    </xf>
    <xf numFmtId="3" fontId="36" fillId="0" borderId="48" xfId="0" applyNumberFormat="1" applyFont="1" applyFill="1" applyBorder="1" applyAlignment="1">
      <alignment vertical="center" wrapText="1"/>
    </xf>
    <xf numFmtId="10" fontId="36" fillId="15" borderId="15" xfId="0" applyNumberFormat="1" applyFont="1" applyFill="1" applyBorder="1" applyAlignment="1">
      <alignment horizontal="center" vertical="center" wrapText="1"/>
    </xf>
    <xf numFmtId="10" fontId="36" fillId="3" borderId="12" xfId="0" applyNumberFormat="1" applyFont="1" applyFill="1" applyBorder="1" applyAlignment="1">
      <alignment horizontal="center" vertical="center" wrapText="1"/>
    </xf>
    <xf numFmtId="10" fontId="36" fillId="3" borderId="15" xfId="0" applyNumberFormat="1" applyFont="1" applyFill="1" applyBorder="1" applyAlignment="1">
      <alignment horizontal="center" vertical="center" wrapText="1"/>
    </xf>
    <xf numFmtId="9" fontId="36" fillId="3" borderId="15" xfId="0" applyNumberFormat="1" applyFont="1" applyFill="1" applyBorder="1" applyAlignment="1">
      <alignment horizontal="center" vertical="center" wrapText="1"/>
    </xf>
    <xf numFmtId="166" fontId="37" fillId="16" borderId="12" xfId="0" applyNumberFormat="1" applyFont="1" applyFill="1" applyBorder="1" applyAlignment="1">
      <alignment horizontal="center" vertical="center" wrapText="1"/>
    </xf>
    <xf numFmtId="9" fontId="37" fillId="16" borderId="30" xfId="3" applyFont="1" applyFill="1" applyBorder="1" applyAlignment="1">
      <alignment horizontal="center" vertical="center" wrapText="1"/>
    </xf>
    <xf numFmtId="9" fontId="37" fillId="3" borderId="30" xfId="0" applyNumberFormat="1" applyFont="1" applyFill="1" applyBorder="1" applyAlignment="1">
      <alignment horizontal="center" vertical="center" wrapText="1"/>
    </xf>
    <xf numFmtId="3" fontId="37" fillId="16" borderId="30" xfId="0" applyNumberFormat="1" applyFont="1" applyFill="1" applyBorder="1" applyAlignment="1">
      <alignment vertical="center" wrapText="1"/>
    </xf>
    <xf numFmtId="3" fontId="36" fillId="0" borderId="30" xfId="0" applyNumberFormat="1" applyFont="1" applyFill="1" applyBorder="1" applyAlignment="1">
      <alignment vertical="center" wrapText="1"/>
    </xf>
    <xf numFmtId="3" fontId="36" fillId="0" borderId="64" xfId="0" applyNumberFormat="1" applyFont="1" applyFill="1" applyBorder="1" applyAlignment="1">
      <alignment vertical="center" wrapText="1"/>
    </xf>
    <xf numFmtId="3" fontId="61" fillId="15" borderId="16" xfId="0" applyNumberFormat="1" applyFont="1" applyFill="1" applyBorder="1" applyAlignment="1">
      <alignment vertical="center" wrapText="1"/>
    </xf>
    <xf numFmtId="3" fontId="61" fillId="16" borderId="16" xfId="0" applyNumberFormat="1" applyFont="1" applyFill="1" applyBorder="1" applyAlignment="1">
      <alignment vertical="center" wrapText="1"/>
    </xf>
    <xf numFmtId="3" fontId="62" fillId="0" borderId="16" xfId="0" applyNumberFormat="1" applyFont="1" applyFill="1" applyBorder="1" applyAlignment="1">
      <alignment vertical="center" wrapText="1"/>
    </xf>
    <xf numFmtId="3" fontId="62" fillId="0" borderId="45" xfId="0" applyNumberFormat="1" applyFont="1" applyFill="1" applyBorder="1" applyAlignment="1">
      <alignment vertical="center" wrapText="1"/>
    </xf>
    <xf numFmtId="0" fontId="56" fillId="24" borderId="18" xfId="6" applyFont="1" applyFill="1" applyBorder="1" applyAlignment="1">
      <alignment horizontal="justify" vertical="top" wrapText="1"/>
    </xf>
    <xf numFmtId="3" fontId="37" fillId="22" borderId="16" xfId="0" applyNumberFormat="1" applyFont="1" applyFill="1" applyBorder="1" applyAlignment="1">
      <alignment horizontal="center" vertical="center" wrapText="1"/>
    </xf>
    <xf numFmtId="0" fontId="56" fillId="24" borderId="21" xfId="6" applyFont="1" applyFill="1" applyBorder="1" applyAlignment="1">
      <alignment horizontal="justify" vertical="top" wrapText="1"/>
    </xf>
    <xf numFmtId="9" fontId="37" fillId="16" borderId="37" xfId="3" applyFont="1" applyFill="1" applyBorder="1" applyAlignment="1">
      <alignment horizontal="center" vertical="center" wrapText="1"/>
    </xf>
    <xf numFmtId="9" fontId="36" fillId="15" borderId="15" xfId="0" applyNumberFormat="1" applyFont="1" applyFill="1" applyBorder="1" applyAlignment="1">
      <alignment horizontal="center" vertical="center" wrapText="1"/>
    </xf>
    <xf numFmtId="9" fontId="36" fillId="3" borderId="12" xfId="0" applyNumberFormat="1" applyFont="1" applyFill="1" applyBorder="1" applyAlignment="1">
      <alignment horizontal="center" vertical="center" wrapText="1"/>
    </xf>
    <xf numFmtId="0" fontId="56" fillId="24" borderId="24" xfId="0" applyFont="1" applyFill="1" applyBorder="1" applyAlignment="1">
      <alignment horizontal="justify" vertical="top" wrapText="1"/>
    </xf>
    <xf numFmtId="0" fontId="37" fillId="23" borderId="30" xfId="0" applyFont="1" applyFill="1" applyBorder="1" applyAlignment="1">
      <alignment horizontal="center" vertical="center" wrapText="1"/>
    </xf>
    <xf numFmtId="0" fontId="37" fillId="22" borderId="30" xfId="0" applyFont="1" applyFill="1" applyBorder="1" applyAlignment="1">
      <alignment horizontal="center" vertical="center" wrapText="1"/>
    </xf>
    <xf numFmtId="9" fontId="37" fillId="15" borderId="30" xfId="0" applyNumberFormat="1" applyFont="1" applyFill="1" applyBorder="1" applyAlignment="1">
      <alignment horizontal="center" vertical="center" wrapText="1"/>
    </xf>
    <xf numFmtId="0" fontId="36" fillId="15" borderId="30" xfId="0" applyFont="1" applyFill="1" applyBorder="1" applyAlignment="1">
      <alignment vertical="top" wrapText="1"/>
    </xf>
    <xf numFmtId="0" fontId="37" fillId="15" borderId="30" xfId="0" applyFont="1" applyFill="1" applyBorder="1" applyAlignment="1">
      <alignment horizontal="center" vertical="center" wrapText="1"/>
    </xf>
    <xf numFmtId="0" fontId="37" fillId="16" borderId="30" xfId="0" applyFont="1" applyFill="1" applyBorder="1" applyAlignment="1">
      <alignment horizontal="center" vertical="center" wrapText="1"/>
    </xf>
    <xf numFmtId="168" fontId="37" fillId="16" borderId="30" xfId="0" applyNumberFormat="1" applyFont="1" applyFill="1" applyBorder="1" applyAlignment="1">
      <alignment horizontal="center" vertical="center" wrapText="1"/>
    </xf>
    <xf numFmtId="43" fontId="37" fillId="0" borderId="30" xfId="4" applyFont="1" applyFill="1" applyBorder="1" applyAlignment="1" applyProtection="1">
      <alignment horizontal="center" vertical="center" wrapText="1"/>
      <protection locked="0"/>
    </xf>
    <xf numFmtId="4" fontId="36" fillId="0" borderId="30" xfId="0" applyNumberFormat="1" applyFont="1" applyFill="1" applyBorder="1" applyAlignment="1">
      <alignment horizontal="center" vertical="center" wrapText="1"/>
    </xf>
    <xf numFmtId="4" fontId="37" fillId="0" borderId="30" xfId="0" applyNumberFormat="1" applyFont="1" applyFill="1" applyBorder="1" applyAlignment="1">
      <alignment horizontal="center" vertical="center" wrapText="1"/>
    </xf>
    <xf numFmtId="9" fontId="37" fillId="23" borderId="16" xfId="3" applyFont="1" applyFill="1" applyBorder="1" applyAlignment="1">
      <alignment horizontal="center" vertical="center" wrapText="1"/>
    </xf>
    <xf numFmtId="0" fontId="36" fillId="15" borderId="16" xfId="0" applyFont="1" applyFill="1" applyBorder="1" applyAlignment="1">
      <alignment vertical="top" wrapText="1"/>
    </xf>
    <xf numFmtId="0" fontId="37" fillId="15" borderId="16" xfId="0" applyFont="1" applyFill="1" applyBorder="1" applyAlignment="1">
      <alignment horizontal="center" vertical="center" wrapText="1"/>
    </xf>
    <xf numFmtId="168" fontId="37" fillId="16" borderId="16" xfId="0" applyNumberFormat="1" applyFont="1" applyFill="1" applyBorder="1" applyAlignment="1">
      <alignment horizontal="center" vertical="center" wrapText="1"/>
    </xf>
    <xf numFmtId="43" fontId="37" fillId="0" borderId="16" xfId="4" applyFont="1" applyFill="1" applyBorder="1" applyAlignment="1" applyProtection="1">
      <alignment horizontal="center" vertical="center" wrapText="1"/>
      <protection locked="0"/>
    </xf>
    <xf numFmtId="4" fontId="36" fillId="0" borderId="16" xfId="0" applyNumberFormat="1" applyFont="1" applyFill="1" applyBorder="1" applyAlignment="1">
      <alignment horizontal="center" vertical="center" wrapText="1"/>
    </xf>
    <xf numFmtId="4" fontId="37" fillId="0" borderId="16" xfId="0" applyNumberFormat="1" applyFont="1" applyFill="1" applyBorder="1" applyAlignment="1">
      <alignment horizontal="center" vertical="center" wrapText="1"/>
    </xf>
    <xf numFmtId="0" fontId="37" fillId="23" borderId="16" xfId="0" applyFont="1" applyFill="1" applyBorder="1" applyAlignment="1">
      <alignment horizontal="center" vertical="center" wrapText="1"/>
    </xf>
    <xf numFmtId="0" fontId="37" fillId="22" borderId="16" xfId="0" applyFont="1" applyFill="1" applyBorder="1" applyAlignment="1">
      <alignment horizontal="center" vertical="center" wrapText="1"/>
    </xf>
    <xf numFmtId="0" fontId="37" fillId="15" borderId="16" xfId="0" applyFont="1" applyFill="1" applyBorder="1" applyAlignment="1">
      <alignment vertical="top" wrapText="1"/>
    </xf>
    <xf numFmtId="0" fontId="37" fillId="16" borderId="16" xfId="0" applyFont="1" applyFill="1" applyBorder="1" applyAlignment="1">
      <alignment horizontal="center" vertical="center" wrapText="1"/>
    </xf>
    <xf numFmtId="0" fontId="56" fillId="13" borderId="21" xfId="0" applyFont="1" applyFill="1" applyBorder="1" applyAlignment="1">
      <alignment horizontal="justify" vertical="top" wrapText="1"/>
    </xf>
    <xf numFmtId="0" fontId="37" fillId="23" borderId="37" xfId="0" applyFont="1" applyFill="1" applyBorder="1" applyAlignment="1">
      <alignment horizontal="center" vertical="center" wrapText="1"/>
    </xf>
    <xf numFmtId="0" fontId="37" fillId="22" borderId="37" xfId="0" applyFont="1" applyFill="1" applyBorder="1" applyAlignment="1">
      <alignment horizontal="center" vertical="center" wrapText="1"/>
    </xf>
    <xf numFmtId="0" fontId="36" fillId="15" borderId="37" xfId="0" applyFont="1" applyFill="1" applyBorder="1" applyAlignment="1">
      <alignment vertical="center" wrapText="1"/>
    </xf>
    <xf numFmtId="0" fontId="37" fillId="15" borderId="37" xfId="0" applyFont="1" applyFill="1" applyBorder="1" applyAlignment="1">
      <alignment horizontal="center" vertical="center" wrapText="1"/>
    </xf>
    <xf numFmtId="0" fontId="37" fillId="16" borderId="37" xfId="0" applyFont="1" applyFill="1" applyBorder="1" applyAlignment="1">
      <alignment horizontal="center" vertical="center" wrapText="1"/>
    </xf>
    <xf numFmtId="168" fontId="37" fillId="16" borderId="37" xfId="0" applyNumberFormat="1" applyFont="1" applyFill="1" applyBorder="1" applyAlignment="1">
      <alignment horizontal="center" vertical="center" wrapText="1"/>
    </xf>
    <xf numFmtId="43" fontId="37" fillId="0" borderId="37" xfId="4" applyFont="1" applyFill="1" applyBorder="1" applyAlignment="1" applyProtection="1">
      <alignment horizontal="center" vertical="center" wrapText="1"/>
      <protection locked="0"/>
    </xf>
    <xf numFmtId="4" fontId="36" fillId="0" borderId="37" xfId="0" applyNumberFormat="1" applyFont="1" applyFill="1" applyBorder="1" applyAlignment="1">
      <alignment horizontal="center" vertical="center" wrapText="1"/>
    </xf>
    <xf numFmtId="4" fontId="37" fillId="0" borderId="37" xfId="0" applyNumberFormat="1" applyFont="1" applyFill="1" applyBorder="1" applyAlignment="1">
      <alignment horizontal="center" vertical="center" wrapText="1"/>
    </xf>
    <xf numFmtId="0" fontId="36" fillId="0" borderId="37" xfId="0" applyFont="1" applyFill="1" applyBorder="1" applyAlignment="1">
      <alignment vertical="center" wrapText="1"/>
    </xf>
    <xf numFmtId="9" fontId="36" fillId="15" borderId="3" xfId="0" applyNumberFormat="1" applyFont="1" applyFill="1" applyBorder="1" applyAlignment="1">
      <alignment horizontal="center" vertical="center" wrapText="1"/>
    </xf>
    <xf numFmtId="0" fontId="36" fillId="15" borderId="3" xfId="0" applyFont="1" applyFill="1" applyBorder="1" applyAlignment="1">
      <alignment vertical="center" wrapText="1"/>
    </xf>
    <xf numFmtId="0" fontId="36" fillId="23" borderId="12" xfId="0" applyFont="1" applyFill="1" applyBorder="1" applyAlignment="1">
      <alignment vertical="center" wrapText="1"/>
    </xf>
    <xf numFmtId="3" fontId="37" fillId="23" borderId="3" xfId="0" applyNumberFormat="1" applyFont="1" applyFill="1" applyBorder="1" applyAlignment="1">
      <alignment horizontal="center" vertical="center" wrapText="1"/>
    </xf>
    <xf numFmtId="9" fontId="36" fillId="23" borderId="12" xfId="0" applyNumberFormat="1" applyFont="1" applyFill="1" applyBorder="1" applyAlignment="1">
      <alignment horizontal="center" vertical="center" wrapText="1"/>
    </xf>
    <xf numFmtId="166" fontId="36" fillId="23" borderId="3" xfId="0" applyNumberFormat="1" applyFont="1" applyFill="1" applyBorder="1" applyAlignment="1">
      <alignment horizontal="center" vertical="center" wrapText="1"/>
    </xf>
    <xf numFmtId="0" fontId="36" fillId="0" borderId="61" xfId="0" applyFont="1" applyFill="1" applyBorder="1" applyAlignment="1">
      <alignment vertical="center" wrapText="1"/>
    </xf>
    <xf numFmtId="3" fontId="37" fillId="16" borderId="12" xfId="0" applyNumberFormat="1" applyFont="1" applyFill="1" applyBorder="1" applyAlignment="1">
      <alignment horizontal="center" vertical="center" wrapText="1"/>
    </xf>
    <xf numFmtId="9" fontId="36" fillId="16" borderId="11" xfId="0" applyNumberFormat="1" applyFont="1" applyFill="1" applyBorder="1" applyAlignment="1">
      <alignment horizontal="center" vertical="center" wrapText="1"/>
    </xf>
    <xf numFmtId="9" fontId="37" fillId="15" borderId="30" xfId="3" applyNumberFormat="1" applyFont="1" applyFill="1" applyBorder="1" applyAlignment="1">
      <alignment horizontal="center" vertical="center" wrapText="1"/>
    </xf>
    <xf numFmtId="3" fontId="63" fillId="15" borderId="24" xfId="0" applyNumberFormat="1" applyFont="1" applyFill="1" applyBorder="1" applyAlignment="1">
      <alignment vertical="top" wrapText="1"/>
    </xf>
    <xf numFmtId="3" fontId="63" fillId="15" borderId="30" xfId="0" applyNumberFormat="1" applyFont="1" applyFill="1" applyBorder="1" applyAlignment="1">
      <alignment vertical="top" wrapText="1"/>
    </xf>
    <xf numFmtId="3" fontId="36" fillId="0" borderId="6" xfId="0" applyNumberFormat="1" applyFont="1" applyFill="1" applyBorder="1" applyAlignment="1">
      <alignment vertical="center" wrapText="1"/>
    </xf>
    <xf numFmtId="9" fontId="37" fillId="15" borderId="16" xfId="3" applyNumberFormat="1" applyFont="1" applyFill="1" applyBorder="1" applyAlignment="1">
      <alignment horizontal="center" vertical="center" wrapText="1"/>
    </xf>
    <xf numFmtId="3" fontId="40" fillId="15" borderId="16" xfId="0" applyNumberFormat="1" applyFont="1" applyFill="1" applyBorder="1" applyAlignment="1">
      <alignment vertical="center" wrapText="1"/>
    </xf>
    <xf numFmtId="9" fontId="37" fillId="23" borderId="16" xfId="3" applyNumberFormat="1" applyFont="1" applyFill="1" applyBorder="1" applyAlignment="1">
      <alignment horizontal="center" vertical="center" wrapText="1"/>
    </xf>
    <xf numFmtId="3" fontId="64" fillId="0" borderId="48" xfId="0" applyNumberFormat="1" applyFont="1" applyFill="1" applyBorder="1" applyAlignment="1">
      <alignment vertical="center" wrapText="1"/>
    </xf>
    <xf numFmtId="3" fontId="40" fillId="15" borderId="16" xfId="0" applyNumberFormat="1" applyFont="1" applyFill="1" applyBorder="1" applyAlignment="1">
      <alignment horizontal="center" vertical="center" wrapText="1"/>
    </xf>
    <xf numFmtId="3" fontId="63" fillId="0" borderId="48" xfId="0" applyNumberFormat="1" applyFont="1" applyFill="1" applyBorder="1" applyAlignment="1">
      <alignment horizontal="justify" vertical="top" wrapText="1"/>
    </xf>
    <xf numFmtId="9" fontId="37" fillId="3" borderId="16" xfId="3" applyFont="1" applyFill="1" applyBorder="1" applyAlignment="1">
      <alignment horizontal="center" vertical="center" wrapText="1"/>
    </xf>
    <xf numFmtId="3" fontId="36" fillId="0" borderId="18" xfId="0" applyNumberFormat="1" applyFont="1" applyFill="1" applyBorder="1" applyAlignment="1">
      <alignment vertical="center" wrapText="1"/>
    </xf>
    <xf numFmtId="3" fontId="40" fillId="23" borderId="16" xfId="0" applyNumberFormat="1" applyFont="1" applyFill="1" applyBorder="1" applyAlignment="1">
      <alignment vertical="center" wrapText="1"/>
    </xf>
    <xf numFmtId="3" fontId="37" fillId="22" borderId="37" xfId="0" applyNumberFormat="1" applyFont="1" applyFill="1" applyBorder="1" applyAlignment="1">
      <alignment horizontal="center" vertical="center" wrapText="1"/>
    </xf>
    <xf numFmtId="3" fontId="40" fillId="23" borderId="37" xfId="0" applyNumberFormat="1" applyFont="1" applyFill="1" applyBorder="1" applyAlignment="1">
      <alignment vertical="center" wrapText="1"/>
    </xf>
    <xf numFmtId="9" fontId="36" fillId="15" borderId="15" xfId="6" applyNumberFormat="1" applyFont="1" applyFill="1" applyBorder="1" applyAlignment="1">
      <alignment horizontal="center" vertical="center" wrapText="1"/>
    </xf>
    <xf numFmtId="10" fontId="36" fillId="15" borderId="12" xfId="6" applyNumberFormat="1" applyFont="1" applyFill="1" applyBorder="1" applyAlignment="1">
      <alignment horizontal="center" vertical="center" wrapText="1"/>
    </xf>
    <xf numFmtId="10" fontId="36" fillId="15" borderId="15" xfId="6" applyNumberFormat="1" applyFont="1" applyFill="1" applyBorder="1" applyAlignment="1">
      <alignment horizontal="center" vertical="center" wrapText="1"/>
    </xf>
    <xf numFmtId="10" fontId="36" fillId="3" borderId="12" xfId="6" applyNumberFormat="1" applyFont="1" applyFill="1" applyBorder="1" applyAlignment="1">
      <alignment horizontal="center" vertical="center" wrapText="1"/>
    </xf>
    <xf numFmtId="10" fontId="36" fillId="3" borderId="15" xfId="6" applyNumberFormat="1" applyFont="1" applyFill="1" applyBorder="1" applyAlignment="1">
      <alignment horizontal="center" vertical="center" wrapText="1"/>
    </xf>
    <xf numFmtId="9" fontId="36" fillId="3" borderId="12" xfId="6" applyNumberFormat="1" applyFont="1" applyFill="1" applyBorder="1" applyAlignment="1">
      <alignment horizontal="center" vertical="center" wrapText="1"/>
    </xf>
    <xf numFmtId="166" fontId="37" fillId="16" borderId="15" xfId="0" applyNumberFormat="1" applyFont="1" applyFill="1" applyBorder="1" applyAlignment="1">
      <alignment horizontal="center" vertical="center" wrapText="1"/>
    </xf>
    <xf numFmtId="0" fontId="56" fillId="24" borderId="24" xfId="6" applyFont="1" applyFill="1" applyBorder="1" applyAlignment="1">
      <alignment horizontal="justify" vertical="top" wrapText="1"/>
    </xf>
    <xf numFmtId="3" fontId="37" fillId="22" borderId="30" xfId="0" applyNumberFormat="1" applyFont="1" applyFill="1" applyBorder="1" applyAlignment="1">
      <alignment horizontal="center" vertical="center" wrapText="1"/>
    </xf>
    <xf numFmtId="3" fontId="36" fillId="0" borderId="26" xfId="0" applyNumberFormat="1" applyFont="1" applyFill="1" applyBorder="1" applyAlignment="1">
      <alignment vertical="center" wrapText="1"/>
    </xf>
    <xf numFmtId="0" fontId="56" fillId="13" borderId="18" xfId="6" applyFont="1" applyFill="1" applyBorder="1" applyAlignment="1">
      <alignment horizontal="justify" vertical="top" wrapText="1"/>
    </xf>
    <xf numFmtId="10" fontId="37" fillId="15" borderId="16" xfId="0" applyNumberFormat="1" applyFont="1" applyFill="1" applyBorder="1" applyAlignment="1">
      <alignment horizontal="center" vertical="center" wrapText="1"/>
    </xf>
    <xf numFmtId="1" fontId="37" fillId="15" borderId="16" xfId="3" applyNumberFormat="1" applyFont="1" applyFill="1" applyBorder="1" applyAlignment="1">
      <alignment horizontal="center" vertical="center" wrapText="1"/>
    </xf>
    <xf numFmtId="1" fontId="37" fillId="22" borderId="16" xfId="3" applyNumberFormat="1" applyFont="1" applyFill="1" applyBorder="1" applyAlignment="1">
      <alignment horizontal="center" vertical="center" wrapText="1"/>
    </xf>
    <xf numFmtId="3" fontId="36" fillId="0" borderId="20" xfId="0" applyNumberFormat="1" applyFont="1" applyFill="1" applyBorder="1" applyAlignment="1">
      <alignment vertical="center" wrapText="1"/>
    </xf>
    <xf numFmtId="3" fontId="57" fillId="16" borderId="37" xfId="0" applyNumberFormat="1" applyFont="1" applyFill="1" applyBorder="1" applyAlignment="1">
      <alignment vertical="center" wrapText="1"/>
    </xf>
    <xf numFmtId="3" fontId="58" fillId="0" borderId="37" xfId="0" applyNumberFormat="1" applyFont="1" applyFill="1" applyBorder="1" applyAlignment="1">
      <alignment vertical="center" wrapText="1"/>
    </xf>
    <xf numFmtId="3" fontId="58" fillId="0" borderId="23" xfId="0" applyNumberFormat="1" applyFont="1" applyFill="1" applyBorder="1" applyAlignment="1">
      <alignment vertical="center" wrapText="1"/>
    </xf>
    <xf numFmtId="166" fontId="36" fillId="16" borderId="12" xfId="0" applyNumberFormat="1" applyFont="1" applyFill="1" applyBorder="1" applyAlignment="1">
      <alignment horizontal="center" vertical="top" wrapText="1"/>
    </xf>
    <xf numFmtId="4" fontId="36" fillId="0" borderId="12" xfId="0" applyNumberFormat="1" applyFont="1" applyFill="1" applyBorder="1" applyAlignment="1">
      <alignment horizontal="center" vertical="center" wrapText="1"/>
    </xf>
    <xf numFmtId="9" fontId="36" fillId="0" borderId="66" xfId="3" applyFont="1" applyFill="1" applyBorder="1" applyAlignment="1">
      <alignment horizontal="center" vertical="center" wrapText="1"/>
    </xf>
    <xf numFmtId="10" fontId="36" fillId="15" borderId="11" xfId="0" applyNumberFormat="1" applyFont="1" applyFill="1" applyBorder="1" applyAlignment="1">
      <alignment horizontal="center" vertical="center" wrapText="1"/>
    </xf>
    <xf numFmtId="10" fontId="36" fillId="3" borderId="11" xfId="0" applyNumberFormat="1" applyFont="1" applyFill="1" applyBorder="1" applyAlignment="1">
      <alignment horizontal="center" vertical="center" wrapText="1"/>
    </xf>
    <xf numFmtId="169" fontId="37" fillId="16" borderId="11" xfId="0" applyNumberFormat="1" applyFont="1" applyFill="1" applyBorder="1" applyAlignment="1">
      <alignment horizontal="center" vertical="center" wrapText="1"/>
    </xf>
    <xf numFmtId="3" fontId="63" fillId="15" borderId="30" xfId="0" applyNumberFormat="1" applyFont="1" applyFill="1" applyBorder="1" applyAlignment="1">
      <alignment horizontal="justify" vertical="top" wrapText="1"/>
    </xf>
    <xf numFmtId="3" fontId="64" fillId="0" borderId="64" xfId="0" applyNumberFormat="1" applyFont="1" applyFill="1" applyBorder="1" applyAlignment="1">
      <alignment horizontal="justify" vertical="top" wrapText="1"/>
    </xf>
    <xf numFmtId="170" fontId="37" fillId="15" borderId="16" xfId="0" applyNumberFormat="1" applyFont="1" applyFill="1" applyBorder="1" applyAlignment="1">
      <alignment horizontal="center" vertical="center" wrapText="1"/>
    </xf>
    <xf numFmtId="3" fontId="63" fillId="15" borderId="16" xfId="0" applyNumberFormat="1" applyFont="1" applyFill="1" applyBorder="1" applyAlignment="1">
      <alignment horizontal="center" vertical="center" wrapText="1"/>
    </xf>
    <xf numFmtId="0" fontId="56" fillId="25" borderId="18" xfId="6" applyFont="1" applyFill="1" applyBorder="1" applyAlignment="1">
      <alignment horizontal="justify" vertical="top" wrapText="1"/>
    </xf>
    <xf numFmtId="0" fontId="56" fillId="25" borderId="21" xfId="6" applyFont="1" applyFill="1" applyBorder="1" applyAlignment="1">
      <alignment horizontal="justify" vertical="top" wrapText="1"/>
    </xf>
    <xf numFmtId="3" fontId="40" fillId="15" borderId="37" xfId="0" applyNumberFormat="1" applyFont="1" applyFill="1" applyBorder="1" applyAlignment="1">
      <alignment horizontal="center" vertical="center" wrapText="1"/>
    </xf>
    <xf numFmtId="0" fontId="48" fillId="0" borderId="61" xfId="0" applyFont="1" applyFill="1" applyBorder="1" applyAlignment="1">
      <alignment vertical="center" textRotation="90" wrapText="1"/>
    </xf>
    <xf numFmtId="1" fontId="37" fillId="15" borderId="37" xfId="3" applyNumberFormat="1" applyFont="1" applyFill="1" applyBorder="1" applyAlignment="1">
      <alignment horizontal="center" vertical="center" wrapText="1"/>
    </xf>
    <xf numFmtId="1" fontId="37" fillId="22" borderId="37" xfId="3" applyNumberFormat="1" applyFont="1" applyFill="1" applyBorder="1" applyAlignment="1">
      <alignment horizontal="center" vertical="center" wrapText="1"/>
    </xf>
    <xf numFmtId="3" fontId="37" fillId="15" borderId="61" xfId="0" applyNumberFormat="1" applyFont="1" applyFill="1" applyBorder="1" applyAlignment="1">
      <alignment horizontal="center" vertical="center" wrapText="1"/>
    </xf>
    <xf numFmtId="9" fontId="37" fillId="15" borderId="61" xfId="3" applyFont="1" applyFill="1" applyBorder="1" applyAlignment="1">
      <alignment horizontal="center" vertical="center" wrapText="1"/>
    </xf>
    <xf numFmtId="9" fontId="37" fillId="22" borderId="61" xfId="3" applyFont="1" applyFill="1" applyBorder="1" applyAlignment="1">
      <alignment horizontal="center" vertical="center" wrapText="1"/>
    </xf>
    <xf numFmtId="3" fontId="46" fillId="15" borderId="61" xfId="0" applyNumberFormat="1" applyFont="1" applyFill="1" applyBorder="1" applyAlignment="1">
      <alignment vertical="center" wrapText="1"/>
    </xf>
    <xf numFmtId="9" fontId="37" fillId="16" borderId="61" xfId="3" applyFont="1" applyFill="1" applyBorder="1" applyAlignment="1">
      <alignment horizontal="center" vertical="center" wrapText="1"/>
    </xf>
    <xf numFmtId="9" fontId="37" fillId="16" borderId="61" xfId="0" applyNumberFormat="1" applyFont="1" applyFill="1" applyBorder="1" applyAlignment="1">
      <alignment horizontal="center" vertical="center" wrapText="1"/>
    </xf>
    <xf numFmtId="3" fontId="37" fillId="16" borderId="61" xfId="0" applyNumberFormat="1" applyFont="1" applyFill="1" applyBorder="1" applyAlignment="1">
      <alignment horizontal="center" vertical="center" wrapText="1"/>
    </xf>
    <xf numFmtId="3" fontId="36" fillId="0" borderId="61" xfId="0" applyNumberFormat="1" applyFont="1" applyFill="1" applyBorder="1" applyAlignment="1">
      <alignment vertical="center" wrapText="1"/>
    </xf>
    <xf numFmtId="166" fontId="36" fillId="16" borderId="12" xfId="0" applyNumberFormat="1" applyFont="1" applyFill="1" applyBorder="1" applyAlignment="1">
      <alignment horizontal="center" vertical="center" wrapText="1"/>
    </xf>
    <xf numFmtId="3" fontId="37" fillId="0" borderId="12" xfId="0" applyNumberFormat="1" applyFont="1" applyFill="1" applyBorder="1" applyAlignment="1">
      <alignment vertical="center" wrapText="1"/>
    </xf>
    <xf numFmtId="0" fontId="56" fillId="15" borderId="61" xfId="0" applyFont="1" applyFill="1" applyBorder="1" applyAlignment="1">
      <alignment horizontal="center" vertical="center" wrapText="1"/>
    </xf>
    <xf numFmtId="9" fontId="37" fillId="15" borderId="61" xfId="3" applyNumberFormat="1" applyFont="1" applyFill="1" applyBorder="1" applyAlignment="1">
      <alignment horizontal="center" vertical="center" wrapText="1"/>
    </xf>
    <xf numFmtId="0" fontId="37" fillId="15" borderId="61" xfId="0" applyFont="1" applyFill="1" applyBorder="1" applyAlignment="1">
      <alignment horizontal="center" vertical="center" wrapText="1"/>
    </xf>
    <xf numFmtId="0" fontId="37" fillId="16" borderId="61" xfId="0" applyFont="1" applyFill="1" applyBorder="1" applyAlignment="1">
      <alignment horizontal="center" vertical="center" wrapText="1"/>
    </xf>
    <xf numFmtId="171" fontId="37" fillId="16" borderId="12" xfId="0" applyNumberFormat="1" applyFont="1" applyFill="1" applyBorder="1" applyAlignment="1">
      <alignment horizontal="center" vertical="center" wrapText="1"/>
    </xf>
    <xf numFmtId="0" fontId="57" fillId="15" borderId="61" xfId="0" applyFont="1" applyFill="1" applyBorder="1" applyAlignment="1">
      <alignment horizontal="center" vertical="center" wrapText="1"/>
    </xf>
    <xf numFmtId="0" fontId="57" fillId="16" borderId="61" xfId="0" applyFont="1" applyFill="1" applyBorder="1" applyAlignment="1">
      <alignment vertical="center" wrapText="1"/>
    </xf>
    <xf numFmtId="9" fontId="36" fillId="15" borderId="63" xfId="0" applyNumberFormat="1" applyFont="1" applyFill="1" applyBorder="1" applyAlignment="1">
      <alignment horizontal="center" vertical="center" wrapText="1"/>
    </xf>
    <xf numFmtId="9" fontId="36" fillId="16" borderId="12" xfId="0" applyNumberFormat="1" applyFont="1" applyFill="1" applyBorder="1" applyAlignment="1">
      <alignment horizontal="center" vertical="center" wrapText="1"/>
    </xf>
    <xf numFmtId="171" fontId="36" fillId="16" borderId="3" xfId="0" applyNumberFormat="1" applyFont="1" applyFill="1" applyBorder="1" applyAlignment="1">
      <alignment horizontal="center" vertical="center" wrapText="1"/>
    </xf>
    <xf numFmtId="0" fontId="37" fillId="16" borderId="61" xfId="0" applyFont="1" applyFill="1" applyBorder="1" applyAlignment="1">
      <alignment vertical="center" wrapText="1"/>
    </xf>
    <xf numFmtId="0" fontId="37" fillId="13" borderId="61" xfId="0" applyNumberFormat="1" applyFont="1" applyFill="1" applyBorder="1" applyAlignment="1">
      <alignment horizontal="justify" vertical="top" wrapText="1"/>
    </xf>
    <xf numFmtId="0" fontId="37" fillId="15" borderId="61" xfId="0" applyNumberFormat="1" applyFont="1" applyFill="1" applyBorder="1" applyAlignment="1">
      <alignment horizontal="center" vertical="center" wrapText="1"/>
    </xf>
    <xf numFmtId="9" fontId="37" fillId="15" borderId="61" xfId="0" applyNumberFormat="1" applyFont="1" applyFill="1" applyBorder="1" applyAlignment="1">
      <alignment horizontal="center" vertical="center" wrapText="1"/>
    </xf>
    <xf numFmtId="0" fontId="36" fillId="15" borderId="61" xfId="0" applyNumberFormat="1" applyFont="1" applyFill="1" applyBorder="1" applyAlignment="1">
      <alignment horizontal="center" vertical="top" wrapText="1"/>
    </xf>
    <xf numFmtId="1" fontId="37" fillId="15" borderId="61" xfId="0" applyNumberFormat="1" applyFont="1" applyFill="1" applyBorder="1" applyAlignment="1">
      <alignment horizontal="center" vertical="center" wrapText="1"/>
    </xf>
    <xf numFmtId="3" fontId="36" fillId="0" borderId="61" xfId="0" applyNumberFormat="1" applyFont="1" applyFill="1" applyBorder="1" applyAlignment="1">
      <alignment horizontal="center" vertical="center" wrapText="1"/>
    </xf>
    <xf numFmtId="3" fontId="36" fillId="0" borderId="62" xfId="0" applyNumberFormat="1" applyFont="1" applyFill="1" applyBorder="1" applyAlignment="1">
      <alignment horizontal="center" vertical="center" wrapText="1"/>
    </xf>
    <xf numFmtId="0" fontId="36" fillId="13" borderId="19" xfId="0" applyFont="1" applyFill="1" applyBorder="1" applyAlignment="1">
      <alignment vertical="center" wrapText="1"/>
    </xf>
    <xf numFmtId="0" fontId="36" fillId="13" borderId="14" xfId="0" applyFont="1" applyFill="1" applyBorder="1" applyAlignment="1">
      <alignment vertical="center" wrapText="1"/>
    </xf>
    <xf numFmtId="0" fontId="36" fillId="13" borderId="15" xfId="0" applyFont="1" applyFill="1" applyBorder="1" applyAlignment="1">
      <alignment vertical="center" wrapText="1"/>
    </xf>
    <xf numFmtId="9" fontId="36" fillId="23" borderId="15" xfId="0" applyNumberFormat="1" applyFont="1" applyFill="1" applyBorder="1" applyAlignment="1">
      <alignment horizontal="center" vertical="center" wrapText="1"/>
    </xf>
    <xf numFmtId="0" fontId="36" fillId="23" borderId="15" xfId="0" applyFont="1" applyFill="1" applyBorder="1" applyAlignment="1">
      <alignment vertical="center" wrapText="1"/>
    </xf>
    <xf numFmtId="3" fontId="37" fillId="23" borderId="15" xfId="0" applyNumberFormat="1" applyFont="1" applyFill="1" applyBorder="1" applyAlignment="1">
      <alignment horizontal="center" vertical="center" wrapText="1"/>
    </xf>
    <xf numFmtId="166" fontId="36" fillId="16" borderId="15" xfId="0" applyNumberFormat="1" applyFont="1" applyFill="1" applyBorder="1" applyAlignment="1">
      <alignment horizontal="center" vertical="center" wrapText="1"/>
    </xf>
    <xf numFmtId="0" fontId="36" fillId="0" borderId="37" xfId="0" applyFont="1" applyFill="1" applyBorder="1" applyAlignment="1">
      <alignment vertical="center" textRotation="90" wrapText="1"/>
    </xf>
    <xf numFmtId="9" fontId="36" fillId="15" borderId="26" xfId="0" applyNumberFormat="1" applyFont="1" applyFill="1" applyBorder="1" applyAlignment="1">
      <alignment horizontal="center" vertical="center" wrapText="1"/>
    </xf>
    <xf numFmtId="0" fontId="36" fillId="15" borderId="30" xfId="0" applyFont="1" applyFill="1" applyBorder="1" applyAlignment="1">
      <alignment vertical="center" wrapText="1"/>
    </xf>
    <xf numFmtId="0" fontId="36" fillId="16" borderId="30" xfId="0" applyFont="1" applyFill="1" applyBorder="1" applyAlignment="1">
      <alignment vertical="center" wrapText="1"/>
    </xf>
    <xf numFmtId="9" fontId="36" fillId="16" borderId="30" xfId="0" applyNumberFormat="1" applyFont="1" applyFill="1" applyBorder="1" applyAlignment="1">
      <alignment horizontal="center" vertical="center" wrapText="1"/>
    </xf>
    <xf numFmtId="166" fontId="37" fillId="16" borderId="30" xfId="0" applyNumberFormat="1" applyFont="1" applyFill="1" applyBorder="1" applyAlignment="1">
      <alignment horizontal="center" vertical="center" wrapText="1"/>
    </xf>
    <xf numFmtId="3" fontId="37" fillId="0" borderId="6" xfId="0" applyNumberFormat="1" applyFont="1" applyFill="1" applyBorder="1" applyAlignment="1">
      <alignment vertical="center" wrapText="1"/>
    </xf>
    <xf numFmtId="0" fontId="36" fillId="0" borderId="61" xfId="0" applyFont="1" applyFill="1" applyBorder="1" applyAlignment="1">
      <alignment vertical="center" textRotation="90" wrapText="1"/>
    </xf>
    <xf numFmtId="0" fontId="56" fillId="15" borderId="61" xfId="0" applyNumberFormat="1" applyFont="1" applyFill="1" applyBorder="1" applyAlignment="1">
      <alignment horizontal="center" vertical="center" wrapText="1"/>
    </xf>
    <xf numFmtId="9" fontId="37" fillId="26" borderId="30" xfId="3" applyFont="1" applyFill="1" applyBorder="1" applyAlignment="1">
      <alignment horizontal="center" vertical="center" wrapText="1"/>
    </xf>
    <xf numFmtId="0" fontId="40" fillId="15" borderId="16" xfId="0" applyFont="1" applyFill="1" applyBorder="1" applyAlignment="1">
      <alignment horizontal="center" vertical="center" wrapText="1"/>
    </xf>
    <xf numFmtId="9" fontId="36" fillId="0" borderId="16" xfId="3" applyFont="1" applyFill="1" applyBorder="1" applyAlignment="1">
      <alignment vertical="center" wrapText="1"/>
    </xf>
    <xf numFmtId="0" fontId="56" fillId="15" borderId="37" xfId="0" applyNumberFormat="1" applyFont="1" applyFill="1" applyBorder="1" applyAlignment="1">
      <alignment horizontal="center" vertical="center" wrapText="1"/>
    </xf>
    <xf numFmtId="9" fontId="37" fillId="26" borderId="16" xfId="3" applyFont="1" applyFill="1" applyBorder="1" applyAlignment="1">
      <alignment horizontal="center" vertical="center" wrapText="1"/>
    </xf>
    <xf numFmtId="9" fontId="37" fillId="26" borderId="16" xfId="0" applyNumberFormat="1" applyFont="1" applyFill="1" applyBorder="1" applyAlignment="1">
      <alignment horizontal="center" vertical="center" wrapText="1"/>
    </xf>
    <xf numFmtId="1" fontId="37" fillId="15" borderId="16" xfId="0" applyNumberFormat="1" applyFont="1" applyFill="1" applyBorder="1" applyAlignment="1">
      <alignment horizontal="center" vertical="center" wrapText="1"/>
    </xf>
    <xf numFmtId="3" fontId="68" fillId="0" borderId="16" xfId="0" applyNumberFormat="1" applyFont="1" applyFill="1" applyBorder="1" applyAlignment="1">
      <alignment vertical="center" wrapText="1"/>
    </xf>
    <xf numFmtId="1" fontId="37" fillId="15" borderId="37" xfId="0" applyNumberFormat="1" applyFont="1" applyFill="1" applyBorder="1" applyAlignment="1">
      <alignment horizontal="center" vertical="center" wrapText="1"/>
    </xf>
    <xf numFmtId="0" fontId="40" fillId="15" borderId="37" xfId="0" applyFont="1" applyFill="1" applyBorder="1" applyAlignment="1">
      <alignment horizontal="center" vertical="center" wrapText="1"/>
    </xf>
    <xf numFmtId="1" fontId="37" fillId="16" borderId="37" xfId="3" applyNumberFormat="1" applyFont="1" applyFill="1" applyBorder="1" applyAlignment="1">
      <alignment horizontal="center" vertical="center" wrapText="1"/>
    </xf>
    <xf numFmtId="9" fontId="37" fillId="16" borderId="37" xfId="0" applyNumberFormat="1" applyFont="1" applyFill="1" applyBorder="1" applyAlignment="1">
      <alignment horizontal="center" vertical="center" wrapText="1"/>
    </xf>
    <xf numFmtId="0" fontId="48" fillId="0" borderId="16" xfId="0" applyFont="1" applyFill="1" applyBorder="1" applyAlignment="1">
      <alignment vertical="center" textRotation="90" wrapText="1"/>
    </xf>
    <xf numFmtId="0" fontId="56" fillId="13" borderId="24" xfId="0" applyFont="1" applyFill="1" applyBorder="1" applyAlignment="1">
      <alignment horizontal="justify" vertical="top" wrapText="1"/>
    </xf>
    <xf numFmtId="172" fontId="37" fillId="23" borderId="30" xfId="0" applyNumberFormat="1" applyFont="1" applyFill="1" applyBorder="1" applyAlignment="1">
      <alignment horizontal="center" vertical="center" wrapText="1"/>
    </xf>
    <xf numFmtId="172" fontId="37" fillId="16" borderId="30" xfId="0" applyNumberFormat="1" applyFont="1" applyFill="1" applyBorder="1" applyAlignment="1">
      <alignment horizontal="center" vertical="center" wrapText="1"/>
    </xf>
    <xf numFmtId="173" fontId="37" fillId="16" borderId="30" xfId="0" applyNumberFormat="1" applyFont="1" applyFill="1" applyBorder="1" applyAlignment="1">
      <alignment vertical="center" wrapText="1"/>
    </xf>
    <xf numFmtId="0" fontId="56" fillId="13" borderId="18" xfId="0" applyFont="1" applyFill="1" applyBorder="1" applyAlignment="1">
      <alignment horizontal="justify" vertical="top" wrapText="1"/>
    </xf>
    <xf numFmtId="0" fontId="36" fillId="15" borderId="16" xfId="0" applyFont="1" applyFill="1" applyBorder="1" applyAlignment="1">
      <alignment vertical="center" wrapText="1"/>
    </xf>
    <xf numFmtId="173" fontId="37" fillId="16" borderId="16" xfId="0" applyNumberFormat="1" applyFont="1" applyFill="1" applyBorder="1" applyAlignment="1">
      <alignment vertical="center" wrapText="1"/>
    </xf>
    <xf numFmtId="3" fontId="37" fillId="0" borderId="48" xfId="0" applyNumberFormat="1" applyFont="1" applyFill="1" applyBorder="1" applyAlignment="1">
      <alignment vertical="center" wrapText="1"/>
    </xf>
    <xf numFmtId="172" fontId="37" fillId="23" borderId="16" xfId="0" applyNumberFormat="1" applyFont="1" applyFill="1" applyBorder="1" applyAlignment="1">
      <alignment horizontal="center" vertical="center" wrapText="1"/>
    </xf>
    <xf numFmtId="9" fontId="48" fillId="23" borderId="12" xfId="3" applyNumberFormat="1" applyFont="1" applyFill="1" applyBorder="1" applyAlignment="1">
      <alignment horizontal="center" vertical="center" wrapText="1"/>
    </xf>
    <xf numFmtId="0" fontId="69" fillId="15" borderId="15" xfId="0" applyFont="1" applyFill="1" applyBorder="1" applyAlignment="1">
      <alignment horizontal="center" vertical="center" wrapText="1"/>
    </xf>
    <xf numFmtId="0" fontId="69" fillId="15" borderId="12" xfId="0" applyFont="1" applyFill="1" applyBorder="1" applyAlignment="1">
      <alignment horizontal="center" vertical="center" wrapText="1"/>
    </xf>
    <xf numFmtId="0" fontId="69" fillId="16" borderId="15" xfId="0" applyFont="1" applyFill="1" applyBorder="1" applyAlignment="1">
      <alignment horizontal="center" vertical="center" wrapText="1"/>
    </xf>
    <xf numFmtId="9" fontId="48" fillId="13" borderId="15" xfId="0" applyNumberFormat="1" applyFont="1" applyFill="1" applyBorder="1" applyAlignment="1">
      <alignment horizontal="center" vertical="center" wrapText="1"/>
    </xf>
    <xf numFmtId="174" fontId="37" fillId="16" borderId="12" xfId="0" applyNumberFormat="1" applyFont="1" applyFill="1" applyBorder="1" applyAlignment="1">
      <alignment horizontal="center" vertical="center" wrapText="1"/>
    </xf>
    <xf numFmtId="4" fontId="36" fillId="13" borderId="15" xfId="0" applyNumberFormat="1" applyFont="1" applyFill="1" applyBorder="1" applyAlignment="1">
      <alignment horizontal="center" vertical="center" wrapText="1"/>
    </xf>
    <xf numFmtId="4" fontId="36" fillId="13" borderId="12" xfId="0" applyNumberFormat="1" applyFont="1" applyFill="1" applyBorder="1" applyAlignment="1">
      <alignment horizontal="center" vertical="center" wrapText="1"/>
    </xf>
    <xf numFmtId="9" fontId="36" fillId="13" borderId="15" xfId="3" applyFont="1" applyFill="1" applyBorder="1" applyAlignment="1">
      <alignment horizontal="center" vertical="center" wrapText="1"/>
    </xf>
    <xf numFmtId="9" fontId="36" fillId="13" borderId="12" xfId="3" applyFont="1" applyFill="1" applyBorder="1" applyAlignment="1">
      <alignment horizontal="center" vertical="center" wrapText="1"/>
    </xf>
    <xf numFmtId="3" fontId="36" fillId="13" borderId="7" xfId="0" applyNumberFormat="1" applyFont="1" applyFill="1" applyBorder="1" applyAlignment="1">
      <alignment vertical="center" wrapText="1"/>
    </xf>
    <xf numFmtId="0" fontId="56" fillId="28" borderId="24" xfId="6" applyFont="1" applyFill="1" applyBorder="1" applyAlignment="1">
      <alignment horizontal="justify" vertical="top" wrapText="1"/>
    </xf>
    <xf numFmtId="0" fontId="56" fillId="28" borderId="18" xfId="6" applyFont="1" applyFill="1" applyBorder="1" applyAlignment="1">
      <alignment horizontal="justify" vertical="top" wrapText="1"/>
    </xf>
    <xf numFmtId="0" fontId="56" fillId="28" borderId="24" xfId="0" applyFont="1" applyFill="1" applyBorder="1" applyAlignment="1">
      <alignment horizontal="justify" vertical="top" wrapText="1"/>
    </xf>
    <xf numFmtId="0" fontId="56" fillId="28" borderId="18" xfId="0" applyFont="1" applyFill="1" applyBorder="1" applyAlignment="1">
      <alignment horizontal="justify" vertical="top" wrapText="1"/>
    </xf>
    <xf numFmtId="0" fontId="37" fillId="28" borderId="27" xfId="6" applyFont="1" applyFill="1" applyBorder="1" applyAlignment="1">
      <alignment horizontal="justify" vertical="top"/>
    </xf>
    <xf numFmtId="0" fontId="56" fillId="28" borderId="27" xfId="6" applyFont="1" applyFill="1" applyBorder="1" applyAlignment="1">
      <alignment horizontal="justify" vertical="top" wrapText="1"/>
    </xf>
    <xf numFmtId="0" fontId="70" fillId="0" borderId="12" xfId="0" applyFont="1" applyBorder="1" applyProtection="1"/>
    <xf numFmtId="0" fontId="47" fillId="0" borderId="12" xfId="0" applyFont="1" applyBorder="1" applyAlignment="1" applyProtection="1">
      <alignment horizontal="center" vertical="top"/>
    </xf>
    <xf numFmtId="0" fontId="47" fillId="0" borderId="7" xfId="0" applyFont="1" applyBorder="1" applyAlignment="1" applyProtection="1">
      <alignment horizontal="center" vertical="top"/>
    </xf>
    <xf numFmtId="1" fontId="71" fillId="19" borderId="46" xfId="0" applyNumberFormat="1" applyFont="1" applyFill="1" applyBorder="1" applyAlignment="1" applyProtection="1">
      <alignment horizontal="left"/>
    </xf>
    <xf numFmtId="0" fontId="47" fillId="19" borderId="26" xfId="0" applyFont="1" applyFill="1" applyBorder="1" applyProtection="1"/>
    <xf numFmtId="175" fontId="47" fillId="19" borderId="30" xfId="4" applyNumberFormat="1" applyFont="1" applyFill="1" applyBorder="1" applyProtection="1"/>
    <xf numFmtId="1" fontId="71" fillId="20" borderId="34" xfId="0" applyNumberFormat="1" applyFont="1" applyFill="1" applyBorder="1" applyAlignment="1" applyProtection="1">
      <alignment horizontal="left"/>
    </xf>
    <xf numFmtId="0" fontId="47" fillId="20" borderId="20" xfId="0" applyFont="1" applyFill="1" applyBorder="1" applyProtection="1"/>
    <xf numFmtId="175" fontId="47" fillId="20" borderId="16" xfId="4" applyNumberFormat="1" applyFont="1" applyFill="1" applyBorder="1" applyProtection="1"/>
    <xf numFmtId="1" fontId="71" fillId="13" borderId="34" xfId="0" applyNumberFormat="1" applyFont="1" applyFill="1" applyBorder="1" applyAlignment="1" applyProtection="1">
      <alignment horizontal="left"/>
    </xf>
    <xf numFmtId="0" fontId="47" fillId="13" borderId="20" xfId="0" applyFont="1" applyFill="1" applyBorder="1" applyProtection="1"/>
    <xf numFmtId="175" fontId="47" fillId="13" borderId="16" xfId="4" applyNumberFormat="1" applyFont="1" applyFill="1" applyBorder="1" applyProtection="1"/>
    <xf numFmtId="0" fontId="72" fillId="0" borderId="0" xfId="0" applyFont="1" applyAlignment="1">
      <alignment horizontal="left"/>
    </xf>
    <xf numFmtId="0" fontId="45" fillId="0" borderId="20" xfId="0" applyFont="1" applyFill="1" applyBorder="1" applyProtection="1"/>
    <xf numFmtId="175" fontId="45" fillId="0" borderId="16" xfId="4" applyNumberFormat="1" applyFont="1" applyFill="1" applyBorder="1" applyProtection="1">
      <protection locked="0"/>
    </xf>
    <xf numFmtId="1" fontId="71" fillId="0" borderId="34" xfId="5" applyNumberFormat="1" applyFont="1" applyBorder="1" applyAlignment="1" applyProtection="1">
      <alignment horizontal="left"/>
    </xf>
    <xf numFmtId="1" fontId="71" fillId="13" borderId="34" xfId="5" applyNumberFormat="1" applyFont="1" applyFill="1" applyBorder="1" applyAlignment="1" applyProtection="1">
      <alignment horizontal="left"/>
    </xf>
    <xf numFmtId="0" fontId="44" fillId="0" borderId="20" xfId="0" applyFont="1" applyFill="1" applyBorder="1" applyProtection="1"/>
    <xf numFmtId="175" fontId="44" fillId="0" borderId="16" xfId="4" applyNumberFormat="1" applyFont="1" applyFill="1" applyBorder="1" applyProtection="1"/>
    <xf numFmtId="0" fontId="45" fillId="0" borderId="20" xfId="0" applyFont="1" applyFill="1" applyBorder="1" applyAlignment="1" applyProtection="1">
      <alignment wrapText="1"/>
    </xf>
    <xf numFmtId="175" fontId="44" fillId="0" borderId="16" xfId="4" applyNumberFormat="1" applyFont="1" applyFill="1" applyBorder="1" applyProtection="1">
      <protection locked="0"/>
    </xf>
    <xf numFmtId="1" fontId="71" fillId="0" borderId="34" xfId="5" applyNumberFormat="1" applyFont="1" applyBorder="1" applyAlignment="1" applyProtection="1">
      <alignment horizontal="left" vertical="center"/>
    </xf>
    <xf numFmtId="0" fontId="45" fillId="0" borderId="20" xfId="0" applyFont="1" applyFill="1" applyBorder="1" applyAlignment="1" applyProtection="1">
      <alignment horizontal="justify" vertical="top" wrapText="1"/>
    </xf>
    <xf numFmtId="175" fontId="45" fillId="0" borderId="16" xfId="4" applyNumberFormat="1" applyFont="1" applyFill="1" applyBorder="1" applyAlignment="1" applyProtection="1">
      <alignment horizontal="center" vertical="center"/>
      <protection locked="0"/>
    </xf>
    <xf numFmtId="175" fontId="44" fillId="0" borderId="16" xfId="4" applyNumberFormat="1" applyFont="1" applyFill="1" applyBorder="1" applyAlignment="1" applyProtection="1">
      <alignment horizontal="right"/>
      <protection locked="0"/>
    </xf>
    <xf numFmtId="1" fontId="71" fillId="29" borderId="34" xfId="5" applyNumberFormat="1" applyFont="1" applyFill="1" applyBorder="1" applyAlignment="1" applyProtection="1">
      <alignment horizontal="left"/>
    </xf>
    <xf numFmtId="0" fontId="47" fillId="29" borderId="20" xfId="0" applyFont="1" applyFill="1" applyBorder="1" applyProtection="1"/>
    <xf numFmtId="175" fontId="47" fillId="29" borderId="16" xfId="4" applyNumberFormat="1" applyFont="1" applyFill="1" applyBorder="1" applyProtection="1"/>
    <xf numFmtId="1" fontId="73" fillId="0" borderId="34" xfId="5" applyNumberFormat="1" applyFont="1" applyBorder="1" applyAlignment="1" applyProtection="1">
      <alignment horizontal="left"/>
    </xf>
    <xf numFmtId="0" fontId="47" fillId="0" borderId="20" xfId="0" applyFont="1" applyBorder="1" applyProtection="1"/>
    <xf numFmtId="175" fontId="47" fillId="0" borderId="16" xfId="4" applyNumberFormat="1" applyFont="1" applyBorder="1" applyProtection="1"/>
    <xf numFmtId="1" fontId="71" fillId="27" borderId="34" xfId="5" applyNumberFormat="1" applyFont="1" applyFill="1" applyBorder="1" applyAlignment="1" applyProtection="1">
      <alignment horizontal="left"/>
    </xf>
    <xf numFmtId="0" fontId="47" fillId="27" borderId="20" xfId="0" applyFont="1" applyFill="1" applyBorder="1" applyProtection="1"/>
    <xf numFmtId="175" fontId="47" fillId="27" borderId="16" xfId="4" applyNumberFormat="1" applyFont="1" applyFill="1" applyBorder="1" applyProtection="1">
      <protection locked="0"/>
    </xf>
    <xf numFmtId="1" fontId="70" fillId="0" borderId="34" xfId="5" applyNumberFormat="1" applyFont="1" applyBorder="1" applyAlignment="1" applyProtection="1">
      <alignment horizontal="left"/>
    </xf>
    <xf numFmtId="43" fontId="45" fillId="0" borderId="16" xfId="4" applyFont="1" applyFill="1" applyBorder="1" applyProtection="1">
      <protection locked="0"/>
    </xf>
    <xf numFmtId="1" fontId="71" fillId="0" borderId="58" xfId="5" applyNumberFormat="1" applyFont="1" applyBorder="1" applyAlignment="1" applyProtection="1">
      <alignment horizontal="left"/>
    </xf>
    <xf numFmtId="0" fontId="45" fillId="0" borderId="23" xfId="0" applyFont="1" applyFill="1" applyBorder="1" applyProtection="1"/>
    <xf numFmtId="43" fontId="45" fillId="0" borderId="37" xfId="4" applyFont="1" applyFill="1" applyBorder="1" applyProtection="1">
      <protection locked="0"/>
    </xf>
    <xf numFmtId="1" fontId="71" fillId="30" borderId="60" xfId="5" applyNumberFormat="1" applyFont="1" applyFill="1" applyBorder="1" applyAlignment="1" applyProtection="1">
      <alignment horizontal="left"/>
    </xf>
    <xf numFmtId="0" fontId="47" fillId="30" borderId="53" xfId="0" applyFont="1" applyFill="1" applyBorder="1" applyProtection="1"/>
    <xf numFmtId="43" fontId="74" fillId="30" borderId="54" xfId="4" applyFont="1" applyFill="1" applyBorder="1" applyProtection="1">
      <protection locked="0"/>
    </xf>
    <xf numFmtId="43" fontId="74" fillId="30" borderId="55" xfId="4" applyFont="1" applyFill="1" applyBorder="1" applyProtection="1">
      <protection locked="0"/>
    </xf>
    <xf numFmtId="1" fontId="71" fillId="21" borderId="46" xfId="5" applyNumberFormat="1" applyFont="1" applyFill="1" applyBorder="1" applyAlignment="1" applyProtection="1">
      <alignment horizontal="left"/>
    </xf>
    <xf numFmtId="0" fontId="45" fillId="0" borderId="26" xfId="0" applyFont="1" applyFill="1" applyBorder="1" applyAlignment="1" applyProtection="1">
      <alignment wrapText="1"/>
    </xf>
    <xf numFmtId="1" fontId="71" fillId="21" borderId="34" xfId="5" applyNumberFormat="1" applyFont="1" applyFill="1" applyBorder="1" applyAlignment="1" applyProtection="1">
      <alignment horizontal="left"/>
    </xf>
    <xf numFmtId="1" fontId="71" fillId="21" borderId="58" xfId="5" applyNumberFormat="1" applyFont="1" applyFill="1" applyBorder="1" applyAlignment="1" applyProtection="1">
      <alignment horizontal="left"/>
    </xf>
    <xf numFmtId="0" fontId="47" fillId="0" borderId="23" xfId="0" applyFont="1" applyBorder="1" applyProtection="1"/>
    <xf numFmtId="43" fontId="47" fillId="0" borderId="37" xfId="4" applyFont="1" applyBorder="1" applyProtection="1">
      <protection locked="0"/>
    </xf>
    <xf numFmtId="1" fontId="71" fillId="19" borderId="14" xfId="5" applyNumberFormat="1" applyFont="1" applyFill="1" applyBorder="1" applyAlignment="1" applyProtection="1">
      <alignment horizontal="left"/>
    </xf>
    <xf numFmtId="1" fontId="47" fillId="19" borderId="60" xfId="0" applyNumberFormat="1" applyFont="1" applyFill="1" applyBorder="1" applyProtection="1"/>
    <xf numFmtId="175" fontId="47" fillId="19" borderId="54" xfId="4" applyNumberFormat="1" applyFont="1" applyFill="1" applyBorder="1" applyProtection="1"/>
    <xf numFmtId="175" fontId="47" fillId="19" borderId="55" xfId="4" applyNumberFormat="1" applyFont="1" applyFill="1" applyBorder="1" applyProtection="1"/>
    <xf numFmtId="1" fontId="71" fillId="21" borderId="34" xfId="0" applyNumberFormat="1" applyFont="1" applyFill="1" applyBorder="1" applyAlignment="1" applyProtection="1">
      <alignment horizontal="left"/>
    </xf>
    <xf numFmtId="1" fontId="75" fillId="0" borderId="26" xfId="0" applyNumberFormat="1" applyFont="1" applyFill="1" applyBorder="1" applyProtection="1"/>
    <xf numFmtId="175" fontId="76" fillId="0" borderId="30" xfId="4" applyNumberFormat="1" applyFont="1" applyFill="1" applyBorder="1" applyProtection="1"/>
    <xf numFmtId="1" fontId="75" fillId="21" borderId="20" xfId="0" applyNumberFormat="1" applyFont="1" applyFill="1" applyBorder="1" applyProtection="1"/>
    <xf numFmtId="175" fontId="76" fillId="21" borderId="16" xfId="4" applyNumberFormat="1" applyFont="1" applyFill="1" applyBorder="1" applyProtection="1">
      <protection locked="0"/>
    </xf>
    <xf numFmtId="1" fontId="71" fillId="21" borderId="16" xfId="0" applyNumberFormat="1" applyFont="1" applyFill="1" applyBorder="1" applyAlignment="1" applyProtection="1">
      <alignment horizontal="left"/>
    </xf>
    <xf numFmtId="1" fontId="75" fillId="21" borderId="16" xfId="0" applyNumberFormat="1" applyFont="1" applyFill="1" applyBorder="1" applyProtection="1"/>
    <xf numFmtId="1" fontId="71" fillId="21" borderId="37" xfId="0" applyNumberFormat="1" applyFont="1" applyFill="1" applyBorder="1" applyAlignment="1" applyProtection="1">
      <alignment horizontal="left"/>
    </xf>
    <xf numFmtId="1" fontId="75" fillId="21" borderId="37" xfId="0" applyNumberFormat="1" applyFont="1" applyFill="1" applyBorder="1" applyProtection="1"/>
    <xf numFmtId="175" fontId="75" fillId="21" borderId="37" xfId="4" applyNumberFormat="1" applyFont="1" applyFill="1" applyBorder="1" applyProtection="1">
      <protection locked="0"/>
    </xf>
    <xf numFmtId="1" fontId="71" fillId="19" borderId="12" xfId="0" applyNumberFormat="1" applyFont="1" applyFill="1" applyBorder="1" applyAlignment="1" applyProtection="1">
      <alignment horizontal="left"/>
    </xf>
    <xf numFmtId="1" fontId="44" fillId="19" borderId="12" xfId="0" applyNumberFormat="1" applyFont="1" applyFill="1" applyBorder="1" applyProtection="1"/>
    <xf numFmtId="175" fontId="47" fillId="19" borderId="12" xfId="4" applyNumberFormat="1" applyFont="1" applyFill="1" applyBorder="1" applyProtection="1"/>
    <xf numFmtId="0" fontId="42" fillId="0" borderId="10" xfId="0" applyFont="1" applyBorder="1" applyProtection="1"/>
    <xf numFmtId="0" fontId="0" fillId="0" borderId="11" xfId="0" applyBorder="1" applyProtection="1"/>
    <xf numFmtId="17" fontId="0" fillId="0" borderId="11" xfId="0" applyNumberFormat="1" applyBorder="1" applyProtection="1"/>
    <xf numFmtId="0" fontId="49" fillId="0" borderId="69" xfId="0" applyFont="1" applyBorder="1" applyAlignment="1" applyProtection="1">
      <alignment horizontal="center" vertical="center" wrapText="1"/>
    </xf>
    <xf numFmtId="0" fontId="49" fillId="0" borderId="70" xfId="0" applyFont="1" applyBorder="1" applyAlignment="1" applyProtection="1">
      <alignment horizontal="center" vertical="center" wrapText="1"/>
    </xf>
    <xf numFmtId="0" fontId="49" fillId="0" borderId="3" xfId="0" applyFont="1" applyBorder="1" applyAlignment="1" applyProtection="1">
      <alignment horizontal="center" vertical="center" wrapText="1"/>
    </xf>
    <xf numFmtId="0" fontId="49" fillId="0" borderId="62" xfId="0" applyFont="1" applyBorder="1" applyAlignment="1" applyProtection="1">
      <alignment horizontal="center" vertical="center" wrapText="1"/>
    </xf>
    <xf numFmtId="0" fontId="44" fillId="0" borderId="14" xfId="0" applyFont="1" applyFill="1" applyBorder="1" applyProtection="1"/>
    <xf numFmtId="43" fontId="44" fillId="0" borderId="54" xfId="4" applyFont="1" applyFill="1" applyBorder="1" applyProtection="1">
      <protection locked="0"/>
    </xf>
    <xf numFmtId="175" fontId="44" fillId="0" borderId="54" xfId="4" applyNumberFormat="1" applyFont="1" applyFill="1" applyBorder="1" applyProtection="1">
      <protection locked="0"/>
    </xf>
    <xf numFmtId="175" fontId="44" fillId="0" borderId="71" xfId="4" applyNumberFormat="1" applyFont="1" applyFill="1" applyBorder="1" applyProtection="1">
      <protection locked="0"/>
    </xf>
    <xf numFmtId="43" fontId="44" fillId="0" borderId="54" xfId="4" applyFont="1" applyFill="1" applyBorder="1" applyProtection="1"/>
    <xf numFmtId="0" fontId="44" fillId="0" borderId="41" xfId="0" applyFont="1" applyFill="1" applyBorder="1" applyProtection="1"/>
    <xf numFmtId="43" fontId="44" fillId="0" borderId="30" xfId="4" applyFont="1" applyFill="1" applyBorder="1" applyProtection="1"/>
    <xf numFmtId="43" fontId="44" fillId="0" borderId="24" xfId="4" applyFont="1" applyFill="1" applyBorder="1" applyProtection="1"/>
    <xf numFmtId="43" fontId="44" fillId="0" borderId="31" xfId="4" applyFont="1" applyFill="1" applyBorder="1" applyProtection="1"/>
    <xf numFmtId="43" fontId="44" fillId="0" borderId="26" xfId="4" applyFont="1" applyFill="1" applyBorder="1" applyProtection="1"/>
    <xf numFmtId="43" fontId="44" fillId="0" borderId="56" xfId="4" applyFont="1" applyFill="1" applyBorder="1" applyProtection="1"/>
    <xf numFmtId="0" fontId="45" fillId="0" borderId="43" xfId="0" applyFont="1" applyFill="1" applyBorder="1" applyProtection="1"/>
    <xf numFmtId="43" fontId="37" fillId="0" borderId="16" xfId="4" applyFont="1" applyFill="1" applyBorder="1" applyProtection="1">
      <protection locked="0"/>
    </xf>
    <xf numFmtId="43" fontId="37" fillId="0" borderId="18" xfId="4" applyFont="1" applyFill="1" applyBorder="1" applyProtection="1">
      <protection locked="0"/>
    </xf>
    <xf numFmtId="43" fontId="37" fillId="0" borderId="43" xfId="4" applyFont="1" applyFill="1" applyBorder="1" applyProtection="1">
      <protection locked="0"/>
    </xf>
    <xf numFmtId="43" fontId="37" fillId="0" borderId="16" xfId="4" applyFont="1" applyFill="1" applyBorder="1" applyProtection="1"/>
    <xf numFmtId="43" fontId="45" fillId="0" borderId="35" xfId="4" applyFont="1" applyFill="1" applyBorder="1" applyProtection="1"/>
    <xf numFmtId="0" fontId="45" fillId="0" borderId="47" xfId="0" applyFont="1" applyFill="1" applyBorder="1" applyProtection="1"/>
    <xf numFmtId="43" fontId="37" fillId="0" borderId="21" xfId="4" applyFont="1" applyFill="1" applyBorder="1" applyProtection="1">
      <protection locked="0"/>
    </xf>
    <xf numFmtId="43" fontId="37" fillId="0" borderId="37" xfId="4" applyFont="1" applyFill="1" applyBorder="1" applyProtection="1"/>
    <xf numFmtId="0" fontId="44" fillId="0" borderId="16" xfId="0" applyFont="1" applyFill="1" applyBorder="1" applyProtection="1"/>
    <xf numFmtId="43" fontId="44" fillId="0" borderId="18" xfId="4" applyFont="1" applyFill="1" applyBorder="1" applyProtection="1"/>
    <xf numFmtId="43" fontId="44" fillId="0" borderId="41" xfId="4" applyFont="1" applyFill="1" applyBorder="1" applyProtection="1"/>
    <xf numFmtId="43" fontId="44" fillId="0" borderId="16" xfId="4" applyFont="1" applyFill="1" applyBorder="1" applyProtection="1"/>
    <xf numFmtId="0" fontId="44" fillId="0" borderId="43" xfId="0" applyFont="1" applyFill="1" applyBorder="1" applyProtection="1"/>
    <xf numFmtId="43" fontId="44" fillId="0" borderId="43" xfId="4" applyFont="1" applyFill="1" applyBorder="1" applyProtection="1"/>
    <xf numFmtId="43" fontId="44" fillId="0" borderId="35" xfId="4" applyFont="1" applyFill="1" applyBorder="1" applyProtection="1"/>
    <xf numFmtId="43" fontId="37" fillId="0" borderId="0" xfId="4" applyFont="1" applyFill="1"/>
    <xf numFmtId="43" fontId="37" fillId="0" borderId="18" xfId="4" applyFont="1" applyFill="1" applyBorder="1"/>
    <xf numFmtId="43" fontId="37" fillId="0" borderId="35" xfId="4" applyFont="1" applyFill="1" applyBorder="1" applyProtection="1"/>
    <xf numFmtId="43" fontId="45" fillId="0" borderId="18" xfId="4" applyFont="1" applyFill="1" applyBorder="1" applyProtection="1">
      <protection locked="0"/>
    </xf>
    <xf numFmtId="43" fontId="45" fillId="0" borderId="43" xfId="4" applyFont="1" applyFill="1" applyBorder="1" applyProtection="1">
      <protection locked="0"/>
    </xf>
    <xf numFmtId="43" fontId="45" fillId="0" borderId="16" xfId="4" applyFont="1" applyFill="1" applyBorder="1" applyProtection="1"/>
    <xf numFmtId="43" fontId="37" fillId="0" borderId="34" xfId="4" applyFont="1" applyFill="1" applyBorder="1" applyProtection="1">
      <protection locked="0"/>
    </xf>
    <xf numFmtId="0" fontId="44" fillId="0" borderId="49" xfId="0" applyFont="1" applyFill="1" applyBorder="1" applyProtection="1"/>
    <xf numFmtId="43" fontId="37" fillId="0" borderId="36" xfId="4" applyFont="1" applyFill="1" applyBorder="1" applyProtection="1">
      <protection locked="0"/>
    </xf>
    <xf numFmtId="43" fontId="45" fillId="0" borderId="36" xfId="4" applyFont="1" applyFill="1" applyBorder="1" applyProtection="1">
      <protection locked="0"/>
    </xf>
    <xf numFmtId="43" fontId="45" fillId="0" borderId="38" xfId="4" applyFont="1" applyFill="1" applyBorder="1" applyProtection="1">
      <protection locked="0"/>
    </xf>
    <xf numFmtId="43" fontId="45" fillId="0" borderId="57" xfId="4" applyFont="1" applyFill="1" applyBorder="1" applyProtection="1">
      <protection locked="0"/>
    </xf>
    <xf numFmtId="43" fontId="37" fillId="0" borderId="36" xfId="4" applyFont="1" applyFill="1" applyBorder="1" applyProtection="1"/>
    <xf numFmtId="0" fontId="45" fillId="0" borderId="0" xfId="0" applyFont="1" applyBorder="1" applyProtection="1"/>
    <xf numFmtId="43" fontId="45" fillId="0" borderId="0" xfId="4" applyFont="1" applyBorder="1" applyProtection="1"/>
    <xf numFmtId="43" fontId="45" fillId="0" borderId="0" xfId="4" applyFont="1" applyFill="1" applyBorder="1" applyProtection="1"/>
    <xf numFmtId="43" fontId="44" fillId="0" borderId="55" xfId="4" applyFont="1" applyFill="1" applyBorder="1" applyAlignment="1" applyProtection="1"/>
    <xf numFmtId="167" fontId="37" fillId="0" borderId="16" xfId="4" applyNumberFormat="1" applyFont="1" applyFill="1" applyBorder="1" applyAlignment="1" applyProtection="1">
      <alignment horizontal="right" vertical="center" wrapText="1"/>
      <protection locked="0"/>
    </xf>
    <xf numFmtId="167" fontId="37" fillId="0" borderId="61" xfId="4" applyNumberFormat="1" applyFont="1" applyFill="1" applyBorder="1" applyAlignment="1" applyProtection="1">
      <alignment horizontal="right" vertical="center" wrapText="1"/>
      <protection locked="0"/>
    </xf>
    <xf numFmtId="167" fontId="37" fillId="0" borderId="27" xfId="4" applyNumberFormat="1" applyFont="1" applyFill="1" applyBorder="1" applyAlignment="1" applyProtection="1">
      <alignment horizontal="right" vertical="center" wrapText="1"/>
      <protection locked="0"/>
    </xf>
    <xf numFmtId="43" fontId="37" fillId="0" borderId="9" xfId="4" applyFont="1" applyFill="1" applyBorder="1" applyAlignment="1" applyProtection="1">
      <alignment horizontal="right" vertical="center" wrapText="1"/>
      <protection locked="0"/>
    </xf>
    <xf numFmtId="43" fontId="37" fillId="0" borderId="16" xfId="4" applyFont="1" applyFill="1" applyBorder="1" applyAlignment="1" applyProtection="1">
      <alignment horizontal="right" vertical="center" wrapText="1"/>
      <protection locked="0"/>
    </xf>
    <xf numFmtId="43" fontId="37" fillId="0" borderId="61" xfId="4" applyFont="1" applyFill="1" applyBorder="1" applyAlignment="1" applyProtection="1">
      <alignment horizontal="right" vertical="center" wrapText="1"/>
      <protection locked="0"/>
    </xf>
    <xf numFmtId="43" fontId="37" fillId="0" borderId="16" xfId="4" applyFont="1" applyFill="1" applyBorder="1" applyAlignment="1" applyProtection="1">
      <alignment horizontal="right" vertical="center"/>
    </xf>
    <xf numFmtId="0" fontId="37" fillId="0" borderId="43" xfId="0" applyFont="1" applyFill="1" applyBorder="1" applyAlignment="1" applyProtection="1">
      <alignment wrapText="1"/>
      <protection locked="0"/>
    </xf>
    <xf numFmtId="43" fontId="37" fillId="0" borderId="16" xfId="4" applyFont="1" applyFill="1" applyBorder="1" applyAlignment="1" applyProtection="1">
      <alignment wrapText="1"/>
      <protection locked="0"/>
    </xf>
    <xf numFmtId="4" fontId="37" fillId="0" borderId="16" xfId="0" applyNumberFormat="1" applyFont="1" applyFill="1" applyBorder="1"/>
    <xf numFmtId="43" fontId="37" fillId="0" borderId="18" xfId="4" applyFont="1" applyFill="1" applyBorder="1" applyAlignment="1" applyProtection="1">
      <alignment wrapText="1"/>
      <protection locked="0"/>
    </xf>
    <xf numFmtId="43" fontId="37" fillId="0" borderId="43" xfId="4" applyFont="1" applyFill="1" applyBorder="1" applyAlignment="1" applyProtection="1">
      <alignment wrapText="1"/>
      <protection locked="0"/>
    </xf>
    <xf numFmtId="43" fontId="37" fillId="0" borderId="16" xfId="4" applyFont="1" applyFill="1" applyBorder="1" applyAlignment="1" applyProtection="1"/>
    <xf numFmtId="0" fontId="37" fillId="0" borderId="43" xfId="0" applyFont="1" applyFill="1" applyBorder="1" applyAlignment="1" applyProtection="1">
      <protection locked="0"/>
    </xf>
    <xf numFmtId="43" fontId="37" fillId="0" borderId="18" xfId="4" applyFont="1" applyFill="1" applyBorder="1" applyAlignment="1" applyProtection="1">
      <alignment horizontal="center" vertical="center" wrapText="1"/>
      <protection locked="0"/>
    </xf>
    <xf numFmtId="0" fontId="37" fillId="0" borderId="16" xfId="0" applyFont="1" applyFill="1" applyBorder="1" applyAlignment="1" applyProtection="1">
      <alignment wrapText="1"/>
      <protection locked="0"/>
    </xf>
    <xf numFmtId="43" fontId="37" fillId="0" borderId="16" xfId="4" applyFont="1" applyFill="1" applyBorder="1" applyAlignment="1">
      <alignment horizontal="right" vertical="center"/>
    </xf>
    <xf numFmtId="43" fontId="37" fillId="0" borderId="16" xfId="4" applyFont="1" applyFill="1" applyBorder="1" applyAlignment="1" applyProtection="1">
      <alignment vertical="center" wrapText="1"/>
      <protection locked="0"/>
    </xf>
    <xf numFmtId="43" fontId="37" fillId="0" borderId="18" xfId="4" applyFont="1" applyFill="1" applyBorder="1" applyAlignment="1" applyProtection="1">
      <alignment vertical="center" wrapText="1"/>
      <protection locked="0"/>
    </xf>
    <xf numFmtId="43" fontId="37" fillId="0" borderId="43" xfId="4" applyFont="1" applyFill="1" applyBorder="1" applyAlignment="1" applyProtection="1">
      <alignment vertical="center" wrapText="1"/>
      <protection locked="0"/>
    </xf>
    <xf numFmtId="43" fontId="37" fillId="0" borderId="16" xfId="4" applyFont="1" applyFill="1" applyBorder="1" applyAlignment="1" applyProtection="1">
      <alignment vertical="center"/>
    </xf>
    <xf numFmtId="0" fontId="37" fillId="0" borderId="16" xfId="0" applyFont="1" applyFill="1" applyBorder="1" applyAlignment="1" applyProtection="1">
      <alignment vertical="center" wrapText="1"/>
      <protection locked="0"/>
    </xf>
    <xf numFmtId="43" fontId="77" fillId="0" borderId="16" xfId="4" applyFont="1" applyFill="1" applyBorder="1" applyAlignment="1">
      <alignment horizontal="right" vertical="center"/>
    </xf>
    <xf numFmtId="43" fontId="37" fillId="0" borderId="37" xfId="4" applyFont="1" applyFill="1" applyBorder="1" applyAlignment="1" applyProtection="1">
      <alignment wrapText="1"/>
      <protection locked="0"/>
    </xf>
    <xf numFmtId="0" fontId="37" fillId="0" borderId="37" xfId="0" applyFont="1" applyFill="1" applyBorder="1" applyAlignment="1" applyProtection="1">
      <alignment wrapText="1"/>
      <protection locked="0"/>
    </xf>
    <xf numFmtId="43" fontId="37" fillId="0" borderId="61" xfId="4" applyFont="1" applyFill="1" applyBorder="1" applyAlignment="1" applyProtection="1">
      <alignment wrapText="1"/>
      <protection locked="0"/>
    </xf>
    <xf numFmtId="43" fontId="37" fillId="0" borderId="27" xfId="4" applyFont="1" applyFill="1" applyBorder="1" applyAlignment="1" applyProtection="1">
      <alignment wrapText="1"/>
      <protection locked="0"/>
    </xf>
    <xf numFmtId="43" fontId="37" fillId="0" borderId="9" xfId="4" applyFont="1" applyFill="1" applyBorder="1" applyAlignment="1" applyProtection="1">
      <alignment wrapText="1"/>
      <protection locked="0"/>
    </xf>
    <xf numFmtId="0" fontId="37" fillId="0" borderId="16" xfId="0" applyFont="1" applyFill="1" applyBorder="1" applyAlignment="1" applyProtection="1">
      <alignment horizontal="justify" wrapText="1"/>
      <protection locked="0"/>
    </xf>
    <xf numFmtId="43" fontId="37" fillId="0" borderId="41" xfId="4" applyFont="1" applyFill="1" applyBorder="1" applyAlignment="1" applyProtection="1">
      <alignment wrapText="1"/>
      <protection locked="0"/>
    </xf>
    <xf numFmtId="43" fontId="37" fillId="0" borderId="30" xfId="4" applyFont="1" applyFill="1" applyBorder="1" applyAlignment="1" applyProtection="1">
      <alignment wrapText="1"/>
      <protection locked="0"/>
    </xf>
    <xf numFmtId="43" fontId="37" fillId="0" borderId="30" xfId="4" applyFont="1" applyFill="1" applyBorder="1" applyAlignment="1" applyProtection="1"/>
    <xf numFmtId="43" fontId="37" fillId="0" borderId="56" xfId="4" applyFont="1" applyFill="1" applyBorder="1" applyAlignment="1" applyProtection="1"/>
    <xf numFmtId="43" fontId="37" fillId="0" borderId="55" xfId="4" applyFont="1" applyFill="1" applyBorder="1" applyAlignment="1" applyProtection="1"/>
    <xf numFmtId="0" fontId="37" fillId="0" borderId="30" xfId="0" applyFont="1" applyFill="1" applyBorder="1" applyAlignment="1" applyProtection="1">
      <alignment horizontal="justify" wrapText="1"/>
      <protection locked="0"/>
    </xf>
    <xf numFmtId="43" fontId="37" fillId="0" borderId="24" xfId="4" applyFont="1" applyFill="1" applyBorder="1" applyAlignment="1" applyProtection="1">
      <alignment horizontal="center" vertical="center" wrapText="1"/>
      <protection locked="0"/>
    </xf>
    <xf numFmtId="43" fontId="76" fillId="0" borderId="16" xfId="4" applyFont="1" applyFill="1" applyBorder="1" applyAlignment="1" applyProtection="1"/>
    <xf numFmtId="43" fontId="76" fillId="0" borderId="18" xfId="4" applyFont="1" applyFill="1" applyBorder="1" applyAlignment="1" applyProtection="1"/>
    <xf numFmtId="43" fontId="76" fillId="0" borderId="43" xfId="4" applyFont="1" applyFill="1" applyBorder="1" applyProtection="1"/>
    <xf numFmtId="43" fontId="76" fillId="0" borderId="16" xfId="4" applyFont="1" applyFill="1" applyBorder="1" applyProtection="1"/>
    <xf numFmtId="0" fontId="44" fillId="0" borderId="37" xfId="0" applyFont="1" applyFill="1" applyBorder="1" applyProtection="1"/>
    <xf numFmtId="43" fontId="76" fillId="0" borderId="37" xfId="4" applyFont="1" applyFill="1" applyBorder="1" applyAlignment="1" applyProtection="1"/>
    <xf numFmtId="43" fontId="76" fillId="0" borderId="21" xfId="4" applyFont="1" applyFill="1" applyBorder="1" applyAlignment="1" applyProtection="1"/>
    <xf numFmtId="43" fontId="76" fillId="0" borderId="58" xfId="4" applyFont="1" applyFill="1" applyBorder="1" applyProtection="1"/>
    <xf numFmtId="43" fontId="76" fillId="0" borderId="37" xfId="4" applyFont="1" applyFill="1" applyBorder="1" applyProtection="1"/>
    <xf numFmtId="43" fontId="37" fillId="0" borderId="59" xfId="4" applyFont="1" applyFill="1" applyBorder="1" applyAlignment="1" applyProtection="1"/>
    <xf numFmtId="0" fontId="43" fillId="0" borderId="14" xfId="0" applyFont="1" applyBorder="1" applyProtection="1"/>
    <xf numFmtId="43" fontId="43" fillId="0" borderId="15" xfId="4" applyFont="1" applyBorder="1" applyProtection="1"/>
    <xf numFmtId="43" fontId="43" fillId="0" borderId="12" xfId="4" applyFont="1" applyBorder="1" applyProtection="1"/>
    <xf numFmtId="43" fontId="43" fillId="0" borderId="7" xfId="4" applyFont="1" applyBorder="1" applyProtection="1"/>
    <xf numFmtId="43" fontId="45" fillId="0" borderId="15" xfId="4" applyFont="1" applyFill="1" applyBorder="1" applyAlignment="1" applyProtection="1"/>
    <xf numFmtId="43" fontId="32" fillId="0" borderId="0" xfId="4" applyFont="1"/>
    <xf numFmtId="43" fontId="32" fillId="0" borderId="0" xfId="5" applyNumberFormat="1"/>
    <xf numFmtId="175" fontId="76" fillId="21" borderId="37" xfId="4" applyNumberFormat="1" applyFont="1" applyFill="1" applyBorder="1" applyProtection="1">
      <protection locked="0"/>
    </xf>
    <xf numFmtId="9" fontId="32" fillId="0" borderId="0" xfId="3" applyFont="1"/>
    <xf numFmtId="43" fontId="32" fillId="0" borderId="0" xfId="4" applyFont="1" applyAlignment="1">
      <alignment vertical="center"/>
    </xf>
    <xf numFmtId="43" fontId="37" fillId="0" borderId="72" xfId="4" applyFont="1" applyFill="1" applyBorder="1" applyProtection="1">
      <protection locked="0"/>
    </xf>
    <xf numFmtId="0" fontId="37" fillId="0" borderId="43" xfId="0" applyFont="1" applyFill="1" applyBorder="1" applyAlignment="1" applyProtection="1">
      <alignment horizontal="center" vertical="center" wrapText="1"/>
      <protection locked="0"/>
    </xf>
    <xf numFmtId="4" fontId="51" fillId="0" borderId="3" xfId="0" applyNumberFormat="1" applyFont="1" applyFill="1" applyBorder="1" applyAlignment="1">
      <alignment horizontal="right" vertical="center" wrapText="1"/>
    </xf>
    <xf numFmtId="4" fontId="51" fillId="0" borderId="12" xfId="0" applyNumberFormat="1" applyFont="1" applyFill="1" applyBorder="1" applyAlignment="1">
      <alignment horizontal="right" vertical="center" wrapText="1"/>
    </xf>
    <xf numFmtId="9" fontId="51" fillId="0" borderId="12" xfId="3" applyFont="1" applyFill="1" applyBorder="1" applyAlignment="1">
      <alignment horizontal="center" vertical="center" wrapText="1"/>
    </xf>
    <xf numFmtId="3" fontId="51" fillId="0" borderId="4" xfId="0" applyNumberFormat="1" applyFont="1" applyFill="1" applyBorder="1" applyAlignment="1">
      <alignment vertical="center" wrapText="1"/>
    </xf>
    <xf numFmtId="167" fontId="78" fillId="0" borderId="12" xfId="4" applyNumberFormat="1" applyFont="1" applyFill="1" applyBorder="1" applyAlignment="1" applyProtection="1">
      <alignment horizontal="right" vertical="center" wrapText="1"/>
      <protection locked="0"/>
    </xf>
    <xf numFmtId="167" fontId="78" fillId="0" borderId="11" xfId="4" applyNumberFormat="1" applyFont="1" applyFill="1" applyBorder="1" applyAlignment="1" applyProtection="1">
      <alignment horizontal="right" vertical="center" wrapText="1"/>
      <protection locked="0"/>
    </xf>
    <xf numFmtId="4" fontId="78" fillId="0" borderId="11" xfId="0" applyNumberFormat="1" applyFont="1" applyFill="1" applyBorder="1" applyAlignment="1">
      <alignment horizontal="right" vertical="center" wrapText="1"/>
    </xf>
    <xf numFmtId="4" fontId="78" fillId="0" borderId="12" xfId="0" applyNumberFormat="1" applyFont="1" applyFill="1" applyBorder="1" applyAlignment="1">
      <alignment horizontal="right" vertical="center" wrapText="1"/>
    </xf>
    <xf numFmtId="9" fontId="78" fillId="0" borderId="11" xfId="3" applyFont="1" applyFill="1" applyBorder="1" applyAlignment="1">
      <alignment horizontal="center" vertical="center" wrapText="1"/>
    </xf>
    <xf numFmtId="3" fontId="51" fillId="0" borderId="12" xfId="0" applyNumberFormat="1" applyFont="1" applyFill="1" applyBorder="1" applyAlignment="1">
      <alignment vertical="center" wrapText="1"/>
    </xf>
    <xf numFmtId="9" fontId="78" fillId="0" borderId="12" xfId="3" applyNumberFormat="1" applyFont="1" applyFill="1" applyBorder="1" applyAlignment="1">
      <alignment horizontal="center" vertical="center" wrapText="1"/>
    </xf>
    <xf numFmtId="9" fontId="51" fillId="0" borderId="3" xfId="3" applyNumberFormat="1" applyFont="1" applyFill="1" applyBorder="1" applyAlignment="1">
      <alignment horizontal="center" vertical="center" wrapText="1"/>
    </xf>
    <xf numFmtId="9" fontId="32" fillId="0" borderId="0" xfId="3" applyFont="1" applyAlignment="1">
      <alignment vertical="center"/>
    </xf>
    <xf numFmtId="0" fontId="32" fillId="0" borderId="16" xfId="5" applyBorder="1"/>
    <xf numFmtId="176" fontId="32" fillId="0" borderId="16" xfId="5" applyNumberFormat="1" applyBorder="1"/>
    <xf numFmtId="9" fontId="32" fillId="0" borderId="16" xfId="5" applyNumberFormat="1" applyBorder="1"/>
    <xf numFmtId="1" fontId="32" fillId="0" borderId="16" xfId="5" applyNumberFormat="1" applyBorder="1"/>
    <xf numFmtId="176" fontId="32" fillId="0" borderId="16" xfId="4" applyNumberFormat="1" applyFont="1" applyBorder="1"/>
    <xf numFmtId="9" fontId="32" fillId="0" borderId="16" xfId="3" applyFont="1" applyBorder="1"/>
    <xf numFmtId="0" fontId="32" fillId="0" borderId="16" xfId="5" applyBorder="1" applyAlignment="1">
      <alignment vertical="center"/>
    </xf>
    <xf numFmtId="165" fontId="32" fillId="0" borderId="16" xfId="5" applyNumberFormat="1" applyBorder="1" applyAlignment="1">
      <alignment vertical="center"/>
    </xf>
    <xf numFmtId="0" fontId="4" fillId="3" borderId="7" xfId="0" applyFont="1" applyFill="1" applyBorder="1" applyAlignment="1" applyProtection="1">
      <alignment horizontal="center" vertical="center" wrapText="1"/>
      <protection locked="0"/>
    </xf>
    <xf numFmtId="0" fontId="4" fillId="3" borderId="7" xfId="0" applyFont="1" applyFill="1" applyBorder="1" applyAlignment="1" applyProtection="1">
      <alignment vertical="top"/>
      <protection locked="0"/>
    </xf>
    <xf numFmtId="0" fontId="17" fillId="0" borderId="35" xfId="2" applyBorder="1" applyAlignment="1">
      <alignment vertical="center"/>
    </xf>
    <xf numFmtId="0" fontId="17" fillId="3" borderId="8" xfId="2" applyFill="1" applyBorder="1" applyAlignment="1" applyProtection="1">
      <alignment vertical="top"/>
      <protection locked="0"/>
    </xf>
    <xf numFmtId="0" fontId="0" fillId="3" borderId="30" xfId="0" applyFill="1" applyBorder="1" applyAlignment="1" applyProtection="1">
      <alignment horizontal="center" vertical="center"/>
      <protection locked="0"/>
    </xf>
    <xf numFmtId="0" fontId="0" fillId="3" borderId="46" xfId="0" applyFill="1" applyBorder="1" applyAlignment="1" applyProtection="1">
      <alignment horizontal="center" vertical="center"/>
      <protection locked="0"/>
    </xf>
    <xf numFmtId="0" fontId="4" fillId="3" borderId="12" xfId="0" applyFont="1" applyFill="1" applyBorder="1" applyAlignment="1" applyProtection="1">
      <alignment horizontal="left" vertical="center"/>
      <protection locked="0"/>
    </xf>
    <xf numFmtId="0" fontId="0" fillId="3" borderId="12" xfId="0" applyFill="1" applyBorder="1"/>
    <xf numFmtId="0" fontId="0" fillId="3" borderId="12" xfId="0" applyFill="1" applyBorder="1" applyAlignment="1" applyProtection="1">
      <alignment horizontal="center" vertical="center"/>
      <protection locked="0"/>
    </xf>
    <xf numFmtId="0" fontId="0" fillId="3" borderId="12" xfId="0" applyFill="1" applyBorder="1" applyAlignment="1">
      <alignment horizontal="center" vertical="center"/>
    </xf>
    <xf numFmtId="0" fontId="4" fillId="3" borderId="8" xfId="0" applyFont="1" applyFill="1" applyBorder="1" applyAlignment="1" applyProtection="1">
      <alignment horizontal="center" vertical="center"/>
      <protection locked="0"/>
    </xf>
    <xf numFmtId="0" fontId="4" fillId="3" borderId="7" xfId="0" applyFont="1" applyFill="1" applyBorder="1" applyAlignment="1" applyProtection="1">
      <alignment horizontal="center" vertical="center"/>
      <protection locked="0"/>
    </xf>
    <xf numFmtId="0" fontId="4" fillId="0" borderId="5" xfId="0" applyFont="1" applyBorder="1" applyAlignment="1">
      <alignment vertical="top" wrapText="1"/>
    </xf>
    <xf numFmtId="0" fontId="4" fillId="0" borderId="5" xfId="0" applyFont="1" applyBorder="1" applyAlignment="1">
      <alignment vertical="top" wrapText="1"/>
    </xf>
    <xf numFmtId="9" fontId="40" fillId="22" borderId="30" xfId="3" applyFont="1" applyFill="1" applyBorder="1" applyAlignment="1">
      <alignment horizontal="center" vertical="center" wrapText="1"/>
    </xf>
    <xf numFmtId="9" fontId="40" fillId="22" borderId="16" xfId="3" applyFont="1" applyFill="1" applyBorder="1" applyAlignment="1">
      <alignment horizontal="center" vertical="center" wrapText="1"/>
    </xf>
    <xf numFmtId="0" fontId="17" fillId="3" borderId="8" xfId="2" applyFill="1" applyBorder="1" applyAlignment="1" applyProtection="1">
      <alignment horizontal="left" vertical="top"/>
      <protection locked="0"/>
    </xf>
    <xf numFmtId="9" fontId="4" fillId="3" borderId="8" xfId="0" applyNumberFormat="1" applyFont="1" applyFill="1" applyBorder="1" applyAlignment="1" applyProtection="1">
      <alignment horizontal="center" vertical="center"/>
      <protection locked="0"/>
    </xf>
    <xf numFmtId="9" fontId="4" fillId="3" borderId="1" xfId="0" applyNumberFormat="1" applyFont="1" applyFill="1" applyBorder="1" applyAlignment="1" applyProtection="1">
      <alignment vertical="center"/>
      <protection locked="0"/>
    </xf>
    <xf numFmtId="9" fontId="4" fillId="3" borderId="13" xfId="0" applyNumberFormat="1" applyFont="1" applyFill="1" applyBorder="1" applyAlignment="1" applyProtection="1">
      <alignment vertical="center"/>
      <protection locked="0"/>
    </xf>
    <xf numFmtId="9" fontId="4" fillId="3" borderId="16" xfId="0" applyNumberFormat="1" applyFont="1" applyFill="1" applyBorder="1" applyAlignment="1" applyProtection="1">
      <alignment vertical="center"/>
      <protection locked="0"/>
    </xf>
    <xf numFmtId="9" fontId="4" fillId="3" borderId="11" xfId="0" applyNumberFormat="1" applyFont="1" applyFill="1" applyBorder="1" applyAlignment="1" applyProtection="1">
      <alignment vertical="top"/>
      <protection locked="0"/>
    </xf>
    <xf numFmtId="9" fontId="4" fillId="4" borderId="7" xfId="3" applyFont="1" applyFill="1" applyBorder="1" applyAlignment="1">
      <alignment vertical="top" wrapText="1"/>
    </xf>
    <xf numFmtId="0" fontId="4" fillId="3" borderId="8" xfId="0" applyFont="1" applyFill="1" applyBorder="1" applyAlignment="1" applyProtection="1">
      <alignment horizontal="justify" vertical="top" wrapText="1"/>
      <protection locked="0"/>
    </xf>
    <xf numFmtId="0" fontId="4" fillId="3" borderId="8" xfId="0" applyFont="1" applyFill="1" applyBorder="1" applyAlignment="1" applyProtection="1">
      <alignment horizontal="justify" vertical="top"/>
      <protection locked="0"/>
    </xf>
    <xf numFmtId="0" fontId="37" fillId="24" borderId="27" xfId="6" applyFont="1" applyFill="1" applyBorder="1" applyAlignment="1">
      <alignment horizontal="justify" vertical="top" wrapText="1"/>
    </xf>
    <xf numFmtId="0" fontId="37" fillId="24" borderId="61" xfId="0" applyFont="1" applyFill="1" applyBorder="1" applyAlignment="1">
      <alignment horizontal="center" vertical="center" wrapText="1"/>
    </xf>
    <xf numFmtId="9" fontId="37" fillId="24" borderId="61" xfId="3" applyFont="1" applyFill="1" applyBorder="1" applyAlignment="1">
      <alignment horizontal="center" vertical="center" wrapText="1"/>
    </xf>
    <xf numFmtId="0" fontId="44" fillId="0" borderId="16" xfId="0" applyFont="1" applyFill="1" applyBorder="1" applyAlignment="1" applyProtection="1">
      <alignment horizontal="justify" vertical="top" wrapText="1"/>
      <protection locked="0"/>
    </xf>
    <xf numFmtId="0" fontId="37" fillId="0" borderId="16" xfId="0" applyFont="1" applyFill="1" applyBorder="1" applyAlignment="1" applyProtection="1">
      <alignment horizontal="justify" vertical="top" wrapText="1"/>
      <protection locked="0"/>
    </xf>
    <xf numFmtId="0" fontId="37" fillId="0" borderId="37" xfId="0" applyFont="1" applyFill="1" applyBorder="1" applyAlignment="1" applyProtection="1">
      <alignment horizontal="justify" vertical="top" wrapText="1"/>
      <protection locked="0"/>
    </xf>
    <xf numFmtId="0" fontId="44" fillId="0" borderId="30" xfId="0" applyFont="1" applyFill="1" applyBorder="1" applyAlignment="1" applyProtection="1">
      <alignment horizontal="justify" vertical="top" wrapText="1"/>
      <protection locked="0"/>
    </xf>
    <xf numFmtId="0" fontId="37" fillId="0" borderId="30" xfId="0" applyFont="1" applyFill="1" applyBorder="1" applyAlignment="1" applyProtection="1">
      <alignment horizontal="justify" vertical="top" wrapText="1"/>
      <protection locked="0"/>
    </xf>
    <xf numFmtId="0" fontId="37" fillId="0" borderId="16" xfId="0" applyFont="1" applyFill="1" applyBorder="1" applyAlignment="1" applyProtection="1">
      <alignment horizontal="justify" vertical="top"/>
      <protection locked="0"/>
    </xf>
    <xf numFmtId="0" fontId="17" fillId="3" borderId="8" xfId="2" applyFill="1" applyBorder="1" applyAlignment="1">
      <alignment vertical="top"/>
    </xf>
    <xf numFmtId="0" fontId="4" fillId="3" borderId="8" xfId="0" applyFont="1" applyFill="1" applyBorder="1" applyAlignment="1">
      <alignment horizontal="justify" vertical="top" wrapText="1"/>
    </xf>
    <xf numFmtId="3" fontId="7" fillId="3" borderId="16" xfId="0" applyNumberFormat="1" applyFont="1" applyFill="1" applyBorder="1" applyAlignment="1" applyProtection="1">
      <alignment horizontal="right" vertical="center"/>
      <protection locked="0"/>
    </xf>
    <xf numFmtId="165" fontId="7" fillId="3" borderId="16" xfId="0" applyNumberFormat="1" applyFont="1" applyFill="1" applyBorder="1" applyAlignment="1" applyProtection="1">
      <alignment horizontal="right" vertical="center"/>
      <protection locked="0"/>
    </xf>
    <xf numFmtId="165" fontId="7" fillId="3" borderId="16" xfId="4" applyNumberFormat="1" applyFont="1" applyFill="1" applyBorder="1" applyAlignment="1" applyProtection="1">
      <alignment horizontal="right" vertical="center"/>
      <protection locked="0"/>
    </xf>
    <xf numFmtId="0" fontId="17" fillId="3" borderId="8" xfId="2" applyFill="1" applyBorder="1" applyAlignment="1">
      <alignment horizontal="left" vertical="top"/>
    </xf>
    <xf numFmtId="9" fontId="4" fillId="4" borderId="8" xfId="3" applyFont="1" applyFill="1" applyBorder="1" applyAlignment="1">
      <alignment vertical="center" wrapText="1"/>
    </xf>
    <xf numFmtId="43" fontId="0" fillId="0" borderId="0" xfId="4" applyFont="1"/>
    <xf numFmtId="0" fontId="42" fillId="0" borderId="11" xfId="0" applyFont="1" applyBorder="1" applyAlignment="1" applyProtection="1">
      <alignment horizontal="center"/>
    </xf>
    <xf numFmtId="43" fontId="37" fillId="0" borderId="37" xfId="4" applyFont="1" applyFill="1" applyBorder="1" applyProtection="1">
      <protection locked="0"/>
    </xf>
    <xf numFmtId="0" fontId="49" fillId="0" borderId="12" xfId="0" applyFont="1" applyBorder="1" applyAlignment="1" applyProtection="1">
      <alignment horizontal="center" vertical="center" wrapText="1"/>
    </xf>
    <xf numFmtId="0" fontId="44" fillId="0" borderId="14" xfId="0" applyFont="1" applyFill="1" applyBorder="1" applyAlignment="1" applyProtection="1">
      <alignment horizontal="justify" vertical="top" wrapText="1"/>
      <protection locked="0"/>
    </xf>
    <xf numFmtId="0" fontId="22" fillId="0" borderId="12" xfId="0" applyFont="1" applyBorder="1" applyAlignment="1">
      <alignment horizontal="center" vertical="center"/>
    </xf>
    <xf numFmtId="0" fontId="79" fillId="0" borderId="7" xfId="0" applyFont="1" applyBorder="1" applyAlignment="1">
      <alignment horizontal="center" vertical="center" wrapText="1"/>
    </xf>
    <xf numFmtId="0" fontId="37" fillId="0" borderId="61" xfId="0" applyFont="1" applyFill="1" applyBorder="1" applyAlignment="1" applyProtection="1">
      <alignment horizontal="justify" vertical="top" wrapText="1"/>
      <protection locked="0"/>
    </xf>
    <xf numFmtId="0" fontId="79" fillId="0" borderId="12" xfId="0" applyFont="1" applyBorder="1" applyAlignment="1">
      <alignment horizontal="center" vertical="center"/>
    </xf>
    <xf numFmtId="0" fontId="79" fillId="0" borderId="0" xfId="0" applyFont="1" applyBorder="1" applyAlignment="1">
      <alignment horizontal="center" vertical="center" wrapText="1"/>
    </xf>
    <xf numFmtId="0" fontId="79" fillId="0" borderId="12" xfId="0" applyFont="1" applyBorder="1" applyAlignment="1">
      <alignment horizontal="center" vertical="center" wrapText="1"/>
    </xf>
    <xf numFmtId="4" fontId="79" fillId="0" borderId="7" xfId="0" applyNumberFormat="1" applyFont="1" applyBorder="1" applyAlignment="1">
      <alignment horizontal="center" vertical="center" wrapText="1"/>
    </xf>
    <xf numFmtId="43" fontId="79" fillId="0" borderId="7" xfId="4" applyFont="1" applyBorder="1" applyAlignment="1">
      <alignment horizontal="center" vertical="center" wrapText="1"/>
    </xf>
    <xf numFmtId="0" fontId="53" fillId="0" borderId="14" xfId="0" applyFont="1" applyFill="1" applyBorder="1" applyAlignment="1" applyProtection="1">
      <alignment horizontal="justify" vertical="top" wrapText="1"/>
      <protection locked="0"/>
    </xf>
    <xf numFmtId="43" fontId="28" fillId="0" borderId="7" xfId="4" applyFont="1" applyBorder="1" applyAlignment="1">
      <alignment horizontal="center" vertical="center" wrapText="1"/>
    </xf>
    <xf numFmtId="0" fontId="80" fillId="0" borderId="14" xfId="0" applyFont="1" applyBorder="1" applyAlignment="1">
      <alignment horizontal="center" vertical="center"/>
    </xf>
    <xf numFmtId="9" fontId="80" fillId="0" borderId="12" xfId="0" applyNumberFormat="1" applyFont="1" applyBorder="1" applyAlignment="1">
      <alignment horizontal="center" vertical="center"/>
    </xf>
    <xf numFmtId="0" fontId="14" fillId="0" borderId="0" xfId="0" applyFont="1" applyAlignment="1">
      <alignment horizontal="center" vertical="center"/>
    </xf>
    <xf numFmtId="9" fontId="14" fillId="0" borderId="12" xfId="0" applyNumberFormat="1" applyFont="1" applyBorder="1" applyAlignment="1">
      <alignment horizontal="center" vertical="center"/>
    </xf>
    <xf numFmtId="0" fontId="14" fillId="0" borderId="12" xfId="0" applyFont="1" applyBorder="1" applyAlignment="1">
      <alignment horizontal="center" vertical="center"/>
    </xf>
    <xf numFmtId="9" fontId="14" fillId="0" borderId="7" xfId="0" applyNumberFormat="1" applyFont="1" applyBorder="1" applyAlignment="1">
      <alignment horizontal="center" vertical="center" wrapText="1"/>
    </xf>
    <xf numFmtId="0" fontId="80" fillId="0" borderId="12" xfId="0" applyFont="1" applyBorder="1" applyAlignment="1">
      <alignment horizontal="center" vertical="center"/>
    </xf>
    <xf numFmtId="9" fontId="80" fillId="0" borderId="7" xfId="0" applyNumberFormat="1" applyFont="1" applyBorder="1" applyAlignment="1">
      <alignment horizontal="center" vertical="center" wrapText="1"/>
    </xf>
    <xf numFmtId="0" fontId="14" fillId="0" borderId="1" xfId="0" applyFont="1" applyBorder="1" applyAlignment="1">
      <alignment horizontal="center" vertical="center"/>
    </xf>
    <xf numFmtId="9" fontId="14" fillId="0" borderId="4" xfId="0" applyNumberFormat="1" applyFont="1" applyBorder="1" applyAlignment="1">
      <alignment horizontal="center" vertical="center" wrapText="1"/>
    </xf>
    <xf numFmtId="9" fontId="80" fillId="0" borderId="7" xfId="0" applyNumberFormat="1" applyFont="1" applyBorder="1" applyAlignment="1">
      <alignment horizontal="center" vertical="center"/>
    </xf>
    <xf numFmtId="9" fontId="80" fillId="0" borderId="12" xfId="3" applyFont="1" applyBorder="1" applyAlignment="1">
      <alignment horizontal="center" vertical="center" wrapText="1"/>
    </xf>
    <xf numFmtId="3" fontId="4" fillId="3" borderId="8" xfId="0" applyNumberFormat="1" applyFont="1" applyFill="1" applyBorder="1" applyAlignment="1" applyProtection="1">
      <alignment horizontal="right" vertical="center" wrapText="1"/>
      <protection locked="0"/>
    </xf>
    <xf numFmtId="9" fontId="4" fillId="3" borderId="8" xfId="0" applyNumberFormat="1" applyFont="1" applyFill="1" applyBorder="1" applyAlignment="1" applyProtection="1">
      <alignment horizontal="right" vertical="center"/>
      <protection locked="0"/>
    </xf>
    <xf numFmtId="43" fontId="4" fillId="3" borderId="8" xfId="4" applyFont="1" applyFill="1" applyBorder="1" applyAlignment="1" applyProtection="1">
      <alignment horizontal="right" vertical="center" wrapText="1"/>
      <protection locked="0"/>
    </xf>
    <xf numFmtId="170" fontId="0" fillId="0" borderId="0" xfId="3" applyNumberFormat="1" applyFont="1"/>
    <xf numFmtId="3" fontId="0" fillId="0" borderId="0" xfId="0" applyNumberFormat="1"/>
    <xf numFmtId="43" fontId="0" fillId="0" borderId="0" xfId="0" applyNumberFormat="1"/>
    <xf numFmtId="43" fontId="4" fillId="3" borderId="8" xfId="4" applyFont="1" applyFill="1" applyBorder="1" applyAlignment="1" applyProtection="1">
      <alignment vertical="center"/>
      <protection locked="0"/>
    </xf>
    <xf numFmtId="43" fontId="4" fillId="4" borderId="13" xfId="4" applyFont="1" applyFill="1" applyBorder="1" applyAlignment="1">
      <alignment vertical="top"/>
    </xf>
    <xf numFmtId="43" fontId="4" fillId="3" borderId="8" xfId="4" applyFont="1" applyFill="1" applyBorder="1" applyAlignment="1" applyProtection="1">
      <alignment horizontal="center" vertical="center"/>
      <protection locked="0"/>
    </xf>
    <xf numFmtId="43" fontId="4" fillId="3" borderId="8" xfId="4" applyFont="1" applyFill="1" applyBorder="1" applyAlignment="1" applyProtection="1">
      <alignment horizontal="right" vertical="center"/>
      <protection locked="0"/>
    </xf>
    <xf numFmtId="0" fontId="4" fillId="3" borderId="8" xfId="0" applyFont="1" applyFill="1" applyBorder="1" applyAlignment="1" applyProtection="1">
      <alignment horizontal="center" vertical="center" wrapText="1"/>
      <protection locked="0"/>
    </xf>
    <xf numFmtId="43" fontId="4" fillId="3" borderId="8" xfId="4" applyFont="1" applyFill="1" applyBorder="1" applyAlignment="1" applyProtection="1">
      <alignment vertical="center" wrapText="1"/>
      <protection locked="0"/>
    </xf>
    <xf numFmtId="0" fontId="12" fillId="0" borderId="0" xfId="0" applyFont="1" applyBorder="1" applyAlignment="1">
      <alignment vertical="top" wrapText="1"/>
    </xf>
    <xf numFmtId="0" fontId="37" fillId="15" borderId="16" xfId="0" applyNumberFormat="1" applyFont="1" applyFill="1" applyBorder="1" applyAlignment="1">
      <alignment horizontal="center" vertical="center" wrapText="1"/>
    </xf>
    <xf numFmtId="43" fontId="78" fillId="0" borderId="15" xfId="4" applyFont="1" applyFill="1" applyBorder="1" applyAlignment="1" applyProtection="1">
      <alignment horizontal="center" vertical="center" wrapText="1"/>
      <protection locked="0"/>
    </xf>
    <xf numFmtId="43" fontId="46" fillId="0" borderId="16" xfId="4" applyFont="1" applyFill="1" applyBorder="1" applyAlignment="1" applyProtection="1">
      <alignment horizontal="right" vertical="center"/>
    </xf>
    <xf numFmtId="43" fontId="46" fillId="0" borderId="16" xfId="4" applyFont="1" applyFill="1" applyBorder="1" applyAlignment="1" applyProtection="1">
      <alignment vertical="center"/>
    </xf>
    <xf numFmtId="43" fontId="46" fillId="0" borderId="16" xfId="4" applyFont="1" applyFill="1" applyBorder="1" applyAlignment="1" applyProtection="1"/>
    <xf numFmtId="43" fontId="46" fillId="0" borderId="30" xfId="4" applyFont="1" applyFill="1" applyBorder="1" applyAlignment="1" applyProtection="1"/>
    <xf numFmtId="4" fontId="51" fillId="0" borderId="3" xfId="0" applyNumberFormat="1" applyFont="1" applyFill="1" applyBorder="1" applyAlignment="1">
      <alignment horizontal="center" vertical="center" wrapText="1"/>
    </xf>
    <xf numFmtId="4" fontId="78" fillId="0" borderId="12" xfId="2" applyNumberFormat="1" applyFont="1" applyFill="1" applyBorder="1" applyAlignment="1">
      <alignment horizontal="right" vertical="center" wrapText="1"/>
    </xf>
    <xf numFmtId="4" fontId="78" fillId="0" borderId="15" xfId="0" applyNumberFormat="1" applyFont="1" applyFill="1" applyBorder="1" applyAlignment="1">
      <alignment horizontal="right" vertical="center" wrapText="1"/>
    </xf>
    <xf numFmtId="3" fontId="51" fillId="0" borderId="61" xfId="0" applyNumberFormat="1" applyFont="1" applyFill="1" applyBorder="1" applyAlignment="1">
      <alignment vertical="center" wrapText="1"/>
    </xf>
    <xf numFmtId="43" fontId="78" fillId="0" borderId="15" xfId="4" applyFont="1" applyFill="1" applyBorder="1" applyAlignment="1" applyProtection="1">
      <alignment wrapText="1"/>
      <protection locked="0"/>
    </xf>
    <xf numFmtId="43" fontId="78" fillId="0" borderId="12" xfId="4" applyFont="1" applyFill="1" applyBorder="1" applyAlignment="1" applyProtection="1">
      <alignment horizontal="center" vertical="center" wrapText="1"/>
      <protection locked="0"/>
    </xf>
    <xf numFmtId="3" fontId="51" fillId="0" borderId="61" xfId="0" applyNumberFormat="1" applyFont="1" applyFill="1" applyBorder="1" applyAlignment="1">
      <alignment horizontal="center" vertical="center" wrapText="1"/>
    </xf>
    <xf numFmtId="4" fontId="51" fillId="0" borderId="12" xfId="0" applyNumberFormat="1" applyFont="1" applyFill="1" applyBorder="1" applyAlignment="1">
      <alignment vertical="center" wrapText="1"/>
    </xf>
    <xf numFmtId="4" fontId="78" fillId="0" borderId="30" xfId="0" applyNumberFormat="1" applyFont="1" applyFill="1" applyBorder="1" applyAlignment="1">
      <alignment vertical="center" wrapText="1"/>
    </xf>
    <xf numFmtId="9" fontId="51" fillId="0" borderId="15" xfId="3" applyNumberFormat="1" applyFont="1" applyFill="1" applyBorder="1" applyAlignment="1">
      <alignment horizontal="center" vertical="center" wrapText="1"/>
    </xf>
    <xf numFmtId="9" fontId="78" fillId="0" borderId="12" xfId="3" applyFont="1" applyFill="1" applyBorder="1" applyAlignment="1">
      <alignment horizontal="center" vertical="center" wrapText="1"/>
    </xf>
    <xf numFmtId="3" fontId="51" fillId="0" borderId="7" xfId="0" applyNumberFormat="1" applyFont="1" applyFill="1" applyBorder="1" applyAlignment="1">
      <alignment vertical="center" wrapText="1"/>
    </xf>
    <xf numFmtId="9" fontId="51" fillId="0" borderId="15" xfId="3" applyFont="1" applyFill="1" applyBorder="1" applyAlignment="1">
      <alignment horizontal="center" vertical="center" wrapText="1"/>
    </xf>
    <xf numFmtId="4" fontId="51" fillId="0" borderId="65" xfId="0" applyNumberFormat="1" applyFont="1" applyFill="1" applyBorder="1" applyAlignment="1">
      <alignment horizontal="right" vertical="center" wrapText="1"/>
    </xf>
    <xf numFmtId="9" fontId="51" fillId="0" borderId="63" xfId="3" applyFont="1" applyFill="1" applyBorder="1" applyAlignment="1">
      <alignment horizontal="center" vertical="center" wrapText="1"/>
    </xf>
    <xf numFmtId="3" fontId="78" fillId="0" borderId="7" xfId="0" applyNumberFormat="1" applyFont="1" applyFill="1" applyBorder="1" applyAlignment="1">
      <alignment vertical="center" wrapText="1"/>
    </xf>
    <xf numFmtId="43" fontId="78" fillId="0" borderId="11" xfId="4" applyFont="1" applyFill="1" applyBorder="1" applyAlignment="1" applyProtection="1">
      <alignment horizontal="right" vertical="center" wrapText="1"/>
      <protection locked="0"/>
    </xf>
    <xf numFmtId="9" fontId="78" fillId="0" borderId="51" xfId="3" applyFont="1" applyFill="1" applyBorder="1" applyAlignment="1">
      <alignment horizontal="center" vertical="center" wrapText="1"/>
    </xf>
    <xf numFmtId="9" fontId="78" fillId="0" borderId="15" xfId="3" applyNumberFormat="1" applyFont="1" applyFill="1" applyBorder="1" applyAlignment="1">
      <alignment horizontal="center" vertical="center" wrapText="1"/>
    </xf>
    <xf numFmtId="9" fontId="78" fillId="0" borderId="15" xfId="3" applyFont="1" applyFill="1" applyBorder="1" applyAlignment="1">
      <alignment horizontal="center" vertical="center" wrapText="1"/>
    </xf>
    <xf numFmtId="3" fontId="78" fillId="0" borderId="12" xfId="0" applyNumberFormat="1" applyFont="1" applyFill="1" applyBorder="1" applyAlignment="1">
      <alignment vertical="center" wrapText="1"/>
    </xf>
    <xf numFmtId="3" fontId="78" fillId="0" borderId="8" xfId="0" applyNumberFormat="1" applyFont="1" applyFill="1" applyBorder="1" applyAlignment="1">
      <alignment vertical="center" wrapText="1"/>
    </xf>
    <xf numFmtId="4" fontId="51" fillId="0" borderId="15" xfId="0" applyNumberFormat="1" applyFont="1" applyFill="1" applyBorder="1" applyAlignment="1">
      <alignment vertical="center" wrapText="1"/>
    </xf>
    <xf numFmtId="4" fontId="51" fillId="0" borderId="15" xfId="0" applyNumberFormat="1" applyFont="1" applyFill="1" applyBorder="1" applyAlignment="1">
      <alignment horizontal="right" vertical="center" wrapText="1"/>
    </xf>
    <xf numFmtId="43" fontId="78" fillId="0" borderId="30" xfId="4" applyFont="1" applyFill="1" applyBorder="1" applyAlignment="1" applyProtection="1">
      <alignment vertical="center" wrapText="1"/>
      <protection locked="0"/>
    </xf>
    <xf numFmtId="9" fontId="78" fillId="0" borderId="30" xfId="3" applyFont="1" applyFill="1" applyBorder="1" applyAlignment="1">
      <alignment horizontal="center" vertical="center" wrapText="1"/>
    </xf>
    <xf numFmtId="4" fontId="78" fillId="0" borderId="30" xfId="0" applyNumberFormat="1" applyFont="1" applyFill="1" applyBorder="1" applyAlignment="1">
      <alignment horizontal="right" vertical="center" wrapText="1"/>
    </xf>
    <xf numFmtId="3" fontId="78" fillId="0" borderId="6" xfId="0" applyNumberFormat="1" applyFont="1" applyFill="1" applyBorder="1" applyAlignment="1">
      <alignment vertical="center" wrapText="1"/>
    </xf>
    <xf numFmtId="9" fontId="78" fillId="0" borderId="53" xfId="3" applyFont="1" applyFill="1" applyBorder="1" applyAlignment="1">
      <alignment horizontal="center" vertical="center" wrapText="1"/>
    </xf>
    <xf numFmtId="175" fontId="45" fillId="0" borderId="16" xfId="4" applyNumberFormat="1" applyFont="1" applyFill="1" applyBorder="1" applyAlignment="1" applyProtection="1">
      <alignment horizontal="right"/>
      <protection locked="0"/>
    </xf>
    <xf numFmtId="0" fontId="44" fillId="31" borderId="40" xfId="0" applyFont="1" applyFill="1" applyBorder="1" applyAlignment="1" applyProtection="1">
      <alignment wrapText="1"/>
      <protection locked="0"/>
    </xf>
    <xf numFmtId="43" fontId="36" fillId="31" borderId="32" xfId="4" applyFont="1" applyFill="1" applyBorder="1" applyAlignment="1" applyProtection="1">
      <alignment wrapText="1"/>
      <protection locked="0"/>
    </xf>
    <xf numFmtId="43" fontId="36" fillId="31" borderId="33" xfId="4" applyFont="1" applyFill="1" applyBorder="1" applyAlignment="1" applyProtection="1">
      <alignment wrapText="1"/>
      <protection locked="0"/>
    </xf>
    <xf numFmtId="43" fontId="36" fillId="31" borderId="42" xfId="4" applyFont="1" applyFill="1" applyBorder="1" applyAlignment="1" applyProtection="1">
      <alignment wrapText="1"/>
      <protection locked="0"/>
    </xf>
    <xf numFmtId="43" fontId="36" fillId="31" borderId="65" xfId="4" applyFont="1" applyFill="1" applyBorder="1" applyAlignment="1" applyProtection="1">
      <alignment wrapText="1"/>
      <protection locked="0"/>
    </xf>
    <xf numFmtId="43" fontId="48" fillId="31" borderId="32" xfId="4" applyFont="1" applyFill="1" applyBorder="1" applyAlignment="1" applyProtection="1"/>
    <xf numFmtId="43" fontId="36" fillId="31" borderId="32" xfId="4" applyFont="1" applyFill="1" applyBorder="1" applyAlignment="1" applyProtection="1"/>
    <xf numFmtId="0" fontId="44" fillId="10" borderId="14" xfId="0" applyFont="1" applyFill="1" applyBorder="1" applyProtection="1"/>
    <xf numFmtId="43" fontId="44" fillId="10" borderId="54" xfId="4" applyFont="1" applyFill="1" applyBorder="1" applyProtection="1"/>
    <xf numFmtId="43" fontId="44" fillId="10" borderId="71" xfId="4" applyFont="1" applyFill="1" applyBorder="1" applyProtection="1"/>
    <xf numFmtId="43" fontId="44" fillId="10" borderId="12" xfId="4" applyFont="1" applyFill="1" applyBorder="1" applyProtection="1"/>
    <xf numFmtId="43" fontId="44" fillId="10" borderId="53" xfId="4" applyFont="1" applyFill="1" applyBorder="1" applyProtection="1"/>
    <xf numFmtId="43" fontId="44" fillId="10" borderId="54" xfId="4" applyFont="1" applyFill="1" applyBorder="1" applyAlignment="1" applyProtection="1"/>
    <xf numFmtId="43" fontId="44" fillId="10" borderId="12" xfId="4" applyFont="1" applyFill="1" applyBorder="1" applyAlignment="1" applyProtection="1"/>
    <xf numFmtId="43" fontId="44" fillId="10" borderId="53" xfId="4" applyFont="1" applyFill="1" applyBorder="1" applyAlignment="1" applyProtection="1"/>
    <xf numFmtId="0" fontId="44" fillId="10" borderId="10" xfId="0" applyFont="1" applyFill="1" applyBorder="1" applyProtection="1"/>
    <xf numFmtId="43" fontId="44" fillId="10" borderId="73" xfId="4" applyFont="1" applyFill="1" applyBorder="1" applyProtection="1"/>
    <xf numFmtId="43" fontId="44" fillId="10" borderId="67" xfId="4" applyFont="1" applyFill="1" applyBorder="1" applyProtection="1"/>
    <xf numFmtId="43" fontId="44" fillId="10" borderId="13" xfId="4" applyFont="1" applyFill="1" applyBorder="1" applyProtection="1"/>
    <xf numFmtId="0" fontId="44" fillId="31" borderId="43" xfId="0" applyFont="1" applyFill="1" applyBorder="1" applyAlignment="1" applyProtection="1">
      <alignment wrapText="1"/>
      <protection locked="0"/>
    </xf>
    <xf numFmtId="43" fontId="36" fillId="31" borderId="16" xfId="4" applyFont="1" applyFill="1" applyBorder="1" applyAlignment="1" applyProtection="1">
      <alignment wrapText="1"/>
      <protection locked="0"/>
    </xf>
    <xf numFmtId="43" fontId="36" fillId="31" borderId="18" xfId="4" applyFont="1" applyFill="1" applyBorder="1" applyAlignment="1" applyProtection="1">
      <alignment wrapText="1"/>
      <protection locked="0"/>
    </xf>
    <xf numFmtId="43" fontId="36" fillId="31" borderId="43" xfId="4" applyFont="1" applyFill="1" applyBorder="1" applyAlignment="1" applyProtection="1">
      <alignment wrapText="1"/>
      <protection locked="0"/>
    </xf>
    <xf numFmtId="43" fontId="48" fillId="31" borderId="16" xfId="4" applyFont="1" applyFill="1" applyBorder="1" applyAlignment="1" applyProtection="1"/>
    <xf numFmtId="43" fontId="36" fillId="31" borderId="16" xfId="4" applyFont="1" applyFill="1" applyBorder="1" applyAlignment="1" applyProtection="1"/>
    <xf numFmtId="0" fontId="44" fillId="31" borderId="16" xfId="0" applyFont="1" applyFill="1" applyBorder="1" applyAlignment="1" applyProtection="1">
      <alignment wrapText="1"/>
      <protection locked="0"/>
    </xf>
    <xf numFmtId="43" fontId="36" fillId="31" borderId="37" xfId="4" applyFont="1" applyFill="1" applyBorder="1" applyAlignment="1" applyProtection="1">
      <alignment wrapText="1"/>
      <protection locked="0"/>
    </xf>
    <xf numFmtId="43" fontId="36" fillId="31" borderId="37" xfId="4" applyFont="1" applyFill="1" applyBorder="1" applyAlignment="1" applyProtection="1">
      <alignment horizontal="center" vertical="center" wrapText="1"/>
      <protection locked="0"/>
    </xf>
    <xf numFmtId="43" fontId="36" fillId="31" borderId="16" xfId="4" applyFont="1" applyFill="1" applyBorder="1" applyAlignment="1" applyProtection="1">
      <alignment horizontal="center" vertical="center" wrapText="1"/>
      <protection locked="0"/>
    </xf>
    <xf numFmtId="43" fontId="36" fillId="31" borderId="18" xfId="4" applyFont="1" applyFill="1" applyBorder="1" applyAlignment="1" applyProtection="1">
      <alignment horizontal="center" vertical="center" wrapText="1"/>
      <protection locked="0"/>
    </xf>
    <xf numFmtId="43" fontId="48" fillId="31" borderId="16" xfId="4" applyFont="1" applyFill="1" applyBorder="1" applyAlignment="1" applyProtection="1">
      <alignment horizontal="center" vertical="center"/>
    </xf>
    <xf numFmtId="43" fontId="36" fillId="31" borderId="16" xfId="4" applyFont="1" applyFill="1" applyBorder="1" applyAlignment="1" applyProtection="1">
      <alignment horizontal="center" vertical="center"/>
    </xf>
    <xf numFmtId="0" fontId="44" fillId="31" borderId="30" xfId="0" applyFont="1" applyFill="1" applyBorder="1" applyAlignment="1" applyProtection="1">
      <alignment wrapText="1"/>
      <protection locked="0"/>
    </xf>
    <xf numFmtId="43" fontId="36" fillId="31" borderId="61" xfId="4" applyFont="1" applyFill="1" applyBorder="1" applyAlignment="1" applyProtection="1">
      <alignment wrapText="1"/>
      <protection locked="0"/>
    </xf>
    <xf numFmtId="43" fontId="36" fillId="31" borderId="34" xfId="4" applyFont="1" applyFill="1" applyBorder="1" applyAlignment="1" applyProtection="1">
      <alignment wrapText="1"/>
      <protection locked="0"/>
    </xf>
    <xf numFmtId="43" fontId="48" fillId="31" borderId="30" xfId="4" applyFont="1" applyFill="1" applyBorder="1" applyAlignment="1" applyProtection="1"/>
    <xf numFmtId="43" fontId="36" fillId="31" borderId="30" xfId="4" applyFont="1" applyFill="1" applyBorder="1" applyAlignment="1" applyProtection="1"/>
    <xf numFmtId="170" fontId="32" fillId="0" borderId="0" xfId="3" applyNumberFormat="1" applyFont="1"/>
    <xf numFmtId="2" fontId="37" fillId="22" borderId="16" xfId="3" applyNumberFormat="1" applyFont="1" applyFill="1" applyBorder="1" applyAlignment="1">
      <alignment horizontal="center" vertical="center" wrapText="1"/>
    </xf>
    <xf numFmtId="170" fontId="4" fillId="4" borderId="12" xfId="3" applyNumberFormat="1" applyFont="1" applyFill="1" applyBorder="1" applyAlignment="1">
      <alignment horizontal="center" vertical="top" wrapText="1"/>
    </xf>
    <xf numFmtId="9" fontId="7" fillId="3" borderId="16" xfId="0" applyNumberFormat="1" applyFont="1" applyFill="1" applyBorder="1" applyAlignment="1">
      <alignment horizontal="center" vertical="center"/>
    </xf>
    <xf numFmtId="170" fontId="4" fillId="4" borderId="12" xfId="3" applyNumberFormat="1" applyFont="1" applyFill="1" applyBorder="1" applyAlignment="1">
      <alignment horizontal="center" vertical="center" wrapText="1"/>
    </xf>
    <xf numFmtId="10" fontId="0" fillId="6" borderId="12" xfId="0" applyNumberFormat="1" applyFill="1" applyBorder="1" applyAlignment="1">
      <alignment horizontal="center" vertical="top"/>
    </xf>
    <xf numFmtId="9" fontId="37" fillId="22" borderId="61" xfId="3" applyNumberFormat="1" applyFont="1" applyFill="1" applyBorder="1" applyAlignment="1">
      <alignment horizontal="center" vertical="center" wrapText="1"/>
    </xf>
    <xf numFmtId="3" fontId="81" fillId="0" borderId="48" xfId="0" applyNumberFormat="1" applyFont="1" applyFill="1" applyBorder="1" applyAlignment="1">
      <alignment vertical="center" wrapText="1"/>
    </xf>
    <xf numFmtId="0" fontId="36" fillId="15" borderId="12" xfId="0" applyFont="1" applyFill="1" applyBorder="1" applyAlignment="1">
      <alignment horizontal="center" vertical="center" wrapText="1"/>
    </xf>
    <xf numFmtId="0" fontId="8" fillId="3" borderId="8" xfId="0" applyFont="1" applyFill="1" applyBorder="1" applyAlignment="1" applyProtection="1">
      <alignment horizontal="justify" vertical="top" wrapText="1"/>
      <protection locked="0"/>
    </xf>
    <xf numFmtId="0" fontId="8" fillId="3" borderId="8" xfId="0" applyFont="1" applyFill="1" applyBorder="1" applyAlignment="1" applyProtection="1">
      <alignment horizontal="center" vertical="center"/>
      <protection locked="0"/>
    </xf>
    <xf numFmtId="3" fontId="4" fillId="3" borderId="8" xfId="0" applyNumberFormat="1" applyFont="1" applyFill="1" applyBorder="1" applyAlignment="1" applyProtection="1">
      <alignment horizontal="center" vertical="center"/>
      <protection locked="0"/>
    </xf>
    <xf numFmtId="3" fontId="4" fillId="3" borderId="8" xfId="0" applyNumberFormat="1" applyFont="1" applyFill="1" applyBorder="1" applyAlignment="1" applyProtection="1">
      <alignment horizontal="center" vertical="center" wrapText="1"/>
      <protection locked="0"/>
    </xf>
    <xf numFmtId="3" fontId="4" fillId="4" borderId="8" xfId="0" applyNumberFormat="1" applyFont="1" applyFill="1" applyBorder="1" applyAlignment="1">
      <alignment horizontal="center" vertical="center" wrapText="1"/>
    </xf>
    <xf numFmtId="9" fontId="4" fillId="4" borderId="12" xfId="3" applyFont="1" applyFill="1" applyBorder="1" applyAlignment="1">
      <alignment horizontal="center" vertical="center" wrapText="1"/>
    </xf>
    <xf numFmtId="167" fontId="76" fillId="9" borderId="30" xfId="4" applyNumberFormat="1" applyFont="1" applyFill="1" applyBorder="1" applyProtection="1"/>
    <xf numFmtId="43" fontId="32" fillId="0" borderId="0" xfId="4" applyFont="1" applyFill="1"/>
    <xf numFmtId="0" fontId="32" fillId="0" borderId="0" xfId="5" applyFill="1"/>
    <xf numFmtId="175" fontId="45" fillId="0" borderId="16" xfId="4" applyNumberFormat="1" applyFont="1" applyFill="1" applyBorder="1" applyProtection="1"/>
    <xf numFmtId="175" fontId="45" fillId="0" borderId="16" xfId="4" applyNumberFormat="1" applyFont="1" applyFill="1" applyBorder="1" applyAlignment="1" applyProtection="1">
      <alignment vertical="center"/>
      <protection locked="0"/>
    </xf>
    <xf numFmtId="43" fontId="45" fillId="0" borderId="30" xfId="4" applyFont="1" applyFill="1" applyBorder="1" applyProtection="1">
      <protection locked="0"/>
    </xf>
    <xf numFmtId="43" fontId="45" fillId="0" borderId="30" xfId="4" applyFont="1" applyFill="1" applyBorder="1" applyAlignment="1" applyProtection="1">
      <alignment horizontal="right" vertical="center"/>
      <protection locked="0"/>
    </xf>
    <xf numFmtId="43" fontId="45" fillId="0" borderId="16" xfId="4" applyFont="1" applyFill="1" applyBorder="1" applyAlignment="1" applyProtection="1">
      <alignment horizontal="right" vertical="center"/>
      <protection locked="0"/>
    </xf>
    <xf numFmtId="165" fontId="32" fillId="0" borderId="16" xfId="4" applyNumberFormat="1" applyFont="1" applyBorder="1" applyAlignment="1">
      <alignment vertical="center"/>
    </xf>
    <xf numFmtId="3" fontId="7" fillId="3" borderId="37" xfId="0" applyNumberFormat="1" applyFont="1" applyFill="1" applyBorder="1" applyAlignment="1" applyProtection="1">
      <alignment horizontal="right" vertical="center"/>
      <protection locked="0"/>
    </xf>
    <xf numFmtId="3" fontId="4" fillId="0" borderId="12" xfId="0" applyNumberFormat="1" applyFont="1" applyBorder="1" applyAlignment="1">
      <alignment vertical="top"/>
    </xf>
    <xf numFmtId="3" fontId="4" fillId="4" borderId="12" xfId="0" applyNumberFormat="1" applyFont="1" applyFill="1" applyBorder="1" applyAlignment="1">
      <alignment vertical="top"/>
    </xf>
    <xf numFmtId="0" fontId="4" fillId="4" borderId="12" xfId="0" applyFont="1" applyFill="1" applyBorder="1" applyAlignment="1">
      <alignment horizontal="left" vertical="center" wrapText="1"/>
    </xf>
    <xf numFmtId="9" fontId="7" fillId="3" borderId="37" xfId="0" applyNumberFormat="1" applyFont="1" applyFill="1" applyBorder="1" applyAlignment="1">
      <alignment horizontal="center" vertical="center"/>
    </xf>
    <xf numFmtId="43" fontId="0" fillId="0" borderId="0" xfId="3" applyNumberFormat="1" applyFont="1"/>
    <xf numFmtId="0" fontId="4" fillId="0" borderId="8"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4" fillId="0" borderId="6" xfId="0" applyFont="1" applyBorder="1" applyAlignment="1" applyProtection="1">
      <alignment horizontal="center" vertical="center" wrapText="1"/>
    </xf>
    <xf numFmtId="166" fontId="36" fillId="23" borderId="12" xfId="0" applyNumberFormat="1" applyFont="1" applyFill="1" applyBorder="1" applyAlignment="1">
      <alignment horizontal="center" vertical="center" wrapText="1"/>
    </xf>
    <xf numFmtId="3" fontId="37" fillId="23" borderId="12" xfId="0" applyNumberFormat="1" applyFont="1" applyFill="1" applyBorder="1" applyAlignment="1">
      <alignment horizontal="center" vertical="center" wrapText="1"/>
    </xf>
    <xf numFmtId="9" fontId="36" fillId="23" borderId="2" xfId="0" applyNumberFormat="1" applyFont="1" applyFill="1" applyBorder="1" applyAlignment="1">
      <alignment horizontal="center" vertical="center" wrapText="1"/>
    </xf>
    <xf numFmtId="10" fontId="36" fillId="23" borderId="3" xfId="0" applyNumberFormat="1" applyFont="1" applyFill="1" applyBorder="1" applyAlignment="1">
      <alignment horizontal="center" vertical="center" wrapText="1"/>
    </xf>
    <xf numFmtId="10" fontId="36" fillId="23" borderId="12" xfId="0" applyNumberFormat="1" applyFont="1" applyFill="1" applyBorder="1" applyAlignment="1">
      <alignment horizontal="center" vertical="center" wrapText="1"/>
    </xf>
    <xf numFmtId="9" fontId="36" fillId="3" borderId="11" xfId="0" applyNumberFormat="1" applyFont="1" applyFill="1" applyBorder="1" applyAlignment="1">
      <alignment horizontal="center" vertical="center" wrapText="1"/>
    </xf>
    <xf numFmtId="9" fontId="30" fillId="0" borderId="0" xfId="5" applyNumberFormat="1" applyFont="1" applyFill="1" applyAlignment="1">
      <alignment vertical="center" wrapText="1"/>
    </xf>
    <xf numFmtId="0" fontId="31" fillId="12" borderId="14" xfId="0" applyFont="1" applyFill="1" applyBorder="1" applyAlignment="1">
      <alignment horizontal="center" vertical="center" wrapText="1"/>
    </xf>
    <xf numFmtId="0" fontId="31" fillId="12" borderId="15" xfId="0" applyFont="1" applyFill="1" applyBorder="1" applyAlignment="1">
      <alignment horizontal="center" vertical="center" wrapText="1"/>
    </xf>
    <xf numFmtId="0" fontId="31" fillId="12" borderId="7" xfId="0" applyFont="1" applyFill="1" applyBorder="1" applyAlignment="1">
      <alignment horizontal="center" vertical="center" wrapText="1"/>
    </xf>
    <xf numFmtId="0" fontId="69" fillId="13" borderId="14" xfId="0" applyFont="1" applyFill="1" applyBorder="1" applyAlignment="1">
      <alignment horizontal="left" vertical="center" wrapText="1"/>
    </xf>
    <xf numFmtId="0" fontId="69" fillId="13" borderId="15" xfId="0" applyFont="1" applyFill="1" applyBorder="1" applyAlignment="1">
      <alignment horizontal="left" vertical="center" wrapText="1"/>
    </xf>
    <xf numFmtId="0" fontId="69" fillId="13" borderId="7" xfId="0" applyFont="1" applyFill="1" applyBorder="1" applyAlignment="1">
      <alignment horizontal="left" vertical="center" wrapText="1"/>
    </xf>
    <xf numFmtId="0" fontId="30" fillId="11" borderId="0" xfId="5" applyFont="1" applyFill="1" applyAlignment="1">
      <alignment horizontal="center" vertical="center" wrapText="1"/>
    </xf>
    <xf numFmtId="0" fontId="36" fillId="13" borderId="14" xfId="0" applyFont="1" applyFill="1" applyBorder="1" applyAlignment="1">
      <alignment horizontal="left" vertical="center" wrapText="1"/>
    </xf>
    <xf numFmtId="0" fontId="36" fillId="13" borderId="15" xfId="0" applyFont="1" applyFill="1" applyBorder="1" applyAlignment="1">
      <alignment horizontal="left" vertical="center" wrapText="1"/>
    </xf>
    <xf numFmtId="0" fontId="36" fillId="13" borderId="7" xfId="0" applyFont="1" applyFill="1" applyBorder="1" applyAlignment="1">
      <alignment horizontal="left" vertical="center" wrapText="1"/>
    </xf>
    <xf numFmtId="0" fontId="67" fillId="0" borderId="27" xfId="0" applyFont="1" applyBorder="1" applyAlignment="1">
      <alignment horizontal="center" vertical="center" textRotation="90" wrapText="1"/>
    </xf>
    <xf numFmtId="0" fontId="67" fillId="0" borderId="67" xfId="0" applyFont="1" applyBorder="1" applyAlignment="1">
      <alignment horizontal="center" vertical="center" textRotation="90" wrapText="1"/>
    </xf>
    <xf numFmtId="0" fontId="67" fillId="0" borderId="0" xfId="0" applyFont="1" applyBorder="1" applyAlignment="1">
      <alignment horizontal="center" vertical="center" textRotation="90" wrapText="1"/>
    </xf>
    <xf numFmtId="0" fontId="67" fillId="0" borderId="28" xfId="0" applyFont="1" applyBorder="1" applyAlignment="1">
      <alignment horizontal="center" vertical="center" textRotation="90" wrapText="1"/>
    </xf>
    <xf numFmtId="0" fontId="67" fillId="0" borderId="68" xfId="0" applyFont="1" applyBorder="1" applyAlignment="1">
      <alignment horizontal="center" vertical="center" textRotation="90" wrapText="1"/>
    </xf>
    <xf numFmtId="0" fontId="36" fillId="13" borderId="14" xfId="0" applyFont="1" applyFill="1" applyBorder="1" applyAlignment="1">
      <alignment horizontal="justify" vertical="top" wrapText="1"/>
    </xf>
    <xf numFmtId="0" fontId="36" fillId="13" borderId="15" xfId="0" applyFont="1" applyFill="1" applyBorder="1" applyAlignment="1">
      <alignment horizontal="justify" vertical="top" wrapText="1"/>
    </xf>
    <xf numFmtId="0" fontId="36" fillId="13" borderId="7" xfId="0" applyFont="1" applyFill="1" applyBorder="1" applyAlignment="1">
      <alignment horizontal="justify" vertical="top" wrapText="1"/>
    </xf>
    <xf numFmtId="0" fontId="36" fillId="13" borderId="14" xfId="0" applyFont="1" applyFill="1" applyBorder="1" applyAlignment="1">
      <alignment horizontal="left" vertical="top" wrapText="1"/>
    </xf>
    <xf numFmtId="0" fontId="36" fillId="13" borderId="15" xfId="0" applyFont="1" applyFill="1" applyBorder="1" applyAlignment="1">
      <alignment horizontal="left" vertical="top" wrapText="1"/>
    </xf>
    <xf numFmtId="0" fontId="52" fillId="0" borderId="37" xfId="0" applyFont="1" applyFill="1" applyBorder="1" applyAlignment="1">
      <alignment horizontal="center" vertical="center" textRotation="90" wrapText="1"/>
    </xf>
    <xf numFmtId="0" fontId="52" fillId="0" borderId="61" xfId="0" applyFont="1" applyFill="1" applyBorder="1" applyAlignment="1">
      <alignment horizontal="center" vertical="center" textRotation="90" wrapText="1"/>
    </xf>
    <xf numFmtId="0" fontId="52" fillId="0" borderId="30" xfId="0" applyFont="1" applyFill="1" applyBorder="1" applyAlignment="1">
      <alignment horizontal="center" vertical="center" textRotation="90" wrapText="1"/>
    </xf>
    <xf numFmtId="0" fontId="36" fillId="0" borderId="23" xfId="0" applyFont="1" applyFill="1" applyBorder="1" applyAlignment="1">
      <alignment horizontal="center" vertical="center" textRotation="90" wrapText="1"/>
    </xf>
    <xf numFmtId="0" fontId="36" fillId="0" borderId="28" xfId="0" applyFont="1" applyFill="1" applyBorder="1" applyAlignment="1">
      <alignment horizontal="center" vertical="center" textRotation="90" wrapText="1"/>
    </xf>
    <xf numFmtId="0" fontId="36" fillId="13" borderId="18" xfId="0" applyFont="1" applyFill="1" applyBorder="1" applyAlignment="1">
      <alignment horizontal="center" vertical="center" textRotation="90" wrapText="1"/>
    </xf>
    <xf numFmtId="0" fontId="36" fillId="13" borderId="16" xfId="0" applyFont="1" applyFill="1" applyBorder="1" applyAlignment="1">
      <alignment horizontal="center" vertical="center" textRotation="90" wrapText="1"/>
    </xf>
    <xf numFmtId="0" fontId="36" fillId="13" borderId="37" xfId="0" applyFont="1" applyFill="1" applyBorder="1" applyAlignment="1">
      <alignment horizontal="center" vertical="center" textRotation="90" wrapText="1"/>
    </xf>
    <xf numFmtId="0" fontId="36" fillId="13" borderId="2" xfId="0" applyFont="1" applyFill="1" applyBorder="1" applyAlignment="1">
      <alignment horizontal="left" vertical="center" wrapText="1"/>
    </xf>
    <xf numFmtId="0" fontId="36" fillId="13" borderId="3" xfId="0" applyFont="1" applyFill="1" applyBorder="1" applyAlignment="1">
      <alignment horizontal="left" vertical="center" wrapText="1"/>
    </xf>
    <xf numFmtId="0" fontId="36" fillId="13" borderId="65" xfId="0" applyFont="1" applyFill="1" applyBorder="1" applyAlignment="1">
      <alignment horizontal="left" vertical="center" wrapText="1"/>
    </xf>
    <xf numFmtId="2" fontId="36" fillId="29" borderId="14" xfId="0" applyNumberFormat="1" applyFont="1" applyFill="1" applyBorder="1" applyAlignment="1">
      <alignment horizontal="left" vertical="top" wrapText="1"/>
    </xf>
    <xf numFmtId="2" fontId="36" fillId="29" borderId="15" xfId="0" applyNumberFormat="1" applyFont="1" applyFill="1" applyBorder="1" applyAlignment="1">
      <alignment horizontal="left" vertical="top" wrapText="1"/>
    </xf>
    <xf numFmtId="2" fontId="36" fillId="29" borderId="7" xfId="0" applyNumberFormat="1" applyFont="1" applyFill="1" applyBorder="1" applyAlignment="1">
      <alignment horizontal="left" vertical="top" wrapText="1"/>
    </xf>
    <xf numFmtId="0" fontId="36" fillId="13" borderId="14" xfId="0" applyNumberFormat="1" applyFont="1" applyFill="1" applyBorder="1" applyAlignment="1">
      <alignment horizontal="left" vertical="top" wrapText="1"/>
    </xf>
    <xf numFmtId="0" fontId="36" fillId="13" borderId="15" xfId="0" applyNumberFormat="1" applyFont="1" applyFill="1" applyBorder="1" applyAlignment="1">
      <alignment horizontal="left" vertical="top" wrapText="1"/>
    </xf>
    <xf numFmtId="0" fontId="65" fillId="0" borderId="37" xfId="0" applyFont="1" applyFill="1" applyBorder="1" applyAlignment="1">
      <alignment horizontal="center" vertical="center" textRotation="90" wrapText="1"/>
    </xf>
    <xf numFmtId="0" fontId="65" fillId="0" borderId="61" xfId="0" applyFont="1" applyFill="1" applyBorder="1" applyAlignment="1">
      <alignment horizontal="center" vertical="center" textRotation="90" wrapText="1"/>
    </xf>
    <xf numFmtId="0" fontId="65" fillId="0" borderId="30" xfId="0" applyFont="1" applyFill="1" applyBorder="1" applyAlignment="1">
      <alignment horizontal="center" vertical="center" textRotation="90" wrapText="1"/>
    </xf>
    <xf numFmtId="0" fontId="54" fillId="0" borderId="21" xfId="0" applyFont="1" applyFill="1" applyBorder="1" applyAlignment="1">
      <alignment horizontal="center" vertical="center" textRotation="90" wrapText="1"/>
    </xf>
    <xf numFmtId="0" fontId="54" fillId="0" borderId="61" xfId="0" applyFont="1" applyFill="1" applyBorder="1" applyAlignment="1">
      <alignment horizontal="center" vertical="center" textRotation="90" wrapText="1"/>
    </xf>
    <xf numFmtId="0" fontId="54" fillId="0" borderId="30" xfId="0" applyFont="1" applyFill="1" applyBorder="1" applyAlignment="1">
      <alignment horizontal="center" vertical="center" textRotation="90" wrapText="1"/>
    </xf>
    <xf numFmtId="0" fontId="48" fillId="0" borderId="27" xfId="0" applyFont="1" applyFill="1" applyBorder="1" applyAlignment="1">
      <alignment horizontal="center" vertical="center" textRotation="90" wrapText="1"/>
    </xf>
    <xf numFmtId="0" fontId="48" fillId="0" borderId="24" xfId="0" applyFont="1" applyFill="1" applyBorder="1" applyAlignment="1">
      <alignment horizontal="center" vertical="center" textRotation="90" wrapText="1"/>
    </xf>
    <xf numFmtId="0" fontId="66" fillId="0" borderId="16" xfId="0" applyFont="1" applyFill="1" applyBorder="1" applyAlignment="1">
      <alignment horizontal="center" vertical="center" textRotation="90" wrapText="1"/>
    </xf>
    <xf numFmtId="0" fontId="52" fillId="0" borderId="21" xfId="0" applyFont="1" applyFill="1" applyBorder="1" applyAlignment="1">
      <alignment horizontal="center" vertical="center" textRotation="90" wrapText="1"/>
    </xf>
    <xf numFmtId="0" fontId="36" fillId="0" borderId="16" xfId="0" applyFont="1" applyFill="1" applyBorder="1" applyAlignment="1">
      <alignment horizontal="center" vertical="center"/>
    </xf>
    <xf numFmtId="0" fontId="36" fillId="0" borderId="21" xfId="0" applyFont="1" applyFill="1" applyBorder="1" applyAlignment="1">
      <alignment horizontal="center" vertical="center" textRotation="90" wrapText="1"/>
    </xf>
    <xf numFmtId="0" fontId="36" fillId="0" borderId="27" xfId="0" applyFont="1" applyFill="1" applyBorder="1" applyAlignment="1">
      <alignment horizontal="center" vertical="center" textRotation="90" wrapText="1"/>
    </xf>
    <xf numFmtId="0" fontId="36" fillId="0" borderId="61" xfId="0" applyFont="1" applyFill="1" applyBorder="1" applyAlignment="1">
      <alignment horizontal="center" vertical="center" textRotation="90" wrapText="1"/>
    </xf>
    <xf numFmtId="0" fontId="36" fillId="0" borderId="30" xfId="0" applyFont="1" applyFill="1" applyBorder="1" applyAlignment="1">
      <alignment horizontal="center" vertical="center" textRotation="90" wrapText="1"/>
    </xf>
    <xf numFmtId="0" fontId="36" fillId="13" borderId="2" xfId="0" applyFont="1" applyFill="1" applyBorder="1" applyAlignment="1">
      <alignment horizontal="left" vertical="center"/>
    </xf>
    <xf numFmtId="0" fontId="36" fillId="13" borderId="3" xfId="0" applyFont="1" applyFill="1" applyBorder="1" applyAlignment="1">
      <alignment horizontal="left" vertical="center"/>
    </xf>
    <xf numFmtId="0" fontId="53" fillId="0" borderId="16" xfId="0" applyFont="1" applyFill="1" applyBorder="1" applyAlignment="1">
      <alignment horizontal="center" vertical="center" textRotation="90" wrapText="1"/>
    </xf>
    <xf numFmtId="0" fontId="53" fillId="0" borderId="20" xfId="0" applyFont="1" applyFill="1" applyBorder="1" applyAlignment="1">
      <alignment horizontal="center" vertical="center" textRotation="90" wrapText="1"/>
    </xf>
    <xf numFmtId="0" fontId="65" fillId="0" borderId="22" xfId="0" applyFont="1" applyFill="1" applyBorder="1" applyAlignment="1">
      <alignment horizontal="center" vertical="center" textRotation="90" wrapText="1"/>
    </xf>
    <xf numFmtId="0" fontId="65" fillId="0" borderId="0" xfId="0" applyFont="1" applyFill="1" applyBorder="1" applyAlignment="1">
      <alignment horizontal="center" vertical="center" textRotation="90" wrapText="1"/>
    </xf>
    <xf numFmtId="0" fontId="65" fillId="0" borderId="28" xfId="0" applyFont="1" applyFill="1" applyBorder="1" applyAlignment="1">
      <alignment horizontal="center" vertical="center" textRotation="90" wrapText="1"/>
    </xf>
    <xf numFmtId="0" fontId="65" fillId="0" borderId="26" xfId="0" applyFont="1" applyFill="1" applyBorder="1" applyAlignment="1">
      <alignment horizontal="center" vertical="center" textRotation="90" wrapText="1"/>
    </xf>
    <xf numFmtId="0" fontId="36" fillId="13" borderId="40" xfId="0" applyFont="1" applyFill="1" applyBorder="1" applyAlignment="1">
      <alignment horizontal="left" vertical="top" wrapText="1"/>
    </xf>
    <xf numFmtId="0" fontId="36" fillId="13" borderId="66" xfId="0" applyFont="1" applyFill="1" applyBorder="1" applyAlignment="1">
      <alignment horizontal="left" vertical="top" wrapText="1"/>
    </xf>
    <xf numFmtId="0" fontId="36" fillId="13" borderId="74" xfId="0" applyFont="1" applyFill="1" applyBorder="1" applyAlignment="1">
      <alignment horizontal="left" vertical="top" wrapText="1"/>
    </xf>
    <xf numFmtId="0" fontId="36" fillId="13" borderId="49" xfId="0" applyFont="1" applyFill="1" applyBorder="1" applyAlignment="1">
      <alignment horizontal="justify" vertical="top" wrapText="1"/>
    </xf>
    <xf numFmtId="0" fontId="36" fillId="13" borderId="51" xfId="0" applyFont="1" applyFill="1" applyBorder="1" applyAlignment="1">
      <alignment horizontal="justify" vertical="top" wrapText="1"/>
    </xf>
    <xf numFmtId="0" fontId="36" fillId="13" borderId="75" xfId="0" applyFont="1" applyFill="1" applyBorder="1" applyAlignment="1">
      <alignment horizontal="justify" vertical="top" wrapText="1"/>
    </xf>
    <xf numFmtId="0" fontId="30" fillId="0" borderId="16" xfId="0" applyFont="1" applyFill="1" applyBorder="1" applyAlignment="1">
      <alignment horizontal="center" vertical="center" wrapText="1"/>
    </xf>
    <xf numFmtId="0" fontId="36" fillId="13" borderId="7" xfId="0" applyFont="1" applyFill="1" applyBorder="1" applyAlignment="1">
      <alignment horizontal="left" vertical="top" wrapText="1"/>
    </xf>
    <xf numFmtId="0" fontId="53" fillId="0" borderId="37" xfId="0" applyFont="1" applyBorder="1" applyAlignment="1">
      <alignment horizontal="center" vertical="center" textRotation="90" wrapText="1"/>
    </xf>
    <xf numFmtId="0" fontId="53" fillId="0" borderId="61" xfId="0" applyFont="1" applyBorder="1" applyAlignment="1">
      <alignment horizontal="center" vertical="center" textRotation="90" wrapText="1"/>
    </xf>
    <xf numFmtId="0" fontId="53" fillId="0" borderId="30" xfId="0" applyFont="1" applyBorder="1" applyAlignment="1">
      <alignment horizontal="center" vertical="center" textRotation="90" wrapText="1"/>
    </xf>
    <xf numFmtId="0" fontId="54" fillId="0" borderId="27" xfId="0" applyFont="1" applyFill="1" applyBorder="1" applyAlignment="1">
      <alignment horizontal="center" vertical="center" textRotation="90" wrapText="1"/>
    </xf>
    <xf numFmtId="0" fontId="36" fillId="13" borderId="14" xfId="6" applyFont="1" applyFill="1" applyBorder="1" applyAlignment="1">
      <alignment horizontal="justify" vertical="top" wrapText="1"/>
    </xf>
    <xf numFmtId="0" fontId="36" fillId="13" borderId="15" xfId="6" applyFont="1" applyFill="1" applyBorder="1" applyAlignment="1">
      <alignment horizontal="justify" vertical="top" wrapText="1"/>
    </xf>
    <xf numFmtId="0" fontId="36" fillId="13" borderId="7" xfId="6" applyFont="1" applyFill="1" applyBorder="1" applyAlignment="1">
      <alignment horizontal="justify" vertical="top" wrapText="1"/>
    </xf>
    <xf numFmtId="0" fontId="31" fillId="12" borderId="47" xfId="0" applyFont="1" applyFill="1" applyBorder="1" applyAlignment="1">
      <alignment horizontal="center" vertical="center" wrapText="1"/>
    </xf>
    <xf numFmtId="0" fontId="31" fillId="12" borderId="22" xfId="0" applyFont="1" applyFill="1" applyBorder="1" applyAlignment="1">
      <alignment horizontal="center" vertical="center" wrapText="1"/>
    </xf>
    <xf numFmtId="0" fontId="31" fillId="12" borderId="48" xfId="0" applyFont="1" applyFill="1" applyBorder="1" applyAlignment="1">
      <alignment horizontal="center" vertical="center" wrapText="1"/>
    </xf>
    <xf numFmtId="0" fontId="33" fillId="13" borderId="23" xfId="0" applyFont="1" applyFill="1" applyBorder="1" applyAlignment="1">
      <alignment horizontal="center" vertical="center" wrapText="1"/>
    </xf>
    <xf numFmtId="0" fontId="33" fillId="13" borderId="28" xfId="0" applyFont="1" applyFill="1" applyBorder="1" applyAlignment="1">
      <alignment horizontal="center" vertical="center" wrapText="1"/>
    </xf>
    <xf numFmtId="0" fontId="35" fillId="13" borderId="15" xfId="0" applyFont="1" applyFill="1" applyBorder="1" applyAlignment="1">
      <alignment horizontal="center" vertical="top" wrapText="1"/>
    </xf>
    <xf numFmtId="0" fontId="35" fillId="13" borderId="3" xfId="0" applyFont="1" applyFill="1" applyBorder="1" applyAlignment="1">
      <alignment horizontal="center" vertical="top" wrapText="1"/>
    </xf>
    <xf numFmtId="0" fontId="31" fillId="14" borderId="14" xfId="0" applyFont="1" applyFill="1" applyBorder="1" applyAlignment="1">
      <alignment horizontal="center" vertical="top" wrapText="1"/>
    </xf>
    <xf numFmtId="0" fontId="31" fillId="14" borderId="15" xfId="0" applyFont="1" applyFill="1" applyBorder="1" applyAlignment="1">
      <alignment horizontal="center" vertical="top" wrapText="1"/>
    </xf>
    <xf numFmtId="0" fontId="36" fillId="13" borderId="1" xfId="0" applyFont="1" applyFill="1" applyBorder="1" applyAlignment="1">
      <alignment horizontal="center" vertical="top" wrapText="1"/>
    </xf>
    <xf numFmtId="0" fontId="36" fillId="13" borderId="5" xfId="0" applyFont="1" applyFill="1" applyBorder="1" applyAlignment="1">
      <alignment horizontal="center" vertical="top" wrapText="1"/>
    </xf>
    <xf numFmtId="0" fontId="30" fillId="0" borderId="3" xfId="5" applyFont="1" applyFill="1" applyBorder="1" applyAlignment="1">
      <alignment horizontal="left" vertical="top" wrapText="1"/>
    </xf>
    <xf numFmtId="0" fontId="53" fillId="0" borderId="22" xfId="0" applyFont="1" applyFill="1" applyBorder="1" applyAlignment="1">
      <alignment horizontal="center" vertical="center" textRotation="90" wrapText="1"/>
    </xf>
    <xf numFmtId="0" fontId="53" fillId="0" borderId="0" xfId="0" applyFont="1" applyFill="1" applyBorder="1" applyAlignment="1">
      <alignment horizontal="center" vertical="center" textRotation="90" wrapText="1"/>
    </xf>
    <xf numFmtId="0" fontId="53" fillId="0" borderId="11" xfId="0" applyFont="1" applyFill="1" applyBorder="1" applyAlignment="1">
      <alignment horizontal="center" vertical="center" textRotation="90" wrapText="1"/>
    </xf>
    <xf numFmtId="0" fontId="54" fillId="0" borderId="37" xfId="0" applyFont="1" applyFill="1" applyBorder="1" applyAlignment="1">
      <alignment horizontal="center" vertical="center" textRotation="90" wrapText="1"/>
    </xf>
    <xf numFmtId="0" fontId="55" fillId="0" borderId="37" xfId="0" applyFont="1" applyBorder="1" applyAlignment="1">
      <alignment horizontal="center" vertical="center" textRotation="90" wrapText="1"/>
    </xf>
    <xf numFmtId="0" fontId="55" fillId="0" borderId="61" xfId="0" applyFont="1" applyBorder="1" applyAlignment="1">
      <alignment horizontal="center" vertical="center" textRotation="90" wrapText="1"/>
    </xf>
    <xf numFmtId="0" fontId="55" fillId="0" borderId="30" xfId="0" applyFont="1" applyBorder="1" applyAlignment="1">
      <alignment horizontal="center" vertical="center" textRotation="90" wrapText="1"/>
    </xf>
    <xf numFmtId="0" fontId="55" fillId="0" borderId="63" xfId="0" applyFont="1" applyBorder="1" applyAlignment="1">
      <alignment horizontal="center" vertical="center" textRotation="90" wrapText="1"/>
    </xf>
    <xf numFmtId="0" fontId="55" fillId="0" borderId="27" xfId="0" applyFont="1" applyBorder="1" applyAlignment="1">
      <alignment horizontal="center" vertical="center" textRotation="90" wrapText="1"/>
    </xf>
    <xf numFmtId="0" fontId="50" fillId="0" borderId="25" xfId="0" applyFont="1" applyFill="1" applyBorder="1" applyAlignment="1">
      <alignment horizontal="center" vertical="center" wrapText="1"/>
    </xf>
    <xf numFmtId="0" fontId="51" fillId="13" borderId="14" xfId="0" applyFont="1" applyFill="1" applyBorder="1" applyAlignment="1">
      <alignment horizontal="center" vertical="center" wrapText="1"/>
    </xf>
    <xf numFmtId="0" fontId="51" fillId="13" borderId="15" xfId="0" applyFont="1" applyFill="1" applyBorder="1" applyAlignment="1">
      <alignment horizontal="center" vertical="center" wrapText="1"/>
    </xf>
    <xf numFmtId="0" fontId="51" fillId="13" borderId="42" xfId="0" applyFont="1" applyFill="1" applyBorder="1" applyAlignment="1">
      <alignment horizontal="center" vertical="center" textRotation="90" wrapText="1"/>
    </xf>
    <xf numFmtId="0" fontId="51" fillId="13" borderId="44" xfId="0" applyFont="1" applyFill="1" applyBorder="1" applyAlignment="1">
      <alignment horizontal="center" vertical="center" textRotation="90" wrapText="1"/>
    </xf>
    <xf numFmtId="0" fontId="51" fillId="13" borderId="50" xfId="0" applyFont="1" applyFill="1" applyBorder="1" applyAlignment="1">
      <alignment horizontal="center" vertical="center" textRotation="90" wrapText="1"/>
    </xf>
    <xf numFmtId="0" fontId="31" fillId="12" borderId="19" xfId="0" applyFont="1" applyFill="1" applyBorder="1" applyAlignment="1">
      <alignment horizontal="center" vertical="center" wrapText="1"/>
    </xf>
    <xf numFmtId="0" fontId="31" fillId="12" borderId="20" xfId="0" applyFont="1" applyFill="1" applyBorder="1" applyAlignment="1">
      <alignment horizontal="center" vertical="center" wrapText="1"/>
    </xf>
    <xf numFmtId="0" fontId="51" fillId="13" borderId="61" xfId="0" applyFont="1" applyFill="1" applyBorder="1" applyAlignment="1">
      <alignment horizontal="center" vertical="center" textRotation="90" wrapText="1"/>
    </xf>
    <xf numFmtId="0" fontId="0" fillId="0" borderId="61" xfId="0" applyBorder="1"/>
    <xf numFmtId="0" fontId="0" fillId="0" borderId="30" xfId="0" applyBorder="1"/>
    <xf numFmtId="0" fontId="51" fillId="13" borderId="30" xfId="0" applyFont="1" applyFill="1" applyBorder="1" applyAlignment="1">
      <alignment horizontal="center" vertical="center" textRotation="90" wrapText="1"/>
    </xf>
    <xf numFmtId="0" fontId="51" fillId="13" borderId="16" xfId="0" applyFont="1" applyFill="1" applyBorder="1" applyAlignment="1">
      <alignment horizontal="center" vertical="center" textRotation="90" wrapText="1"/>
    </xf>
    <xf numFmtId="0" fontId="51" fillId="13" borderId="37" xfId="0" applyFont="1" applyFill="1" applyBorder="1" applyAlignment="1">
      <alignment horizontal="center" vertical="center" textRotation="90" wrapText="1"/>
    </xf>
    <xf numFmtId="0" fontId="51" fillId="13" borderId="24" xfId="0" applyFont="1" applyFill="1" applyBorder="1" applyAlignment="1">
      <alignment horizontal="center" vertical="center" textRotation="90" wrapText="1"/>
    </xf>
    <xf numFmtId="0" fontId="51" fillId="13" borderId="18" xfId="0" applyFont="1" applyFill="1" applyBorder="1" applyAlignment="1">
      <alignment horizontal="center" vertical="center" textRotation="90" wrapText="1"/>
    </xf>
    <xf numFmtId="0" fontId="51" fillId="13" borderId="21" xfId="0" applyFont="1" applyFill="1" applyBorder="1" applyAlignment="1">
      <alignment horizontal="center" vertical="center" textRotation="90" wrapText="1"/>
    </xf>
    <xf numFmtId="0" fontId="38" fillId="11" borderId="11" xfId="5" applyFont="1" applyFill="1" applyBorder="1" applyAlignment="1">
      <alignment horizontal="center" vertical="center"/>
    </xf>
    <xf numFmtId="0" fontId="38" fillId="13" borderId="2" xfId="5" applyFont="1" applyFill="1" applyBorder="1" applyAlignment="1">
      <alignment horizontal="center" vertical="center" wrapText="1"/>
    </xf>
    <xf numFmtId="0" fontId="38" fillId="13" borderId="52" xfId="5" applyFont="1" applyFill="1" applyBorder="1" applyAlignment="1">
      <alignment horizontal="center" vertical="center" wrapText="1"/>
    </xf>
    <xf numFmtId="0" fontId="38" fillId="13" borderId="14" xfId="5" applyFont="1" applyFill="1" applyBorder="1" applyAlignment="1">
      <alignment horizontal="center" vertical="center" wrapText="1"/>
    </xf>
    <xf numFmtId="0" fontId="38" fillId="13" borderId="7" xfId="5" applyFont="1" applyFill="1" applyBorder="1" applyAlignment="1">
      <alignment horizontal="center" vertical="center" wrapText="1"/>
    </xf>
    <xf numFmtId="0" fontId="30" fillId="11" borderId="14" xfId="0" applyFont="1" applyFill="1" applyBorder="1" applyAlignment="1">
      <alignment horizontal="center" vertical="center" wrapText="1"/>
    </xf>
    <xf numFmtId="0" fontId="30" fillId="11" borderId="15" xfId="0" applyFont="1" applyFill="1" applyBorder="1" applyAlignment="1">
      <alignment horizontal="center" vertical="center" wrapText="1"/>
    </xf>
    <xf numFmtId="0" fontId="30" fillId="11" borderId="7" xfId="0" applyFont="1" applyFill="1" applyBorder="1" applyAlignment="1">
      <alignment horizontal="center" vertical="center" wrapText="1"/>
    </xf>
    <xf numFmtId="0" fontId="31" fillId="12" borderId="14" xfId="0" applyFont="1" applyFill="1" applyBorder="1" applyAlignment="1">
      <alignment horizontal="left" vertical="center" wrapText="1"/>
    </xf>
    <xf numFmtId="0" fontId="31" fillId="12" borderId="15" xfId="0" applyFont="1" applyFill="1" applyBorder="1" applyAlignment="1">
      <alignment horizontal="left" vertical="center" wrapText="1"/>
    </xf>
    <xf numFmtId="0" fontId="31" fillId="12" borderId="7" xfId="0" applyFont="1" applyFill="1" applyBorder="1" applyAlignment="1">
      <alignment horizontal="left" vertical="center" wrapText="1"/>
    </xf>
    <xf numFmtId="0" fontId="31" fillId="12" borderId="14" xfId="5" applyFont="1" applyFill="1" applyBorder="1" applyAlignment="1">
      <alignment horizontal="left" vertical="center" wrapText="1"/>
    </xf>
    <xf numFmtId="0" fontId="31" fillId="12" borderId="15" xfId="5" applyFont="1" applyFill="1" applyBorder="1" applyAlignment="1">
      <alignment horizontal="left" vertical="center" wrapText="1"/>
    </xf>
    <xf numFmtId="0" fontId="31" fillId="12" borderId="14" xfId="5" applyFont="1" applyFill="1" applyBorder="1" applyAlignment="1">
      <alignment horizontal="center" vertical="center" wrapText="1"/>
    </xf>
    <xf numFmtId="0" fontId="31" fillId="12" borderId="15" xfId="5" applyFont="1" applyFill="1" applyBorder="1" applyAlignment="1">
      <alignment horizontal="center" vertical="center" wrapText="1"/>
    </xf>
    <xf numFmtId="0" fontId="31" fillId="12" borderId="7" xfId="5" applyFont="1" applyFill="1" applyBorder="1" applyAlignment="1">
      <alignment horizontal="center" vertical="center" wrapText="1"/>
    </xf>
    <xf numFmtId="0" fontId="42" fillId="0" borderId="0" xfId="0" applyFont="1" applyBorder="1" applyAlignment="1" applyProtection="1">
      <alignment horizontal="center"/>
    </xf>
    <xf numFmtId="0" fontId="42" fillId="0" borderId="0" xfId="0" applyFont="1" applyAlignment="1">
      <alignment horizontal="center"/>
    </xf>
    <xf numFmtId="0" fontId="48" fillId="0" borderId="14" xfId="0" applyFont="1" applyBorder="1" applyAlignment="1" applyProtection="1">
      <alignment horizontal="center" vertical="top" wrapText="1"/>
    </xf>
    <xf numFmtId="0" fontId="48" fillId="0" borderId="15" xfId="0" applyFont="1" applyBorder="1" applyAlignment="1" applyProtection="1">
      <alignment horizontal="center" vertical="top" wrapText="1"/>
    </xf>
    <xf numFmtId="0" fontId="48" fillId="0" borderId="7" xfId="0" applyFont="1" applyBorder="1" applyAlignment="1" applyProtection="1">
      <alignment horizontal="center" vertical="top" wrapText="1"/>
    </xf>
    <xf numFmtId="0" fontId="42" fillId="11" borderId="0" xfId="5" applyFont="1" applyFill="1" applyBorder="1" applyAlignment="1">
      <alignment horizontal="center" vertical="center"/>
    </xf>
    <xf numFmtId="0" fontId="42" fillId="0" borderId="11" xfId="0" applyFont="1" applyBorder="1" applyAlignment="1">
      <alignment horizontal="center"/>
    </xf>
    <xf numFmtId="0" fontId="42" fillId="0" borderId="14" xfId="0" applyFont="1" applyBorder="1" applyAlignment="1" applyProtection="1">
      <alignment horizontal="center"/>
    </xf>
    <xf numFmtId="0" fontId="42" fillId="0" borderId="15" xfId="0" applyFont="1" applyBorder="1" applyAlignment="1" applyProtection="1">
      <alignment horizontal="center"/>
    </xf>
    <xf numFmtId="0" fontId="42" fillId="0" borderId="7" xfId="0" applyFont="1" applyBorder="1" applyAlignment="1" applyProtection="1">
      <alignment horizontal="center"/>
    </xf>
    <xf numFmtId="0" fontId="48" fillId="0" borderId="1" xfId="0" applyFont="1" applyBorder="1" applyAlignment="1" applyProtection="1">
      <alignment horizontal="center" vertical="center" wrapText="1"/>
    </xf>
    <xf numFmtId="0" fontId="48" fillId="0" borderId="5" xfId="0" applyFont="1" applyBorder="1" applyAlignment="1" applyProtection="1">
      <alignment horizontal="center" vertical="center" wrapText="1"/>
    </xf>
    <xf numFmtId="0" fontId="4" fillId="0" borderId="1" xfId="0" applyFont="1" applyBorder="1" applyAlignment="1" applyProtection="1">
      <alignment horizontal="left" vertical="top" wrapText="1"/>
    </xf>
    <xf numFmtId="0" fontId="4" fillId="0" borderId="5" xfId="0" applyFont="1" applyBorder="1" applyAlignment="1" applyProtection="1">
      <alignment horizontal="left" vertical="top" wrapText="1"/>
    </xf>
    <xf numFmtId="0" fontId="4" fillId="0" borderId="13" xfId="0" applyFont="1" applyBorder="1" applyAlignment="1" applyProtection="1">
      <alignment horizontal="left" vertical="top" wrapText="1"/>
    </xf>
    <xf numFmtId="0" fontId="3" fillId="0" borderId="10" xfId="0" applyFont="1" applyBorder="1" applyAlignment="1" applyProtection="1">
      <alignment vertical="top" wrapText="1"/>
    </xf>
    <xf numFmtId="0" fontId="3" fillId="0" borderId="11" xfId="0" applyFont="1" applyBorder="1" applyAlignment="1" applyProtection="1">
      <alignment vertical="top" wrapText="1"/>
    </xf>
    <xf numFmtId="0" fontId="3" fillId="0" borderId="8" xfId="0" applyFont="1" applyBorder="1" applyAlignment="1" applyProtection="1">
      <alignment vertical="top" wrapText="1"/>
    </xf>
    <xf numFmtId="0" fontId="4" fillId="0" borderId="2" xfId="0" applyFont="1" applyBorder="1" applyAlignment="1" applyProtection="1">
      <alignment vertical="top" wrapText="1"/>
    </xf>
    <xf numFmtId="0" fontId="4" fillId="0" borderId="3" xfId="0" applyFont="1" applyBorder="1" applyAlignment="1" applyProtection="1">
      <alignment vertical="top" wrapText="1"/>
    </xf>
    <xf numFmtId="0" fontId="4" fillId="0" borderId="4" xfId="0" applyFont="1" applyBorder="1" applyAlignment="1" applyProtection="1">
      <alignment vertical="top" wrapText="1"/>
    </xf>
    <xf numFmtId="0" fontId="3" fillId="0" borderId="9" xfId="0" applyFont="1" applyBorder="1" applyAlignment="1" applyProtection="1">
      <alignment vertical="top" wrapText="1"/>
    </xf>
    <xf numFmtId="0" fontId="3" fillId="0" borderId="0" xfId="0" applyFont="1" applyBorder="1" applyAlignment="1" applyProtection="1">
      <alignment vertical="top" wrapText="1"/>
    </xf>
    <xf numFmtId="0" fontId="3" fillId="0" borderId="6" xfId="0" applyFont="1" applyBorder="1" applyAlignment="1" applyProtection="1">
      <alignment vertical="top" wrapText="1"/>
    </xf>
    <xf numFmtId="0" fontId="4" fillId="0" borderId="9" xfId="0" applyFont="1" applyBorder="1" applyAlignment="1" applyProtection="1">
      <alignment vertical="top" wrapText="1"/>
    </xf>
    <xf numFmtId="0" fontId="4" fillId="0" borderId="0" xfId="0" applyFont="1" applyBorder="1" applyAlignment="1" applyProtection="1">
      <alignment vertical="top" wrapText="1"/>
    </xf>
    <xf numFmtId="0" fontId="4" fillId="0" borderId="6" xfId="0" applyFont="1" applyBorder="1" applyAlignment="1" applyProtection="1">
      <alignment vertical="top" wrapText="1"/>
    </xf>
    <xf numFmtId="0" fontId="9" fillId="0" borderId="9" xfId="0" applyFont="1" applyBorder="1" applyAlignment="1" applyProtection="1">
      <alignment vertical="top" wrapText="1"/>
    </xf>
    <xf numFmtId="0" fontId="9" fillId="0" borderId="0" xfId="0" applyFont="1" applyBorder="1" applyAlignment="1" applyProtection="1">
      <alignment vertical="top" wrapText="1"/>
    </xf>
    <xf numFmtId="0" fontId="9" fillId="0" borderId="6" xfId="0" applyFont="1" applyBorder="1" applyAlignment="1" applyProtection="1">
      <alignment vertical="top" wrapText="1"/>
    </xf>
    <xf numFmtId="0" fontId="3" fillId="0" borderId="2" xfId="0" applyFont="1" applyBorder="1" applyAlignment="1" applyProtection="1">
      <alignment vertical="top" wrapText="1"/>
    </xf>
    <xf numFmtId="0" fontId="3" fillId="0" borderId="3" xfId="0" applyFont="1" applyBorder="1" applyAlignment="1" applyProtection="1">
      <alignment vertical="top" wrapText="1"/>
    </xf>
    <xf numFmtId="0" fontId="3" fillId="0" borderId="4" xfId="0" applyFont="1" applyBorder="1" applyAlignment="1" applyProtection="1">
      <alignment vertical="top" wrapText="1"/>
    </xf>
    <xf numFmtId="0" fontId="12" fillId="0" borderId="14" xfId="0" applyFont="1" applyBorder="1" applyAlignment="1" applyProtection="1">
      <alignment vertical="top" wrapText="1"/>
    </xf>
    <xf numFmtId="0" fontId="12" fillId="0" borderId="15" xfId="0" applyFont="1" applyBorder="1" applyAlignment="1" applyProtection="1">
      <alignment vertical="top" wrapText="1"/>
    </xf>
    <xf numFmtId="0" fontId="12" fillId="0" borderId="7" xfId="0" applyFont="1" applyBorder="1" applyAlignment="1" applyProtection="1">
      <alignment vertical="top" wrapText="1"/>
    </xf>
    <xf numFmtId="0" fontId="4" fillId="0" borderId="1" xfId="0" applyFont="1" applyBorder="1" applyAlignment="1" applyProtection="1">
      <alignment vertical="top" wrapText="1"/>
    </xf>
    <xf numFmtId="0" fontId="4" fillId="0" borderId="5" xfId="0" applyFont="1" applyBorder="1" applyAlignment="1" applyProtection="1">
      <alignment vertical="top" wrapText="1"/>
    </xf>
    <xf numFmtId="0" fontId="4" fillId="0" borderId="13" xfId="0" applyFont="1" applyBorder="1" applyAlignment="1" applyProtection="1">
      <alignment vertical="top" wrapText="1"/>
    </xf>
    <xf numFmtId="0" fontId="3" fillId="3" borderId="16" xfId="0" applyFont="1" applyFill="1" applyBorder="1" applyAlignment="1" applyProtection="1">
      <alignment horizontal="center" vertical="top" wrapText="1"/>
      <protection locked="0"/>
    </xf>
    <xf numFmtId="9" fontId="4" fillId="4" borderId="14" xfId="0" applyNumberFormat="1" applyFont="1" applyFill="1" applyBorder="1" applyAlignment="1" applyProtection="1">
      <alignment horizontal="right" vertical="top"/>
    </xf>
    <xf numFmtId="9" fontId="4" fillId="4" borderId="7" xfId="0" applyNumberFormat="1" applyFont="1" applyFill="1" applyBorder="1" applyAlignment="1" applyProtection="1">
      <alignment horizontal="right" vertical="top"/>
    </xf>
    <xf numFmtId="9" fontId="3" fillId="0" borderId="2" xfId="0" applyNumberFormat="1" applyFont="1" applyFill="1" applyBorder="1" applyAlignment="1" applyProtection="1">
      <alignment vertical="top" wrapText="1"/>
    </xf>
    <xf numFmtId="9" fontId="3" fillId="0" borderId="3" xfId="0" applyNumberFormat="1" applyFont="1" applyFill="1" applyBorder="1" applyAlignment="1" applyProtection="1">
      <alignment vertical="top" wrapText="1"/>
    </xf>
    <xf numFmtId="9" fontId="3" fillId="0" borderId="4" xfId="0" applyNumberFormat="1" applyFont="1" applyFill="1" applyBorder="1" applyAlignment="1" applyProtection="1">
      <alignment vertical="top" wrapText="1"/>
    </xf>
    <xf numFmtId="0" fontId="4" fillId="0" borderId="14" xfId="0" applyFont="1" applyBorder="1" applyAlignment="1" applyProtection="1">
      <alignment vertical="top" wrapText="1"/>
    </xf>
    <xf numFmtId="0" fontId="4" fillId="0" borderId="15" xfId="0" applyFont="1" applyBorder="1" applyAlignment="1" applyProtection="1">
      <alignment vertical="top" wrapText="1"/>
    </xf>
    <xf numFmtId="0" fontId="4" fillId="0" borderId="7" xfId="0" applyFont="1" applyBorder="1" applyAlignment="1" applyProtection="1">
      <alignment vertical="top" wrapText="1"/>
    </xf>
    <xf numFmtId="0" fontId="4" fillId="0" borderId="10" xfId="0" applyFont="1" applyBorder="1" applyAlignment="1" applyProtection="1">
      <alignment vertical="top" wrapText="1"/>
    </xf>
    <xf numFmtId="0" fontId="4" fillId="0" borderId="11" xfId="0" applyFont="1" applyBorder="1" applyAlignment="1" applyProtection="1">
      <alignment vertical="top" wrapText="1"/>
    </xf>
    <xf numFmtId="0" fontId="4" fillId="0" borderId="8" xfId="0" applyFont="1" applyBorder="1" applyAlignment="1" applyProtection="1">
      <alignment vertical="top" wrapText="1"/>
    </xf>
    <xf numFmtId="0" fontId="6" fillId="0" borderId="10" xfId="0" applyFont="1" applyBorder="1" applyAlignment="1" applyProtection="1">
      <alignment vertical="top" wrapText="1"/>
    </xf>
    <xf numFmtId="0" fontId="6" fillId="0" borderId="11" xfId="0" applyFont="1" applyBorder="1" applyAlignment="1" applyProtection="1">
      <alignment vertical="top" wrapText="1"/>
    </xf>
    <xf numFmtId="0" fontId="6" fillId="0" borderId="8" xfId="0" applyFont="1" applyBorder="1" applyAlignment="1" applyProtection="1">
      <alignment vertical="top" wrapText="1"/>
    </xf>
    <xf numFmtId="0" fontId="0" fillId="0" borderId="9" xfId="0" applyBorder="1" applyAlignment="1" applyProtection="1">
      <alignment vertical="top" wrapText="1"/>
    </xf>
    <xf numFmtId="0" fontId="0" fillId="0" borderId="0" xfId="0" applyBorder="1" applyAlignment="1" applyProtection="1">
      <alignment vertical="top" wrapText="1"/>
    </xf>
    <xf numFmtId="0" fontId="0" fillId="0" borderId="6" xfId="0" applyBorder="1" applyAlignment="1" applyProtection="1">
      <alignment vertical="top" wrapText="1"/>
    </xf>
    <xf numFmtId="0" fontId="4" fillId="0" borderId="0" xfId="0" applyFont="1" applyBorder="1" applyAlignment="1" applyProtection="1">
      <alignment horizontal="right" vertical="top" wrapText="1"/>
    </xf>
    <xf numFmtId="0" fontId="0" fillId="0" borderId="27" xfId="0" applyFill="1" applyBorder="1" applyAlignment="1" applyProtection="1">
      <alignment horizontal="left" vertical="top" wrapText="1"/>
      <protection locked="0"/>
    </xf>
    <xf numFmtId="0" fontId="0" fillId="0" borderId="0" xfId="0" applyFill="1" applyAlignment="1" applyProtection="1">
      <alignment horizontal="left" vertical="top" wrapText="1"/>
      <protection locked="0"/>
    </xf>
    <xf numFmtId="0" fontId="14" fillId="0" borderId="0" xfId="0" applyFont="1" applyFill="1" applyBorder="1" applyAlignment="1" applyProtection="1">
      <alignment horizontal="left" vertical="top" wrapText="1"/>
      <protection locked="0"/>
    </xf>
    <xf numFmtId="0" fontId="14" fillId="3" borderId="18" xfId="0" applyFont="1" applyFill="1" applyBorder="1" applyAlignment="1" applyProtection="1">
      <alignment horizontal="left" vertical="top" wrapText="1"/>
      <protection locked="0"/>
    </xf>
    <xf numFmtId="0" fontId="14" fillId="3" borderId="19" xfId="0" applyFont="1" applyFill="1" applyBorder="1" applyAlignment="1" applyProtection="1">
      <alignment horizontal="left" vertical="top" wrapText="1"/>
      <protection locked="0"/>
    </xf>
    <xf numFmtId="0" fontId="14" fillId="3" borderId="20" xfId="0" applyFont="1" applyFill="1" applyBorder="1" applyAlignment="1" applyProtection="1">
      <alignment horizontal="left" vertical="top" wrapText="1"/>
      <protection locked="0"/>
    </xf>
    <xf numFmtId="0" fontId="0" fillId="0" borderId="27" xfId="0" applyFill="1" applyBorder="1" applyAlignment="1" applyProtection="1">
      <alignment horizontal="left" vertical="top"/>
      <protection hidden="1"/>
    </xf>
    <xf numFmtId="0" fontId="0" fillId="0" borderId="0" xfId="0" applyFill="1" applyBorder="1" applyAlignment="1" applyProtection="1">
      <alignment horizontal="left" vertical="top"/>
      <protection hidden="1"/>
    </xf>
    <xf numFmtId="0" fontId="3" fillId="3" borderId="18" xfId="0" applyFont="1" applyFill="1" applyBorder="1" applyAlignment="1" applyProtection="1">
      <alignment horizontal="left" vertical="top" wrapText="1"/>
      <protection locked="0"/>
    </xf>
    <xf numFmtId="0" fontId="3" fillId="3" borderId="19" xfId="0" applyFont="1" applyFill="1" applyBorder="1" applyAlignment="1" applyProtection="1">
      <alignment horizontal="left" vertical="top" wrapText="1"/>
      <protection locked="0"/>
    </xf>
    <xf numFmtId="0" fontId="3" fillId="3" borderId="20" xfId="0" applyFont="1" applyFill="1" applyBorder="1" applyAlignment="1" applyProtection="1">
      <alignment horizontal="left" vertical="top" wrapText="1"/>
      <protection locked="0"/>
    </xf>
    <xf numFmtId="0" fontId="4" fillId="0" borderId="0" xfId="0" applyFont="1" applyAlignment="1" applyProtection="1">
      <alignment vertical="top" wrapText="1"/>
    </xf>
    <xf numFmtId="0" fontId="3" fillId="0" borderId="0" xfId="0" applyFont="1" applyAlignment="1" applyProtection="1">
      <alignment vertical="top" wrapText="1"/>
    </xf>
    <xf numFmtId="0" fontId="0" fillId="0" borderId="0" xfId="0" applyAlignment="1" applyProtection="1">
      <alignment vertical="top" wrapText="1"/>
    </xf>
    <xf numFmtId="0" fontId="3" fillId="3" borderId="18" xfId="0" applyFont="1" applyFill="1" applyBorder="1" applyAlignment="1" applyProtection="1">
      <alignment horizontal="center" vertical="top" wrapText="1"/>
      <protection locked="0"/>
    </xf>
    <xf numFmtId="0" fontId="3" fillId="3" borderId="19" xfId="0" applyFont="1" applyFill="1" applyBorder="1" applyAlignment="1" applyProtection="1">
      <alignment horizontal="center" vertical="top" wrapText="1"/>
      <protection locked="0"/>
    </xf>
    <xf numFmtId="0" fontId="3" fillId="3" borderId="20" xfId="0" applyFont="1" applyFill="1" applyBorder="1" applyAlignment="1" applyProtection="1">
      <alignment horizontal="center" vertical="top" wrapText="1"/>
      <protection locked="0"/>
    </xf>
    <xf numFmtId="0" fontId="3" fillId="3" borderId="21" xfId="0" applyFont="1" applyFill="1" applyBorder="1" applyAlignment="1" applyProtection="1">
      <alignment horizontal="center" vertical="top" wrapText="1"/>
      <protection locked="0"/>
    </xf>
    <xf numFmtId="0" fontId="3" fillId="3" borderId="22" xfId="0" applyFont="1" applyFill="1" applyBorder="1" applyAlignment="1" applyProtection="1">
      <alignment horizontal="center" vertical="top" wrapText="1"/>
      <protection locked="0"/>
    </xf>
    <xf numFmtId="0" fontId="3" fillId="3" borderId="23" xfId="0" applyFont="1" applyFill="1" applyBorder="1" applyAlignment="1" applyProtection="1">
      <alignment horizontal="center" vertical="top" wrapText="1"/>
      <protection locked="0"/>
    </xf>
    <xf numFmtId="0" fontId="3" fillId="3" borderId="24" xfId="0" applyFont="1" applyFill="1" applyBorder="1" applyAlignment="1" applyProtection="1">
      <alignment horizontal="center" vertical="top" wrapText="1"/>
      <protection locked="0"/>
    </xf>
    <xf numFmtId="0" fontId="3" fillId="3" borderId="25" xfId="0" applyFont="1" applyFill="1" applyBorder="1" applyAlignment="1" applyProtection="1">
      <alignment horizontal="center" vertical="top" wrapText="1"/>
      <protection locked="0"/>
    </xf>
    <xf numFmtId="0" fontId="3" fillId="3" borderId="26" xfId="0" applyFont="1" applyFill="1" applyBorder="1" applyAlignment="1" applyProtection="1">
      <alignment horizontal="center" vertical="top" wrapText="1"/>
      <protection locked="0"/>
    </xf>
    <xf numFmtId="0" fontId="4" fillId="3" borderId="14" xfId="0" applyFont="1" applyFill="1" applyBorder="1" applyAlignment="1" applyProtection="1">
      <alignment vertical="top"/>
      <protection locked="0"/>
    </xf>
    <xf numFmtId="0" fontId="4" fillId="3" borderId="7" xfId="0" applyFont="1" applyFill="1" applyBorder="1" applyAlignment="1" applyProtection="1">
      <alignment vertical="top"/>
      <protection locked="0"/>
    </xf>
    <xf numFmtId="0" fontId="4" fillId="5" borderId="14" xfId="0" applyFont="1" applyFill="1" applyBorder="1" applyAlignment="1" applyProtection="1">
      <alignment vertical="top" wrapText="1"/>
      <protection locked="0"/>
    </xf>
    <xf numFmtId="0" fontId="4" fillId="5" borderId="7" xfId="0" applyFont="1" applyFill="1" applyBorder="1" applyAlignment="1" applyProtection="1">
      <alignment vertical="top" wrapText="1"/>
      <protection locked="0"/>
    </xf>
    <xf numFmtId="0" fontId="3" fillId="3" borderId="9" xfId="0" applyFont="1" applyFill="1" applyBorder="1" applyAlignment="1" applyProtection="1">
      <alignment horizontal="center" vertical="top" wrapText="1"/>
      <protection locked="0"/>
    </xf>
    <xf numFmtId="0" fontId="3" fillId="3" borderId="0" xfId="0" applyFont="1" applyFill="1" applyBorder="1" applyAlignment="1" applyProtection="1">
      <alignment horizontal="center" vertical="top" wrapText="1"/>
      <protection locked="0"/>
    </xf>
    <xf numFmtId="17" fontId="4" fillId="0" borderId="14" xfId="0" applyNumberFormat="1" applyFont="1" applyBorder="1" applyAlignment="1" applyProtection="1">
      <alignment vertical="top" wrapText="1"/>
    </xf>
    <xf numFmtId="17" fontId="4" fillId="0" borderId="15" xfId="0" applyNumberFormat="1" applyFont="1" applyBorder="1" applyAlignment="1" applyProtection="1">
      <alignment vertical="top" wrapText="1"/>
    </xf>
    <xf numFmtId="17" fontId="4" fillId="0" borderId="7" xfId="0" applyNumberFormat="1" applyFont="1" applyBorder="1" applyAlignment="1" applyProtection="1">
      <alignment vertical="top" wrapText="1"/>
    </xf>
    <xf numFmtId="0" fontId="3" fillId="0" borderId="14" xfId="0" applyFont="1" applyBorder="1" applyAlignment="1" applyProtection="1">
      <alignment vertical="top" wrapText="1"/>
    </xf>
    <xf numFmtId="0" fontId="3" fillId="0" borderId="7" xfId="0" applyFont="1" applyBorder="1" applyAlignment="1" applyProtection="1">
      <alignment vertical="top" wrapText="1"/>
    </xf>
    <xf numFmtId="0" fontId="4" fillId="0" borderId="1" xfId="0" applyFont="1" applyBorder="1" applyAlignment="1">
      <alignment vertical="top" wrapText="1"/>
    </xf>
    <xf numFmtId="0" fontId="4" fillId="0" borderId="5" xfId="0" applyFont="1" applyBorder="1" applyAlignment="1">
      <alignment vertical="top" wrapText="1"/>
    </xf>
    <xf numFmtId="0" fontId="4" fillId="0" borderId="13" xfId="0" applyFont="1" applyBorder="1" applyAlignment="1">
      <alignment vertical="top" wrapText="1"/>
    </xf>
    <xf numFmtId="0" fontId="12" fillId="0" borderId="14" xfId="0" applyFont="1" applyBorder="1" applyAlignment="1">
      <alignment vertical="top" wrapText="1"/>
    </xf>
    <xf numFmtId="0" fontId="12" fillId="0" borderId="15" xfId="0" applyFont="1" applyBorder="1" applyAlignment="1">
      <alignment vertical="top" wrapText="1"/>
    </xf>
    <xf numFmtId="0" fontId="12" fillId="0" borderId="7" xfId="0" applyFont="1" applyBorder="1" applyAlignment="1">
      <alignment vertical="top" wrapText="1"/>
    </xf>
    <xf numFmtId="0" fontId="4" fillId="0" borderId="14" xfId="0" applyFont="1" applyBorder="1" applyAlignment="1">
      <alignment vertical="top" wrapText="1"/>
    </xf>
    <xf numFmtId="0" fontId="4" fillId="0" borderId="15" xfId="0" applyFont="1" applyBorder="1" applyAlignment="1">
      <alignment vertical="top" wrapText="1"/>
    </xf>
    <xf numFmtId="0" fontId="4" fillId="0" borderId="7" xfId="0" applyFont="1" applyBorder="1" applyAlignment="1">
      <alignment vertical="top" wrapText="1"/>
    </xf>
    <xf numFmtId="0" fontId="4" fillId="0" borderId="29" xfId="0" applyFont="1" applyBorder="1" applyAlignment="1">
      <alignment horizontal="left" vertical="top" wrapText="1"/>
    </xf>
    <xf numFmtId="0" fontId="4" fillId="0" borderId="5" xfId="0" applyFont="1" applyBorder="1" applyAlignment="1">
      <alignment horizontal="left" vertical="top" wrapText="1"/>
    </xf>
    <xf numFmtId="0" fontId="4" fillId="0" borderId="2" xfId="0" applyFont="1" applyBorder="1" applyAlignment="1">
      <alignment vertical="top" wrapText="1"/>
    </xf>
    <xf numFmtId="0" fontId="4" fillId="0" borderId="3" xfId="0" applyFont="1" applyBorder="1" applyAlignment="1">
      <alignment vertical="top" wrapText="1"/>
    </xf>
    <xf numFmtId="0" fontId="4" fillId="0" borderId="4" xfId="0" applyFont="1" applyBorder="1" applyAlignment="1">
      <alignment vertical="top" wrapText="1"/>
    </xf>
    <xf numFmtId="0" fontId="3" fillId="0" borderId="9" xfId="0" applyFont="1" applyBorder="1" applyAlignment="1">
      <alignment vertical="top" wrapText="1"/>
    </xf>
    <xf numFmtId="0" fontId="3" fillId="0" borderId="0" xfId="0" applyFont="1" applyAlignment="1">
      <alignment vertical="top" wrapText="1"/>
    </xf>
    <xf numFmtId="0" fontId="3" fillId="0" borderId="6" xfId="0" applyFont="1" applyBorder="1" applyAlignment="1">
      <alignment vertical="top" wrapText="1"/>
    </xf>
    <xf numFmtId="0" fontId="4" fillId="0" borderId="9" xfId="0" applyFont="1" applyBorder="1" applyAlignment="1">
      <alignment vertical="top" wrapText="1"/>
    </xf>
    <xf numFmtId="0" fontId="4" fillId="0" borderId="0" xfId="0" applyFont="1" applyAlignment="1">
      <alignment vertical="top" wrapText="1"/>
    </xf>
    <xf numFmtId="0" fontId="4" fillId="0" borderId="6" xfId="0" applyFont="1" applyBorder="1" applyAlignment="1">
      <alignment vertical="top" wrapText="1"/>
    </xf>
    <xf numFmtId="0" fontId="3" fillId="0" borderId="10" xfId="0" applyFont="1" applyBorder="1" applyAlignment="1">
      <alignment vertical="top" wrapText="1"/>
    </xf>
    <xf numFmtId="0" fontId="3" fillId="0" borderId="11" xfId="0" applyFont="1" applyBorder="1" applyAlignment="1">
      <alignment vertical="top" wrapText="1"/>
    </xf>
    <xf numFmtId="0" fontId="3" fillId="0" borderId="8" xfId="0" applyFont="1" applyBorder="1" applyAlignment="1">
      <alignment vertical="top" wrapText="1"/>
    </xf>
    <xf numFmtId="0" fontId="4" fillId="0" borderId="4" xfId="0" applyFont="1" applyBorder="1" applyAlignment="1" applyProtection="1">
      <alignment horizontal="center" vertical="top" wrapText="1"/>
    </xf>
    <xf numFmtId="0" fontId="4" fillId="0" borderId="8" xfId="0" applyFont="1" applyBorder="1" applyAlignment="1" applyProtection="1">
      <alignment horizontal="center" vertical="top" wrapText="1"/>
    </xf>
    <xf numFmtId="0" fontId="4" fillId="0" borderId="1" xfId="0" applyFont="1" applyBorder="1" applyAlignment="1" applyProtection="1">
      <alignment horizontal="center" vertical="top"/>
    </xf>
    <xf numFmtId="0" fontId="4" fillId="0" borderId="13" xfId="0" applyFont="1" applyBorder="1" applyAlignment="1" applyProtection="1">
      <alignment horizontal="center" vertical="top"/>
    </xf>
    <xf numFmtId="0" fontId="4" fillId="0" borderId="1" xfId="0" applyFont="1" applyBorder="1" applyAlignment="1" applyProtection="1">
      <alignment horizontal="center" vertical="top" wrapText="1"/>
    </xf>
    <xf numFmtId="0" fontId="4" fillId="0" borderId="13" xfId="0" applyFont="1" applyBorder="1" applyAlignment="1" applyProtection="1">
      <alignment horizontal="center" vertical="top" wrapText="1"/>
    </xf>
    <xf numFmtId="0" fontId="4" fillId="0" borderId="29" xfId="0" applyFont="1" applyBorder="1" applyAlignment="1" applyProtection="1">
      <alignment horizontal="left" vertical="top" wrapText="1"/>
    </xf>
    <xf numFmtId="0" fontId="27" fillId="0" borderId="9" xfId="0" applyFont="1" applyBorder="1" applyAlignment="1" applyProtection="1">
      <alignment vertical="top" wrapText="1"/>
    </xf>
    <xf numFmtId="0" fontId="27" fillId="0" borderId="0" xfId="0" applyFont="1" applyAlignment="1" applyProtection="1">
      <alignment vertical="top" wrapText="1"/>
    </xf>
    <xf numFmtId="0" fontId="27" fillId="0" borderId="6" xfId="0" applyFont="1" applyBorder="1" applyAlignment="1" applyProtection="1">
      <alignment vertical="top" wrapText="1"/>
    </xf>
    <xf numFmtId="0" fontId="4" fillId="3" borderId="9" xfId="0" applyFont="1" applyFill="1" applyBorder="1" applyAlignment="1" applyProtection="1">
      <alignment horizontal="left" vertical="top" wrapText="1"/>
    </xf>
    <xf numFmtId="0" fontId="4" fillId="3" borderId="0" xfId="0" applyFont="1" applyFill="1" applyBorder="1" applyAlignment="1" applyProtection="1">
      <alignment horizontal="left" vertical="top" wrapText="1"/>
    </xf>
    <xf numFmtId="0" fontId="4" fillId="3" borderId="9" xfId="0" applyFont="1" applyFill="1" applyBorder="1" applyAlignment="1" applyProtection="1">
      <alignment horizontal="left" vertical="top" wrapText="1"/>
      <protection locked="0"/>
    </xf>
    <xf numFmtId="0" fontId="4" fillId="3" borderId="0" xfId="0" applyFont="1" applyFill="1" applyBorder="1" applyAlignment="1" applyProtection="1">
      <alignment horizontal="left" vertical="top" wrapText="1"/>
      <protection locked="0"/>
    </xf>
    <xf numFmtId="0" fontId="8" fillId="0" borderId="1" xfId="0" applyFont="1" applyBorder="1" applyAlignment="1" applyProtection="1">
      <alignment horizontal="center" vertical="top" wrapText="1"/>
    </xf>
    <xf numFmtId="0" fontId="8" fillId="0" borderId="13" xfId="0" applyFont="1" applyBorder="1" applyAlignment="1" applyProtection="1">
      <alignment horizontal="center" vertical="top" wrapText="1"/>
    </xf>
    <xf numFmtId="0" fontId="4" fillId="0" borderId="9" xfId="0" applyFont="1" applyBorder="1" applyAlignment="1" applyProtection="1">
      <alignment horizontal="left" vertical="top" wrapText="1"/>
    </xf>
    <xf numFmtId="0" fontId="4" fillId="0" borderId="0" xfId="0" applyFont="1" applyBorder="1" applyAlignment="1" applyProtection="1">
      <alignment horizontal="left" vertical="top" wrapText="1"/>
    </xf>
    <xf numFmtId="0" fontId="8" fillId="0" borderId="1" xfId="0" applyFont="1" applyBorder="1" applyAlignment="1" applyProtection="1">
      <alignment horizontal="center" vertical="top"/>
    </xf>
    <xf numFmtId="0" fontId="8" fillId="0" borderId="13" xfId="0" applyFont="1" applyBorder="1" applyAlignment="1" applyProtection="1">
      <alignment horizontal="center" vertical="top"/>
    </xf>
    <xf numFmtId="0" fontId="4" fillId="0" borderId="29" xfId="0" applyFont="1" applyBorder="1" applyAlignment="1" applyProtection="1">
      <alignment vertical="top" wrapText="1"/>
    </xf>
    <xf numFmtId="0" fontId="8" fillId="0" borderId="16" xfId="0" applyFont="1" applyBorder="1" applyAlignment="1">
      <alignment horizontal="center" vertical="top" wrapText="1"/>
    </xf>
    <xf numFmtId="0" fontId="4" fillId="0" borderId="10" xfId="0" applyFont="1" applyBorder="1" applyAlignment="1">
      <alignment vertical="top" wrapText="1"/>
    </xf>
    <xf numFmtId="0" fontId="4" fillId="0" borderId="11" xfId="0" applyFont="1" applyBorder="1" applyAlignment="1">
      <alignment vertical="top" wrapText="1"/>
    </xf>
    <xf numFmtId="0" fontId="4" fillId="0" borderId="8" xfId="0" applyFont="1" applyBorder="1" applyAlignment="1">
      <alignment vertical="top" wrapText="1"/>
    </xf>
    <xf numFmtId="3" fontId="4" fillId="3" borderId="1" xfId="0" applyNumberFormat="1" applyFont="1" applyFill="1" applyBorder="1" applyAlignment="1" applyProtection="1">
      <alignment horizontal="right" vertical="center"/>
      <protection locked="0"/>
    </xf>
    <xf numFmtId="3" fontId="4" fillId="3" borderId="13" xfId="0" applyNumberFormat="1" applyFont="1" applyFill="1" applyBorder="1" applyAlignment="1" applyProtection="1">
      <alignment horizontal="right" vertical="center"/>
      <protection locked="0"/>
    </xf>
    <xf numFmtId="0" fontId="4" fillId="3" borderId="1" xfId="0" applyFont="1" applyFill="1" applyBorder="1" applyAlignment="1" applyProtection="1">
      <alignment horizontal="center" vertical="center" wrapText="1"/>
      <protection locked="0"/>
    </xf>
    <xf numFmtId="0" fontId="4" fillId="3" borderId="5" xfId="0" applyFont="1" applyFill="1" applyBorder="1" applyAlignment="1" applyProtection="1">
      <alignment horizontal="center" vertical="center" wrapText="1"/>
      <protection locked="0"/>
    </xf>
    <xf numFmtId="0" fontId="4" fillId="3" borderId="13" xfId="0" applyFont="1" applyFill="1" applyBorder="1" applyAlignment="1" applyProtection="1">
      <alignment horizontal="center" vertical="center" wrapText="1"/>
      <protection locked="0"/>
    </xf>
    <xf numFmtId="3" fontId="4" fillId="3" borderId="1" xfId="0" applyNumberFormat="1" applyFont="1" applyFill="1" applyBorder="1" applyAlignment="1" applyProtection="1">
      <alignment horizontal="center" vertical="center"/>
      <protection locked="0"/>
    </xf>
    <xf numFmtId="3" fontId="4" fillId="3" borderId="5" xfId="0" applyNumberFormat="1" applyFont="1" applyFill="1" applyBorder="1" applyAlignment="1" applyProtection="1">
      <alignment horizontal="center" vertical="center"/>
      <protection locked="0"/>
    </xf>
    <xf numFmtId="3" fontId="4" fillId="3" borderId="13" xfId="0" applyNumberFormat="1" applyFont="1" applyFill="1" applyBorder="1" applyAlignment="1" applyProtection="1">
      <alignment horizontal="center" vertical="center"/>
      <protection locked="0"/>
    </xf>
    <xf numFmtId="0" fontId="4" fillId="0" borderId="29" xfId="0" applyFont="1" applyBorder="1" applyAlignment="1">
      <alignment horizontal="center" vertical="top" wrapText="1"/>
    </xf>
    <xf numFmtId="0" fontId="4" fillId="0" borderId="5" xfId="0" applyFont="1" applyBorder="1" applyAlignment="1">
      <alignment horizontal="center" vertical="top" wrapText="1"/>
    </xf>
    <xf numFmtId="0" fontId="8" fillId="0" borderId="1" xfId="0" applyFont="1" applyBorder="1" applyAlignment="1">
      <alignment vertical="top" wrapText="1"/>
    </xf>
    <xf numFmtId="0" fontId="8" fillId="0" borderId="13" xfId="0" applyFont="1" applyBorder="1" applyAlignment="1">
      <alignment vertical="top" wrapText="1"/>
    </xf>
    <xf numFmtId="0" fontId="8" fillId="0" borderId="4" xfId="0" applyFont="1" applyBorder="1" applyAlignment="1">
      <alignment horizontal="center" vertical="top" wrapText="1"/>
    </xf>
    <xf numFmtId="0" fontId="8" fillId="0" borderId="8" xfId="0" applyFont="1" applyBorder="1" applyAlignment="1">
      <alignment horizontal="center" vertical="top" wrapText="1"/>
    </xf>
    <xf numFmtId="0" fontId="4" fillId="0" borderId="4" xfId="0" applyFont="1" applyBorder="1" applyAlignment="1">
      <alignment horizontal="left" vertical="center" wrapText="1"/>
    </xf>
    <xf numFmtId="0" fontId="3" fillId="3" borderId="21" xfId="0" applyFont="1" applyFill="1" applyBorder="1" applyAlignment="1">
      <alignment horizontal="left" vertical="top" wrapText="1"/>
    </xf>
    <xf numFmtId="0" fontId="3" fillId="3" borderId="22" xfId="0" applyFont="1" applyFill="1" applyBorder="1" applyAlignment="1">
      <alignment horizontal="left" vertical="top" wrapText="1"/>
    </xf>
    <xf numFmtId="0" fontId="3" fillId="3" borderId="23" xfId="0" applyFont="1" applyFill="1" applyBorder="1" applyAlignment="1">
      <alignment horizontal="left" vertical="top" wrapText="1"/>
    </xf>
    <xf numFmtId="0" fontId="3" fillId="3" borderId="27" xfId="0" applyFont="1" applyFill="1" applyBorder="1" applyAlignment="1">
      <alignment horizontal="left" vertical="top" wrapText="1"/>
    </xf>
    <xf numFmtId="0" fontId="3" fillId="3" borderId="0" xfId="0" applyFont="1" applyFill="1" applyBorder="1" applyAlignment="1">
      <alignment horizontal="left" vertical="top" wrapText="1"/>
    </xf>
    <xf numFmtId="0" fontId="3" fillId="3" borderId="28" xfId="0" applyFont="1" applyFill="1" applyBorder="1" applyAlignment="1">
      <alignment horizontal="left" vertical="top" wrapText="1"/>
    </xf>
    <xf numFmtId="0" fontId="4" fillId="0" borderId="6" xfId="0" applyFont="1" applyBorder="1" applyAlignment="1">
      <alignment horizontal="left" vertical="center" wrapText="1"/>
    </xf>
    <xf numFmtId="0" fontId="3" fillId="0" borderId="6" xfId="0" applyFont="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4" xfId="0" applyFont="1" applyBorder="1" applyAlignment="1">
      <alignment horizontal="center" vertical="top" wrapText="1"/>
    </xf>
    <xf numFmtId="0" fontId="4" fillId="0" borderId="8" xfId="0" applyFont="1" applyBorder="1" applyAlignment="1">
      <alignment horizontal="center" vertical="top" wrapText="1"/>
    </xf>
    <xf numFmtId="0" fontId="12" fillId="0" borderId="14" xfId="0" applyFont="1" applyBorder="1" applyAlignment="1">
      <alignment horizontal="center" vertical="top" wrapText="1"/>
    </xf>
    <xf numFmtId="0" fontId="12" fillId="0" borderId="15" xfId="0" applyFont="1" applyBorder="1" applyAlignment="1">
      <alignment horizontal="center" vertical="top" wrapText="1"/>
    </xf>
    <xf numFmtId="0" fontId="12" fillId="0" borderId="7" xfId="0" applyFont="1" applyBorder="1" applyAlignment="1">
      <alignment horizontal="center" vertical="top" wrapText="1"/>
    </xf>
    <xf numFmtId="43" fontId="4" fillId="3" borderId="1" xfId="4" applyFont="1" applyFill="1" applyBorder="1" applyAlignment="1" applyProtection="1">
      <alignment horizontal="center" vertical="center" wrapText="1"/>
      <protection locked="0"/>
    </xf>
    <xf numFmtId="43" fontId="4" fillId="3" borderId="5" xfId="4" applyFont="1" applyFill="1" applyBorder="1" applyAlignment="1" applyProtection="1">
      <alignment horizontal="center" vertical="center" wrapText="1"/>
      <protection locked="0"/>
    </xf>
    <xf numFmtId="43" fontId="4" fillId="3" borderId="13" xfId="4" applyFont="1" applyFill="1" applyBorder="1" applyAlignment="1" applyProtection="1">
      <alignment horizontal="center" vertical="center" wrapText="1"/>
      <protection locked="0"/>
    </xf>
    <xf numFmtId="0" fontId="4" fillId="0" borderId="15" xfId="0" applyFont="1" applyBorder="1" applyAlignment="1">
      <alignment horizontal="left" vertical="center" wrapText="1"/>
    </xf>
    <xf numFmtId="0" fontId="4" fillId="0" borderId="1" xfId="0" applyFont="1" applyBorder="1" applyAlignment="1">
      <alignment horizontal="center" vertical="center" wrapText="1"/>
    </xf>
    <xf numFmtId="0" fontId="4" fillId="0" borderId="13" xfId="0" applyFont="1" applyBorder="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4" fillId="0" borderId="17" xfId="0" applyFont="1" applyBorder="1" applyAlignment="1">
      <alignment vertical="top" wrapText="1"/>
    </xf>
    <xf numFmtId="0" fontId="4" fillId="0" borderId="14" xfId="0" applyFont="1" applyBorder="1" applyAlignment="1">
      <alignment vertical="top"/>
    </xf>
    <xf numFmtId="0" fontId="4" fillId="0" borderId="15" xfId="0" applyFont="1" applyBorder="1" applyAlignment="1">
      <alignment vertical="top"/>
    </xf>
    <xf numFmtId="0" fontId="4" fillId="0" borderId="7" xfId="0" applyFont="1" applyBorder="1" applyAlignment="1">
      <alignment vertical="top"/>
    </xf>
    <xf numFmtId="0" fontId="8" fillId="0" borderId="5" xfId="0" applyFont="1" applyBorder="1" applyAlignment="1">
      <alignment vertical="top" wrapText="1"/>
    </xf>
    <xf numFmtId="0" fontId="4" fillId="0" borderId="3" xfId="0" applyFont="1" applyBorder="1" applyAlignment="1">
      <alignment horizontal="left" vertical="center" wrapText="1"/>
    </xf>
    <xf numFmtId="0" fontId="4" fillId="0" borderId="15" xfId="0" applyFont="1" applyBorder="1" applyAlignment="1">
      <alignment horizontal="left" vertical="center"/>
    </xf>
    <xf numFmtId="0" fontId="4" fillId="0" borderId="7" xfId="0" applyFont="1" applyBorder="1" applyAlignment="1">
      <alignment horizontal="left" vertical="center"/>
    </xf>
    <xf numFmtId="0" fontId="4" fillId="3" borderId="9" xfId="0" applyFont="1" applyFill="1" applyBorder="1" applyAlignment="1">
      <alignment horizontal="left" vertical="top" wrapText="1"/>
    </xf>
    <xf numFmtId="0" fontId="4" fillId="3" borderId="0" xfId="0" applyFont="1" applyFill="1" applyBorder="1" applyAlignment="1">
      <alignment horizontal="left" vertical="top" wrapText="1"/>
    </xf>
    <xf numFmtId="0" fontId="3" fillId="3" borderId="9" xfId="0" applyFont="1" applyFill="1" applyBorder="1" applyAlignment="1" applyProtection="1">
      <alignment horizontal="left" vertical="top" wrapText="1"/>
      <protection locked="0"/>
    </xf>
    <xf numFmtId="0" fontId="3" fillId="3" borderId="0" xfId="0" applyFont="1" applyFill="1" applyBorder="1" applyAlignment="1" applyProtection="1">
      <alignment horizontal="left" vertical="top" wrapText="1"/>
      <protection locked="0"/>
    </xf>
    <xf numFmtId="0" fontId="4" fillId="0" borderId="5" xfId="0" applyFont="1" applyBorder="1" applyAlignment="1">
      <alignment horizontal="center" vertical="center" wrapText="1"/>
    </xf>
    <xf numFmtId="0" fontId="4" fillId="0" borderId="14" xfId="0" applyFont="1" applyBorder="1" applyAlignment="1">
      <alignment horizontal="left" vertical="center"/>
    </xf>
    <xf numFmtId="0" fontId="4" fillId="3" borderId="21" xfId="0" applyFont="1" applyFill="1" applyBorder="1" applyAlignment="1" applyProtection="1">
      <alignment horizontal="left" vertical="top" wrapText="1"/>
      <protection locked="0"/>
    </xf>
    <xf numFmtId="0" fontId="4" fillId="3" borderId="22" xfId="0" applyFont="1" applyFill="1" applyBorder="1" applyAlignment="1" applyProtection="1">
      <alignment horizontal="left" vertical="top" wrapText="1"/>
      <protection locked="0"/>
    </xf>
    <xf numFmtId="0" fontId="4" fillId="3" borderId="23" xfId="0" applyFont="1" applyFill="1" applyBorder="1" applyAlignment="1" applyProtection="1">
      <alignment horizontal="left" vertical="top" wrapText="1"/>
      <protection locked="0"/>
    </xf>
    <xf numFmtId="0" fontId="4" fillId="3" borderId="24" xfId="0" applyFont="1" applyFill="1" applyBorder="1" applyAlignment="1" applyProtection="1">
      <alignment horizontal="left" vertical="top" wrapText="1"/>
      <protection locked="0"/>
    </xf>
    <xf numFmtId="0" fontId="4" fillId="3" borderId="25" xfId="0" applyFont="1" applyFill="1" applyBorder="1" applyAlignment="1" applyProtection="1">
      <alignment horizontal="left" vertical="top" wrapText="1"/>
      <protection locked="0"/>
    </xf>
    <xf numFmtId="0" fontId="4" fillId="3" borderId="26" xfId="0" applyFont="1" applyFill="1" applyBorder="1" applyAlignment="1" applyProtection="1">
      <alignment horizontal="left" vertical="top" wrapText="1"/>
      <protection locked="0"/>
    </xf>
    <xf numFmtId="0" fontId="8" fillId="0" borderId="1" xfId="0" applyFont="1" applyBorder="1" applyAlignment="1">
      <alignment horizontal="center" vertical="center" wrapText="1"/>
    </xf>
    <xf numFmtId="0" fontId="8" fillId="0" borderId="13" xfId="0" applyFont="1" applyBorder="1" applyAlignment="1">
      <alignment horizontal="center" vertical="center" wrapText="1"/>
    </xf>
    <xf numFmtId="0" fontId="4" fillId="3" borderId="1" xfId="0" applyFont="1" applyFill="1" applyBorder="1" applyAlignment="1" applyProtection="1">
      <alignment horizontal="center" vertical="top" wrapText="1"/>
      <protection locked="0"/>
    </xf>
    <xf numFmtId="0" fontId="4" fillId="3" borderId="5" xfId="0" applyFont="1" applyFill="1" applyBorder="1" applyAlignment="1" applyProtection="1">
      <alignment horizontal="center" vertical="top" wrapText="1"/>
      <protection locked="0"/>
    </xf>
    <xf numFmtId="0" fontId="4" fillId="3" borderId="13" xfId="0" applyFont="1" applyFill="1" applyBorder="1" applyAlignment="1" applyProtection="1">
      <alignment horizontal="center" vertical="top" wrapText="1"/>
      <protection locked="0"/>
    </xf>
    <xf numFmtId="9" fontId="4" fillId="3" borderId="5" xfId="0" applyNumberFormat="1" applyFont="1" applyFill="1" applyBorder="1" applyAlignment="1" applyProtection="1">
      <alignment horizontal="center" vertical="center"/>
      <protection locked="0"/>
    </xf>
    <xf numFmtId="9" fontId="4" fillId="3" borderId="13" xfId="0" applyNumberFormat="1" applyFont="1" applyFill="1" applyBorder="1" applyAlignment="1" applyProtection="1">
      <alignment horizontal="center" vertical="center"/>
      <protection locked="0"/>
    </xf>
    <xf numFmtId="0" fontId="3" fillId="3" borderId="2" xfId="0" applyFont="1" applyFill="1" applyBorder="1" applyAlignment="1" applyProtection="1">
      <alignment horizontal="center" vertical="top" wrapText="1"/>
      <protection locked="0"/>
    </xf>
    <xf numFmtId="0" fontId="3" fillId="3" borderId="3" xfId="0" applyFont="1" applyFill="1" applyBorder="1" applyAlignment="1" applyProtection="1">
      <alignment horizontal="center" vertical="top" wrapText="1"/>
      <protection locked="0"/>
    </xf>
    <xf numFmtId="0" fontId="3" fillId="3" borderId="4" xfId="0" applyFont="1" applyFill="1" applyBorder="1" applyAlignment="1" applyProtection="1">
      <alignment horizontal="center" vertical="top" wrapText="1"/>
      <protection locked="0"/>
    </xf>
    <xf numFmtId="0" fontId="3" fillId="3" borderId="10" xfId="0" applyFont="1" applyFill="1" applyBorder="1" applyAlignment="1" applyProtection="1">
      <alignment horizontal="center" vertical="top" wrapText="1"/>
      <protection locked="0"/>
    </xf>
    <xf numFmtId="0" fontId="3" fillId="3" borderId="11" xfId="0" applyFont="1" applyFill="1" applyBorder="1" applyAlignment="1" applyProtection="1">
      <alignment horizontal="center" vertical="top" wrapText="1"/>
      <protection locked="0"/>
    </xf>
    <xf numFmtId="0" fontId="3" fillId="3" borderId="8" xfId="0" applyFont="1" applyFill="1" applyBorder="1" applyAlignment="1" applyProtection="1">
      <alignment horizontal="center" vertical="top" wrapText="1"/>
      <protection locked="0"/>
    </xf>
    <xf numFmtId="0" fontId="12" fillId="0" borderId="9" xfId="0" applyFont="1" applyBorder="1" applyAlignment="1">
      <alignment vertical="top" wrapText="1"/>
    </xf>
    <xf numFmtId="0" fontId="12" fillId="0" borderId="0" xfId="0" applyFont="1" applyAlignment="1">
      <alignment vertical="top" wrapText="1"/>
    </xf>
    <xf numFmtId="0" fontId="12" fillId="0" borderId="6" xfId="0" applyFont="1" applyBorder="1" applyAlignment="1">
      <alignment vertical="top" wrapText="1"/>
    </xf>
    <xf numFmtId="0" fontId="4" fillId="3" borderId="2" xfId="0" applyFont="1" applyFill="1" applyBorder="1" applyAlignment="1" applyProtection="1">
      <alignment horizontal="center" vertical="center" wrapText="1"/>
      <protection locked="0"/>
    </xf>
    <xf numFmtId="0" fontId="4" fillId="3" borderId="9" xfId="0" applyFont="1" applyFill="1" applyBorder="1" applyAlignment="1" applyProtection="1">
      <alignment horizontal="center" vertical="center" wrapText="1"/>
      <protection locked="0"/>
    </xf>
    <xf numFmtId="0" fontId="4" fillId="3" borderId="10" xfId="0" applyFont="1" applyFill="1" applyBorder="1" applyAlignment="1" applyProtection="1">
      <alignment horizontal="center" vertical="center" wrapText="1"/>
      <protection locked="0"/>
    </xf>
    <xf numFmtId="0" fontId="3" fillId="0" borderId="1" xfId="0" applyFont="1" applyBorder="1" applyAlignment="1">
      <alignment vertical="top"/>
    </xf>
    <xf numFmtId="0" fontId="3" fillId="0" borderId="5" xfId="0" applyFont="1" applyBorder="1" applyAlignment="1">
      <alignment vertical="top"/>
    </xf>
    <xf numFmtId="0" fontId="3" fillId="0" borderId="13" xfId="0" applyFont="1" applyBorder="1" applyAlignment="1">
      <alignment vertical="top"/>
    </xf>
    <xf numFmtId="0" fontId="3" fillId="0" borderId="14" xfId="0" applyFont="1" applyBorder="1" applyAlignment="1">
      <alignment vertical="top"/>
    </xf>
    <xf numFmtId="0" fontId="3" fillId="0" borderId="7" xfId="0" applyFont="1" applyBorder="1" applyAlignment="1">
      <alignment vertical="top"/>
    </xf>
    <xf numFmtId="0" fontId="3" fillId="3" borderId="21" xfId="0" applyFont="1" applyFill="1" applyBorder="1" applyAlignment="1">
      <alignment horizontal="center" vertical="top" wrapText="1"/>
    </xf>
    <xf numFmtId="0" fontId="3" fillId="3" borderId="22" xfId="0" applyFont="1" applyFill="1" applyBorder="1" applyAlignment="1">
      <alignment horizontal="center" vertical="top" wrapText="1"/>
    </xf>
    <xf numFmtId="0" fontId="3" fillId="3" borderId="23" xfId="0" applyFont="1" applyFill="1" applyBorder="1" applyAlignment="1">
      <alignment horizontal="center" vertical="top" wrapText="1"/>
    </xf>
    <xf numFmtId="0" fontId="3" fillId="3" borderId="24" xfId="0" applyFont="1" applyFill="1" applyBorder="1" applyAlignment="1">
      <alignment horizontal="center" vertical="top" wrapText="1"/>
    </xf>
    <xf numFmtId="0" fontId="3" fillId="3" borderId="25" xfId="0" applyFont="1" applyFill="1" applyBorder="1" applyAlignment="1">
      <alignment horizontal="center" vertical="top" wrapText="1"/>
    </xf>
    <xf numFmtId="0" fontId="3" fillId="3" borderId="26" xfId="0" applyFont="1" applyFill="1" applyBorder="1" applyAlignment="1">
      <alignment horizontal="center" vertical="top" wrapText="1"/>
    </xf>
    <xf numFmtId="0" fontId="12" fillId="0" borderId="10" xfId="0" applyFont="1" applyBorder="1" applyAlignment="1">
      <alignment vertical="top" wrapText="1"/>
    </xf>
    <xf numFmtId="0" fontId="12" fillId="0" borderId="11" xfId="0" applyFont="1" applyBorder="1" applyAlignment="1">
      <alignment vertical="top" wrapText="1"/>
    </xf>
    <xf numFmtId="0" fontId="12" fillId="0" borderId="8" xfId="0" applyFont="1" applyBorder="1" applyAlignment="1">
      <alignment vertical="top" wrapText="1"/>
    </xf>
    <xf numFmtId="0" fontId="8" fillId="0" borderId="14" xfId="0" applyFont="1" applyBorder="1" applyAlignment="1">
      <alignment vertical="top" wrapText="1"/>
    </xf>
    <xf numFmtId="0" fontId="8" fillId="0" borderId="15" xfId="0" applyFont="1" applyBorder="1" applyAlignment="1">
      <alignment vertical="top" wrapText="1"/>
    </xf>
    <xf numFmtId="0" fontId="8" fillId="0" borderId="7" xfId="0" applyFont="1" applyBorder="1" applyAlignment="1">
      <alignment vertical="top" wrapText="1"/>
    </xf>
    <xf numFmtId="0" fontId="3" fillId="0" borderId="4" xfId="0" applyFont="1" applyBorder="1" applyAlignment="1">
      <alignment vertical="top" wrapText="1"/>
    </xf>
    <xf numFmtId="0" fontId="3" fillId="3" borderId="2" xfId="0" applyFont="1" applyFill="1" applyBorder="1" applyAlignment="1">
      <alignment horizontal="left" vertical="top" wrapText="1"/>
    </xf>
    <xf numFmtId="0" fontId="3" fillId="3" borderId="3" xfId="0" applyFont="1" applyFill="1" applyBorder="1" applyAlignment="1">
      <alignment horizontal="left" vertical="top" wrapText="1"/>
    </xf>
    <xf numFmtId="0" fontId="3" fillId="3" borderId="4" xfId="0" applyFont="1" applyFill="1" applyBorder="1" applyAlignment="1">
      <alignment horizontal="left" vertical="top" wrapText="1"/>
    </xf>
    <xf numFmtId="0" fontId="3" fillId="3" borderId="10" xfId="0" applyFont="1" applyFill="1" applyBorder="1" applyAlignment="1">
      <alignment horizontal="left" vertical="top" wrapText="1"/>
    </xf>
    <xf numFmtId="0" fontId="3" fillId="3" borderId="11" xfId="0" applyFont="1" applyFill="1" applyBorder="1" applyAlignment="1">
      <alignment horizontal="left" vertical="top" wrapText="1"/>
    </xf>
    <xf numFmtId="0" fontId="3" fillId="3" borderId="8" xfId="0" applyFont="1" applyFill="1" applyBorder="1" applyAlignment="1">
      <alignment horizontal="left" vertical="top" wrapText="1"/>
    </xf>
    <xf numFmtId="0" fontId="4" fillId="0" borderId="14" xfId="0" applyFont="1" applyBorder="1" applyAlignment="1">
      <alignment horizontal="center" vertical="top" wrapText="1"/>
    </xf>
    <xf numFmtId="0" fontId="4" fillId="0" borderId="15" xfId="0" applyFont="1" applyBorder="1" applyAlignment="1">
      <alignment horizontal="center" vertical="top" wrapText="1"/>
    </xf>
    <xf numFmtId="0" fontId="4" fillId="0" borderId="7" xfId="0" applyFont="1" applyBorder="1" applyAlignment="1">
      <alignment horizontal="center" vertical="top" wrapText="1"/>
    </xf>
    <xf numFmtId="0" fontId="12" fillId="0" borderId="6" xfId="0" applyFont="1" applyBorder="1" applyAlignment="1">
      <alignment horizontal="left" vertical="center" wrapText="1"/>
    </xf>
    <xf numFmtId="0" fontId="3" fillId="0" borderId="8" xfId="0" applyFont="1" applyBorder="1" applyAlignment="1">
      <alignment horizontal="left" vertical="center" wrapText="1"/>
    </xf>
    <xf numFmtId="0" fontId="3" fillId="3" borderId="2" xfId="0" applyFont="1" applyFill="1" applyBorder="1" applyAlignment="1" applyProtection="1">
      <alignment horizontal="left" vertical="top" wrapText="1"/>
      <protection locked="0"/>
    </xf>
    <xf numFmtId="0" fontId="3" fillId="3" borderId="3" xfId="0" applyFont="1" applyFill="1" applyBorder="1" applyAlignment="1" applyProtection="1">
      <alignment horizontal="left" vertical="top" wrapText="1"/>
      <protection locked="0"/>
    </xf>
    <xf numFmtId="0" fontId="3" fillId="3" borderId="4" xfId="0" applyFont="1" applyFill="1" applyBorder="1" applyAlignment="1" applyProtection="1">
      <alignment horizontal="left" vertical="top" wrapText="1"/>
      <protection locked="0"/>
    </xf>
    <xf numFmtId="0" fontId="3" fillId="3" borderId="10" xfId="0" applyFont="1" applyFill="1" applyBorder="1" applyAlignment="1" applyProtection="1">
      <alignment horizontal="left" vertical="top" wrapText="1"/>
      <protection locked="0"/>
    </xf>
    <xf numFmtId="0" fontId="3" fillId="3" borderId="11" xfId="0" applyFont="1" applyFill="1" applyBorder="1" applyAlignment="1" applyProtection="1">
      <alignment horizontal="left" vertical="top" wrapText="1"/>
      <protection locked="0"/>
    </xf>
    <xf numFmtId="0" fontId="3" fillId="3" borderId="8" xfId="0" applyFont="1" applyFill="1" applyBorder="1" applyAlignment="1" applyProtection="1">
      <alignment horizontal="left" vertical="top" wrapText="1"/>
      <protection locked="0"/>
    </xf>
    <xf numFmtId="0" fontId="3" fillId="0" borderId="4" xfId="0" applyFont="1" applyBorder="1" applyAlignment="1">
      <alignment horizontal="center" vertical="top" wrapText="1"/>
    </xf>
    <xf numFmtId="0" fontId="3" fillId="0" borderId="6" xfId="0" applyFont="1" applyBorder="1" applyAlignment="1">
      <alignment horizontal="center" vertical="top" wrapText="1"/>
    </xf>
    <xf numFmtId="0" fontId="3" fillId="0" borderId="8" xfId="0" applyFont="1" applyBorder="1" applyAlignment="1">
      <alignment horizontal="center" vertical="top" wrapText="1"/>
    </xf>
    <xf numFmtId="0" fontId="3" fillId="0" borderId="1" xfId="0" applyFont="1" applyBorder="1" applyAlignment="1">
      <alignment vertical="top" wrapText="1"/>
    </xf>
    <xf numFmtId="0" fontId="3" fillId="0" borderId="5" xfId="0" applyFont="1" applyBorder="1" applyAlignment="1">
      <alignment vertical="top" wrapText="1"/>
    </xf>
    <xf numFmtId="0" fontId="3" fillId="0" borderId="13" xfId="0" applyFont="1" applyBorder="1" applyAlignment="1">
      <alignment vertical="top" wrapText="1"/>
    </xf>
    <xf numFmtId="0" fontId="3" fillId="3" borderId="14" xfId="0" applyFont="1" applyFill="1" applyBorder="1" applyAlignment="1" applyProtection="1">
      <alignment horizontal="left" vertical="top"/>
      <protection locked="0"/>
    </xf>
    <xf numFmtId="0" fontId="3" fillId="3" borderId="15" xfId="0" applyFont="1" applyFill="1" applyBorder="1" applyAlignment="1" applyProtection="1">
      <alignment horizontal="left" vertical="top"/>
      <protection locked="0"/>
    </xf>
    <xf numFmtId="0" fontId="3" fillId="3" borderId="7" xfId="0" applyFont="1" applyFill="1" applyBorder="1" applyAlignment="1" applyProtection="1">
      <alignment horizontal="left" vertical="top"/>
      <protection locked="0"/>
    </xf>
    <xf numFmtId="0" fontId="12" fillId="0" borderId="9" xfId="0" applyFont="1" applyBorder="1" applyAlignment="1" applyProtection="1">
      <alignment vertical="top" wrapText="1"/>
    </xf>
    <xf numFmtId="0" fontId="12" fillId="0" borderId="0" xfId="0" applyFont="1" applyAlignment="1" applyProtection="1">
      <alignment vertical="top" wrapText="1"/>
    </xf>
    <xf numFmtId="0" fontId="12" fillId="0" borderId="6" xfId="0" applyFont="1" applyBorder="1" applyAlignment="1" applyProtection="1">
      <alignment vertical="top" wrapText="1"/>
    </xf>
    <xf numFmtId="0" fontId="3" fillId="3" borderId="21" xfId="0" applyFont="1" applyFill="1" applyBorder="1" applyAlignment="1" applyProtection="1">
      <alignment horizontal="left" vertical="top" wrapText="1"/>
      <protection locked="0"/>
    </xf>
    <xf numFmtId="0" fontId="3" fillId="3" borderId="22" xfId="0" applyFont="1" applyFill="1" applyBorder="1" applyAlignment="1" applyProtection="1">
      <alignment horizontal="left" vertical="top" wrapText="1"/>
      <protection locked="0"/>
    </xf>
    <xf numFmtId="0" fontId="3" fillId="3" borderId="23" xfId="0" applyFont="1" applyFill="1" applyBorder="1" applyAlignment="1" applyProtection="1">
      <alignment horizontal="left" vertical="top" wrapText="1"/>
      <protection locked="0"/>
    </xf>
    <xf numFmtId="0" fontId="3" fillId="3" borderId="24" xfId="0" applyFont="1" applyFill="1" applyBorder="1" applyAlignment="1" applyProtection="1">
      <alignment horizontal="left" vertical="top" wrapText="1"/>
      <protection locked="0"/>
    </xf>
    <xf numFmtId="0" fontId="3" fillId="3" borderId="25" xfId="0" applyFont="1" applyFill="1" applyBorder="1" applyAlignment="1" applyProtection="1">
      <alignment horizontal="left" vertical="top" wrapText="1"/>
      <protection locked="0"/>
    </xf>
    <xf numFmtId="0" fontId="3" fillId="3" borderId="26" xfId="0" applyFont="1" applyFill="1" applyBorder="1" applyAlignment="1" applyProtection="1">
      <alignment horizontal="left" vertical="top" wrapText="1"/>
      <protection locked="0"/>
    </xf>
    <xf numFmtId="0" fontId="4" fillId="0" borderId="0" xfId="0" applyFont="1" applyBorder="1" applyAlignment="1">
      <alignment vertical="top" wrapText="1"/>
    </xf>
    <xf numFmtId="0" fontId="12" fillId="0" borderId="0" xfId="0" applyFont="1" applyAlignment="1">
      <alignment horizontal="left" vertical="center" wrapText="1"/>
    </xf>
    <xf numFmtId="0" fontId="4" fillId="0" borderId="11" xfId="0" applyFont="1" applyBorder="1" applyAlignment="1">
      <alignment horizontal="left" vertical="center" wrapText="1"/>
    </xf>
    <xf numFmtId="0" fontId="4" fillId="3" borderId="14" xfId="0" applyFont="1" applyFill="1" applyBorder="1" applyAlignment="1" applyProtection="1">
      <alignment horizontal="left" vertical="top"/>
      <protection locked="0"/>
    </xf>
    <xf numFmtId="0" fontId="4" fillId="3" borderId="15" xfId="0" applyFont="1" applyFill="1" applyBorder="1" applyAlignment="1" applyProtection="1">
      <alignment horizontal="left" vertical="top"/>
      <protection locked="0"/>
    </xf>
    <xf numFmtId="0" fontId="4" fillId="3" borderId="7" xfId="0" applyFont="1" applyFill="1" applyBorder="1" applyAlignment="1" applyProtection="1">
      <alignment horizontal="left" vertical="top"/>
      <protection locked="0"/>
    </xf>
    <xf numFmtId="0" fontId="4" fillId="0" borderId="4" xfId="0" applyFont="1" applyBorder="1" applyAlignment="1">
      <alignment vertical="top"/>
    </xf>
    <xf numFmtId="0" fontId="4" fillId="0" borderId="17" xfId="0" applyFont="1" applyBorder="1" applyAlignment="1">
      <alignment vertical="top"/>
    </xf>
    <xf numFmtId="0" fontId="3" fillId="0" borderId="2" xfId="0" applyFont="1" applyBorder="1" applyAlignment="1">
      <alignment vertical="top" wrapText="1"/>
    </xf>
    <xf numFmtId="0" fontId="3" fillId="0" borderId="3" xfId="0" applyFont="1" applyBorder="1" applyAlignment="1">
      <alignment vertical="top" wrapText="1"/>
    </xf>
    <xf numFmtId="0" fontId="4" fillId="0" borderId="1" xfId="0" applyFont="1" applyBorder="1" applyAlignment="1" applyProtection="1">
      <alignment vertical="top" wrapText="1"/>
      <protection locked="0"/>
    </xf>
    <xf numFmtId="0" fontId="4" fillId="0" borderId="5" xfId="0" applyFont="1" applyBorder="1" applyAlignment="1" applyProtection="1">
      <alignment vertical="top" wrapText="1"/>
      <protection locked="0"/>
    </xf>
    <xf numFmtId="0" fontId="4" fillId="0" borderId="13" xfId="0" applyFont="1" applyBorder="1" applyAlignment="1" applyProtection="1">
      <alignment vertical="top" wrapText="1"/>
      <protection locked="0"/>
    </xf>
    <xf numFmtId="0" fontId="4" fillId="0" borderId="1" xfId="0" applyFont="1" applyBorder="1" applyAlignment="1" applyProtection="1">
      <alignment horizontal="center" vertical="center" wrapText="1"/>
    </xf>
    <xf numFmtId="0" fontId="4" fillId="0" borderId="13" xfId="0" applyFont="1" applyBorder="1" applyAlignment="1" applyProtection="1">
      <alignment horizontal="center" vertical="center" wrapText="1"/>
    </xf>
    <xf numFmtId="0" fontId="4" fillId="0" borderId="14" xfId="0" applyFont="1" applyBorder="1" applyAlignment="1" applyProtection="1">
      <alignment vertical="top"/>
    </xf>
    <xf numFmtId="0" fontId="4" fillId="0" borderId="7" xfId="0" applyFont="1" applyBorder="1" applyAlignment="1" applyProtection="1">
      <alignment vertical="top"/>
    </xf>
    <xf numFmtId="0" fontId="4" fillId="0" borderId="14" xfId="0" applyFont="1" applyBorder="1" applyAlignment="1" applyProtection="1">
      <alignment vertical="top" wrapText="1"/>
      <protection locked="0"/>
    </xf>
    <xf numFmtId="0" fontId="4" fillId="0" borderId="15" xfId="0" applyFont="1" applyBorder="1" applyAlignment="1" applyProtection="1">
      <alignment vertical="top" wrapText="1"/>
      <protection locked="0"/>
    </xf>
    <xf numFmtId="0" fontId="4" fillId="0" borderId="7" xfId="0" applyFont="1" applyBorder="1" applyAlignment="1" applyProtection="1">
      <alignment vertical="top" wrapText="1"/>
      <protection locked="0"/>
    </xf>
    <xf numFmtId="0" fontId="12" fillId="0" borderId="14" xfId="0" applyFont="1" applyBorder="1" applyAlignment="1" applyProtection="1">
      <alignment vertical="top" wrapText="1"/>
      <protection locked="0"/>
    </xf>
    <xf numFmtId="0" fontId="12" fillId="0" borderId="15" xfId="0" applyFont="1" applyBorder="1" applyAlignment="1" applyProtection="1">
      <alignment vertical="top" wrapText="1"/>
      <protection locked="0"/>
    </xf>
    <xf numFmtId="0" fontId="12" fillId="0" borderId="7" xfId="0" applyFont="1" applyBorder="1" applyAlignment="1" applyProtection="1">
      <alignment vertical="top" wrapText="1"/>
      <protection locked="0"/>
    </xf>
    <xf numFmtId="0" fontId="4" fillId="0" borderId="6" xfId="0" applyFont="1" applyBorder="1" applyAlignment="1" applyProtection="1">
      <alignment horizontal="center" vertical="top" wrapText="1"/>
    </xf>
    <xf numFmtId="0" fontId="4" fillId="0" borderId="1" xfId="0" applyFont="1" applyBorder="1" applyAlignment="1" applyProtection="1">
      <alignment horizontal="center" vertical="center"/>
    </xf>
    <xf numFmtId="0" fontId="4" fillId="0" borderId="5" xfId="0" applyFont="1" applyBorder="1" applyAlignment="1" applyProtection="1">
      <alignment horizontal="center" vertical="center"/>
    </xf>
    <xf numFmtId="0" fontId="4" fillId="0" borderId="13" xfId="0" applyFont="1" applyBorder="1" applyAlignment="1" applyProtection="1">
      <alignment horizontal="center" vertical="center"/>
    </xf>
    <xf numFmtId="0" fontId="22" fillId="0" borderId="14" xfId="0" applyFont="1" applyBorder="1" applyAlignment="1">
      <alignment horizontal="center"/>
    </xf>
    <xf numFmtId="0" fontId="22" fillId="0" borderId="15" xfId="0" applyFont="1" applyBorder="1" applyAlignment="1">
      <alignment horizontal="center"/>
    </xf>
    <xf numFmtId="0" fontId="22" fillId="0" borderId="7" xfId="0" applyFont="1" applyBorder="1" applyAlignment="1">
      <alignment horizontal="center"/>
    </xf>
  </cellXfs>
  <cellStyles count="7">
    <cellStyle name="Buena" xfId="1" builtinId="26"/>
    <cellStyle name="Hipervínculo" xfId="2" builtinId="8"/>
    <cellStyle name="Millares" xfId="4" builtinId="3"/>
    <cellStyle name="Normal" xfId="0" builtinId="0"/>
    <cellStyle name="Normal 2" xfId="5"/>
    <cellStyle name="Normal_ANEXO 4. METAS DEL PLAN" xfId="6"/>
    <cellStyle name="Porcentaje" xfId="3" builtinId="5"/>
  </cellStyles>
  <dxfs count="130">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s>
  <tableStyles count="0" defaultTableStyle="TableStyleMedium2" defaultPivotStyle="PivotStyleLight16"/>
  <colors>
    <mruColors>
      <color rgb="FFFFFF99"/>
      <color rgb="FF99FFCC"/>
      <color rgb="FFCCFFCC"/>
      <color rgb="FFA9D08E"/>
      <color rgb="FF66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'Anexo 5-1 Ingresos'!$H$65</c:f>
              <c:strCache>
                <c:ptCount val="1"/>
                <c:pt idx="0">
                  <c:v>Apropiado</c:v>
                </c:pt>
              </c:strCache>
            </c:strRef>
          </c:tx>
          <c:spPr>
            <a:solidFill>
              <a:schemeClr val="accent1"/>
            </a:solidFill>
            <a:ln>
              <a:noFill/>
            </a:ln>
            <a:effectLst/>
            <a:sp3d/>
          </c:spPr>
          <c:invertIfNegative val="0"/>
          <c:cat>
            <c:strRef>
              <c:f>'Anexo 5-1 Ingresos'!$G$66:$G$70</c:f>
              <c:strCache>
                <c:ptCount val="5"/>
                <c:pt idx="0">
                  <c:v>INGRESOS CORRIENTES</c:v>
                </c:pt>
                <c:pt idx="1">
                  <c:v>RECURSOS DE CAPITAL</c:v>
                </c:pt>
                <c:pt idx="2">
                  <c:v>APORTES DE LA NACION</c:v>
                </c:pt>
                <c:pt idx="3">
                  <c:v>SISTEMA GENERAL DE REGALIA</c:v>
                </c:pt>
                <c:pt idx="4">
                  <c:v>TOTAL PRESUPUESTO </c:v>
                </c:pt>
              </c:strCache>
            </c:strRef>
          </c:cat>
          <c:val>
            <c:numRef>
              <c:f>'Anexo 5-1 Ingresos'!$H$66:$H$70</c:f>
              <c:numCache>
                <c:formatCode>_ * #,##0_ ;_ * \-#,##0_ ;_ * "-"??_ ;_ @_ </c:formatCode>
                <c:ptCount val="5"/>
                <c:pt idx="0">
                  <c:v>7533000000</c:v>
                </c:pt>
                <c:pt idx="1">
                  <c:v>4948732790</c:v>
                </c:pt>
                <c:pt idx="2">
                  <c:v>5713990828</c:v>
                </c:pt>
                <c:pt idx="3">
                  <c:v>0</c:v>
                </c:pt>
                <c:pt idx="4">
                  <c:v>18195723618</c:v>
                </c:pt>
              </c:numCache>
            </c:numRef>
          </c:val>
        </c:ser>
        <c:ser>
          <c:idx val="1"/>
          <c:order val="1"/>
          <c:tx>
            <c:strRef>
              <c:f>'Anexo 5-1 Ingresos'!$I$65</c:f>
              <c:strCache>
                <c:ptCount val="1"/>
                <c:pt idx="0">
                  <c:v>Recaudado</c:v>
                </c:pt>
              </c:strCache>
            </c:strRef>
          </c:tx>
          <c:spPr>
            <a:solidFill>
              <a:schemeClr val="accent2"/>
            </a:solidFill>
            <a:ln>
              <a:noFill/>
            </a:ln>
            <a:effectLst/>
            <a:sp3d/>
          </c:spPr>
          <c:invertIfNegative val="0"/>
          <c:cat>
            <c:strRef>
              <c:f>'Anexo 5-1 Ingresos'!$G$66:$G$70</c:f>
              <c:strCache>
                <c:ptCount val="5"/>
                <c:pt idx="0">
                  <c:v>INGRESOS CORRIENTES</c:v>
                </c:pt>
                <c:pt idx="1">
                  <c:v>RECURSOS DE CAPITAL</c:v>
                </c:pt>
                <c:pt idx="2">
                  <c:v>APORTES DE LA NACION</c:v>
                </c:pt>
                <c:pt idx="3">
                  <c:v>SISTEMA GENERAL DE REGALIA</c:v>
                </c:pt>
                <c:pt idx="4">
                  <c:v>TOTAL PRESUPUESTO </c:v>
                </c:pt>
              </c:strCache>
            </c:strRef>
          </c:cat>
          <c:val>
            <c:numRef>
              <c:f>'Anexo 5-1 Ingresos'!$I$66:$I$70</c:f>
              <c:numCache>
                <c:formatCode>_ * #,##0_ ;_ * \-#,##0_ ;_ * "-"??_ ;_ @_ </c:formatCode>
                <c:ptCount val="5"/>
                <c:pt idx="0">
                  <c:v>3915768899.5299997</c:v>
                </c:pt>
                <c:pt idx="1">
                  <c:v>4344462106.5900002</c:v>
                </c:pt>
                <c:pt idx="2">
                  <c:v>1852379094.7</c:v>
                </c:pt>
                <c:pt idx="3">
                  <c:v>0</c:v>
                </c:pt>
                <c:pt idx="4">
                  <c:v>10112610100.82</c:v>
                </c:pt>
              </c:numCache>
            </c:numRef>
          </c:val>
        </c:ser>
        <c:dLbls>
          <c:showLegendKey val="0"/>
          <c:showVal val="0"/>
          <c:showCatName val="0"/>
          <c:showSerName val="0"/>
          <c:showPercent val="0"/>
          <c:showBubbleSize val="0"/>
        </c:dLbls>
        <c:gapWidth val="150"/>
        <c:shape val="box"/>
        <c:axId val="203195136"/>
        <c:axId val="203196672"/>
        <c:axId val="0"/>
      </c:bar3DChart>
      <c:catAx>
        <c:axId val="20319513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3196672"/>
        <c:crosses val="autoZero"/>
        <c:auto val="1"/>
        <c:lblAlgn val="ctr"/>
        <c:lblOffset val="100"/>
        <c:noMultiLvlLbl val="0"/>
      </c:catAx>
      <c:valAx>
        <c:axId val="203196672"/>
        <c:scaling>
          <c:orientation val="minMax"/>
        </c:scaling>
        <c:delete val="0"/>
        <c:axPos val="l"/>
        <c:majorGridlines>
          <c:spPr>
            <a:ln w="9525" cap="flat" cmpd="sng" algn="ctr">
              <a:solidFill>
                <a:schemeClr val="tx1">
                  <a:lumMod val="15000"/>
                  <a:lumOff val="85000"/>
                </a:schemeClr>
              </a:solidFill>
              <a:round/>
            </a:ln>
            <a:effectLst/>
          </c:spPr>
        </c:majorGridlines>
        <c:numFmt formatCode="_ * #,##0_ ;_ * \-#,##0_ ;_ * &quot;-&quot;??_ ;_ @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319513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'Anexo 5-2 Gastos'!$P$20</c:f>
              <c:strCache>
                <c:ptCount val="1"/>
                <c:pt idx="0">
                  <c:v>PRESUPUESTADO</c:v>
                </c:pt>
              </c:strCache>
            </c:strRef>
          </c:tx>
          <c:spPr>
            <a:solidFill>
              <a:schemeClr val="accent1"/>
            </a:solidFill>
            <a:ln>
              <a:noFill/>
            </a:ln>
            <a:effectLst/>
            <a:sp3d/>
          </c:spPr>
          <c:invertIfNegative val="0"/>
          <c:cat>
            <c:strRef>
              <c:f>'Anexo 5-2 Gastos'!$Q$19:$S$19</c:f>
              <c:strCache>
                <c:ptCount val="3"/>
                <c:pt idx="0">
                  <c:v>Funcionamiento</c:v>
                </c:pt>
                <c:pt idx="1">
                  <c:v>Inversion </c:v>
                </c:pt>
                <c:pt idx="2">
                  <c:v>Total</c:v>
                </c:pt>
              </c:strCache>
            </c:strRef>
          </c:cat>
          <c:val>
            <c:numRef>
              <c:f>'Anexo 5-2 Gastos'!$Q$20:$S$20</c:f>
              <c:numCache>
                <c:formatCode>_-* #,##0_-;\-* #,##0_-;_-* "-"??_-;_-@_-</c:formatCode>
                <c:ptCount val="3"/>
                <c:pt idx="0">
                  <c:v>7719931530</c:v>
                </c:pt>
                <c:pt idx="1">
                  <c:v>10637836323</c:v>
                </c:pt>
                <c:pt idx="2">
                  <c:v>18357767853</c:v>
                </c:pt>
              </c:numCache>
            </c:numRef>
          </c:val>
        </c:ser>
        <c:ser>
          <c:idx val="1"/>
          <c:order val="1"/>
          <c:tx>
            <c:strRef>
              <c:f>'Anexo 5-2 Gastos'!$P$21</c:f>
              <c:strCache>
                <c:ptCount val="1"/>
                <c:pt idx="0">
                  <c:v>COMPROMETIDO</c:v>
                </c:pt>
              </c:strCache>
            </c:strRef>
          </c:tx>
          <c:spPr>
            <a:solidFill>
              <a:schemeClr val="accent2"/>
            </a:solidFill>
            <a:ln>
              <a:noFill/>
            </a:ln>
            <a:effectLst/>
            <a:sp3d/>
          </c:spPr>
          <c:invertIfNegative val="0"/>
          <c:cat>
            <c:strRef>
              <c:f>'Anexo 5-2 Gastos'!$Q$19:$S$19</c:f>
              <c:strCache>
                <c:ptCount val="3"/>
                <c:pt idx="0">
                  <c:v>Funcionamiento</c:v>
                </c:pt>
                <c:pt idx="1">
                  <c:v>Inversion </c:v>
                </c:pt>
                <c:pt idx="2">
                  <c:v>Total</c:v>
                </c:pt>
              </c:strCache>
            </c:strRef>
          </c:cat>
          <c:val>
            <c:numRef>
              <c:f>'Anexo 5-2 Gastos'!$Q$21:$S$21</c:f>
              <c:numCache>
                <c:formatCode>_-* #,##0_-;\-* #,##0_-;_-* "-"??_-;_-@_-</c:formatCode>
                <c:ptCount val="3"/>
                <c:pt idx="0">
                  <c:v>3648984008.25</c:v>
                </c:pt>
                <c:pt idx="1">
                  <c:v>4554654951.5</c:v>
                </c:pt>
                <c:pt idx="2">
                  <c:v>8203638959.75</c:v>
                </c:pt>
              </c:numCache>
            </c:numRef>
          </c:val>
        </c:ser>
        <c:dLbls>
          <c:showLegendKey val="0"/>
          <c:showVal val="0"/>
          <c:showCatName val="0"/>
          <c:showSerName val="0"/>
          <c:showPercent val="0"/>
          <c:showBubbleSize val="0"/>
        </c:dLbls>
        <c:gapWidth val="150"/>
        <c:shape val="box"/>
        <c:axId val="203256192"/>
        <c:axId val="203257728"/>
        <c:axId val="0"/>
      </c:bar3DChart>
      <c:catAx>
        <c:axId val="20325619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3257728"/>
        <c:crosses val="autoZero"/>
        <c:auto val="1"/>
        <c:lblAlgn val="ctr"/>
        <c:lblOffset val="100"/>
        <c:noMultiLvlLbl val="0"/>
      </c:catAx>
      <c:valAx>
        <c:axId val="203257728"/>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325619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'Anexo 5-2 Gastos'!$O$53</c:f>
              <c:strCache>
                <c:ptCount val="1"/>
                <c:pt idx="0">
                  <c:v>COMPROMETIDO</c:v>
                </c:pt>
              </c:strCache>
            </c:strRef>
          </c:tx>
          <c:invertIfNegative val="0"/>
          <c:cat>
            <c:strRef>
              <c:f>'Anexo 5-2 Gastos'!$P$52:$R$52</c:f>
              <c:strCache>
                <c:ptCount val="3"/>
                <c:pt idx="0">
                  <c:v>Funcionamiento</c:v>
                </c:pt>
                <c:pt idx="1">
                  <c:v>Inversion </c:v>
                </c:pt>
                <c:pt idx="2">
                  <c:v>Total</c:v>
                </c:pt>
              </c:strCache>
            </c:strRef>
          </c:cat>
          <c:val>
            <c:numRef>
              <c:f>'Anexo 5-2 Gastos'!$P$53:$R$53</c:f>
              <c:numCache>
                <c:formatCode>_-* #,##0_-;\-* #,##0_-;_-* "-"??_-;_-@_-</c:formatCode>
                <c:ptCount val="3"/>
                <c:pt idx="0">
                  <c:v>3648984008.25</c:v>
                </c:pt>
                <c:pt idx="1">
                  <c:v>4554654951.5</c:v>
                </c:pt>
                <c:pt idx="2">
                  <c:v>8203638959.75</c:v>
                </c:pt>
              </c:numCache>
            </c:numRef>
          </c:val>
        </c:ser>
        <c:ser>
          <c:idx val="1"/>
          <c:order val="1"/>
          <c:tx>
            <c:strRef>
              <c:f>'Anexo 5-2 Gastos'!$O$54</c:f>
              <c:strCache>
                <c:ptCount val="1"/>
                <c:pt idx="0">
                  <c:v>PAGOS</c:v>
                </c:pt>
              </c:strCache>
            </c:strRef>
          </c:tx>
          <c:invertIfNegative val="0"/>
          <c:cat>
            <c:strRef>
              <c:f>'Anexo 5-2 Gastos'!$P$52:$R$52</c:f>
              <c:strCache>
                <c:ptCount val="3"/>
                <c:pt idx="0">
                  <c:v>Funcionamiento</c:v>
                </c:pt>
                <c:pt idx="1">
                  <c:v>Inversion </c:v>
                </c:pt>
                <c:pt idx="2">
                  <c:v>Total</c:v>
                </c:pt>
              </c:strCache>
            </c:strRef>
          </c:cat>
          <c:val>
            <c:numRef>
              <c:f>'Anexo 5-2 Gastos'!$P$54:$R$54</c:f>
              <c:numCache>
                <c:formatCode>_-* #,##0_-;\-* #,##0_-;_-* "-"??_-;_-@_-</c:formatCode>
                <c:ptCount val="3"/>
                <c:pt idx="0">
                  <c:v>1862175202.1399999</c:v>
                </c:pt>
                <c:pt idx="1">
                  <c:v>2359941605.5</c:v>
                </c:pt>
                <c:pt idx="2">
                  <c:v>4222116807.6399999</c:v>
                </c:pt>
              </c:numCache>
            </c:numRef>
          </c:val>
        </c:ser>
        <c:dLbls>
          <c:showLegendKey val="0"/>
          <c:showVal val="0"/>
          <c:showCatName val="0"/>
          <c:showSerName val="0"/>
          <c:showPercent val="0"/>
          <c:showBubbleSize val="0"/>
        </c:dLbls>
        <c:gapWidth val="150"/>
        <c:shape val="box"/>
        <c:axId val="203301248"/>
        <c:axId val="203302784"/>
        <c:axId val="0"/>
      </c:bar3DChart>
      <c:catAx>
        <c:axId val="203301248"/>
        <c:scaling>
          <c:orientation val="minMax"/>
        </c:scaling>
        <c:delete val="0"/>
        <c:axPos val="b"/>
        <c:majorTickMark val="none"/>
        <c:minorTickMark val="none"/>
        <c:tickLblPos val="nextTo"/>
        <c:crossAx val="203302784"/>
        <c:crosses val="autoZero"/>
        <c:auto val="1"/>
        <c:lblAlgn val="ctr"/>
        <c:lblOffset val="100"/>
        <c:noMultiLvlLbl val="0"/>
      </c:catAx>
      <c:valAx>
        <c:axId val="203302784"/>
        <c:scaling>
          <c:orientation val="minMax"/>
        </c:scaling>
        <c:delete val="0"/>
        <c:axPos val="l"/>
        <c:majorGridlines/>
        <c:numFmt formatCode="_-* #,##0_-;\-* #,##0_-;_-* &quot;-&quot;??_-;_-@_-" sourceLinked="1"/>
        <c:majorTickMark val="none"/>
        <c:minorTickMark val="none"/>
        <c:tickLblPos val="nextTo"/>
        <c:crossAx val="203301248"/>
        <c:crosses val="autoZero"/>
        <c:crossBetween val="between"/>
      </c:valAx>
      <c:dTable>
        <c:showHorzBorder val="1"/>
        <c:showVertBorder val="1"/>
        <c:showOutline val="1"/>
        <c:showKeys val="1"/>
      </c:dTable>
    </c:plotArea>
    <c:plotVisOnly val="1"/>
    <c:dispBlanksAs val="gap"/>
    <c:showDLblsOverMax val="0"/>
  </c:chart>
  <c:printSettings>
    <c:headerFooter/>
    <c:pageMargins b="0.75" l="0.7" r="0.7" t="0.75" header="0.3" footer="0.3"/>
    <c:pageSetup/>
  </c:printSettings>
</c:chartSpace>
</file>

<file path=xl/diagrams/colors1.xml><?xml version="1.0" encoding="utf-8"?>
<dgm:colorsDef xmlns:dgm="http://schemas.openxmlformats.org/drawingml/2006/diagram" xmlns:a="http://schemas.openxmlformats.org/drawingml/2006/main" uniqueId="urn:microsoft.com/office/officeart/2005/8/colors/colorful5">
  <dgm:title val=""/>
  <dgm:desc val=""/>
  <dgm:catLst>
    <dgm:cat type="colorful" pri="10500"/>
  </dgm:catLst>
  <dgm:styleLbl name="node0">
    <dgm:fillClrLst meth="repeat">
      <a:schemeClr val="accent4"/>
    </dgm:fillClrLst>
    <dgm:linClrLst meth="repeat">
      <a:schemeClr val="lt1"/>
    </dgm:linClrLst>
    <dgm:effectClrLst/>
    <dgm:txLinClrLst/>
    <dgm:txFillClrLst/>
    <dgm:txEffectClrLst/>
  </dgm:styleLbl>
  <dgm:styleLbl name="node1">
    <dgm:fillClrLst>
      <a:schemeClr val="accent5"/>
      <a:schemeClr val="accent6"/>
    </dgm:fillClrLst>
    <dgm:linClrLst meth="repeat">
      <a:schemeClr val="lt1"/>
    </dgm:linClrLst>
    <dgm:effectClrLst/>
    <dgm:txLinClrLst/>
    <dgm:txFillClrLst/>
    <dgm:txEffectClrLst/>
  </dgm:styleLbl>
  <dgm:styleLbl name="alignNode1">
    <dgm:fillClrLst>
      <a:schemeClr val="accent5"/>
      <a:schemeClr val="accent6"/>
    </dgm:fillClrLst>
    <dgm:linClrLst>
      <a:schemeClr val="accent5"/>
      <a:schemeClr val="accent6"/>
    </dgm:linClrLst>
    <dgm:effectClrLst/>
    <dgm:txLinClrLst/>
    <dgm:txFillClrLst/>
    <dgm:txEffectClrLst/>
  </dgm:styleLbl>
  <dgm:styleLbl name="lnNode1">
    <dgm:fillClrLst>
      <a:schemeClr val="accent5"/>
      <a:schemeClr val="accent6"/>
    </dgm:fillClrLst>
    <dgm:linClrLst meth="repeat">
      <a:schemeClr val="lt1"/>
    </dgm:linClrLst>
    <dgm:effectClrLst/>
    <dgm:txLinClrLst/>
    <dgm:txFillClrLst/>
    <dgm:txEffectClrLst/>
  </dgm:styleLbl>
  <dgm:styleLbl name="vennNode1">
    <dgm:fillClrLst>
      <a:schemeClr val="accent5">
        <a:alpha val="50000"/>
      </a:schemeClr>
      <a:schemeClr val="accent6">
        <a:alpha val="50000"/>
      </a:schemeClr>
    </dgm:fillClrLst>
    <dgm:linClrLst meth="repeat">
      <a:schemeClr val="lt1"/>
    </dgm:linClrLst>
    <dgm:effectClrLst/>
    <dgm:txLinClrLst/>
    <dgm:txFillClrLst/>
    <dgm:txEffectClrLst/>
  </dgm:styleLbl>
  <dgm:styleLbl name="node2">
    <dgm:fillClrLst>
      <a:schemeClr val="accent6"/>
    </dgm:fillClrLst>
    <dgm:linClrLst meth="repeat">
      <a:schemeClr val="lt1"/>
    </dgm:linClrLst>
    <dgm:effectClrLst/>
    <dgm:txLinClrLst/>
    <dgm:txFillClrLst/>
    <dgm:txEffectClrLst/>
  </dgm:styleLbl>
  <dgm:styleLbl name="node3">
    <dgm:fillClrLst>
      <a:schemeClr val="accent1"/>
    </dgm:fillClrLst>
    <dgm:linClrLst meth="repeat">
      <a:schemeClr val="lt1"/>
    </dgm:linClrLst>
    <dgm:effectClrLst/>
    <dgm:txLinClrLst/>
    <dgm:txFillClrLst/>
    <dgm:txEffectClrLst/>
  </dgm:styleLbl>
  <dgm:styleLbl name="node4">
    <dgm:fillClrLst>
      <a:schemeClr val="accent2"/>
    </dgm:fillClrLst>
    <dgm:linClrLst meth="repeat">
      <a:schemeClr val="lt1"/>
    </dgm:linClrLst>
    <dgm:effectClrLst/>
    <dgm:txLinClrLst/>
    <dgm:txFillClrLst/>
    <dgm:txEffectClrLst/>
  </dgm:styleLbl>
  <dgm:styleLbl name="fgImgPlace1">
    <dgm:fillClrLst>
      <a:schemeClr val="accent5">
        <a:tint val="50000"/>
      </a:schemeClr>
      <a:schemeClr val="accent6">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5"/>
      <a:schemeClr val="accent6"/>
    </dgm:fillClrLst>
    <dgm:linClrLst meth="repeat">
      <a:schemeClr val="lt1"/>
    </dgm:linClrLst>
    <dgm:effectClrLst/>
    <dgm:txLinClrLst/>
    <dgm:txFillClrLst/>
    <dgm:txEffectClrLst/>
  </dgm:styleLbl>
  <dgm:styleLbl name="fgSibTrans2D1">
    <dgm:fillClrLst>
      <a:schemeClr val="accent5"/>
      <a:schemeClr val="accent6"/>
    </dgm:fillClrLst>
    <dgm:linClrLst meth="repeat">
      <a:schemeClr val="lt1"/>
    </dgm:linClrLst>
    <dgm:effectClrLst/>
    <dgm:txLinClrLst/>
    <dgm:txFillClrLst meth="repeat">
      <a:schemeClr val="lt1"/>
    </dgm:txFillClrLst>
    <dgm:txEffectClrLst/>
  </dgm:styleLbl>
  <dgm:styleLbl name="bgSibTrans2D1">
    <dgm:fillClrLst>
      <a:schemeClr val="accent5"/>
      <a:schemeClr val="accent6"/>
    </dgm:fillClrLst>
    <dgm:linClrLst meth="repeat">
      <a:schemeClr val="lt1"/>
    </dgm:linClrLst>
    <dgm:effectClrLst/>
    <dgm:txLinClrLst/>
    <dgm:txFillClrLst meth="repeat">
      <a:schemeClr val="lt1"/>
    </dgm:txFillClrLst>
    <dgm:txEffectClrLst/>
  </dgm:styleLbl>
  <dgm:styleLbl name="sibTrans1D1">
    <dgm:fillClrLst/>
    <dgm:linClrLst>
      <a:schemeClr val="accent5"/>
      <a:schemeClr val="accent6"/>
    </dgm:linClrLst>
    <dgm:effectClrLst/>
    <dgm:txLinClrLst/>
    <dgm:txFillClrLst meth="repeat">
      <a:schemeClr val="tx1"/>
    </dgm:txFillClrLst>
    <dgm:txEffectClrLst/>
  </dgm:styleLbl>
  <dgm:styleLbl name="callout">
    <dgm:fillClrLst meth="repeat">
      <a:schemeClr val="accent5"/>
    </dgm:fillClrLst>
    <dgm:linClrLst meth="repeat">
      <a:schemeClr val="accent5">
        <a:tint val="50000"/>
      </a:schemeClr>
    </dgm:linClrLst>
    <dgm:effectClrLst/>
    <dgm:txLinClrLst/>
    <dgm:txFillClrLst meth="repeat">
      <a:schemeClr val="tx1"/>
    </dgm:txFillClrLst>
    <dgm:txEffectClrLst/>
  </dgm:styleLbl>
  <dgm:styleLbl name="asst0">
    <dgm:fillClrLst meth="repeat">
      <a:schemeClr val="accent5"/>
    </dgm:fillClrLst>
    <dgm:linClrLst meth="repeat">
      <a:schemeClr val="lt1">
        <a:shade val="80000"/>
      </a:schemeClr>
    </dgm:linClrLst>
    <dgm:effectClrLst/>
    <dgm:txLinClrLst/>
    <dgm:txFillClrLst/>
    <dgm:txEffectClrLst/>
  </dgm:styleLbl>
  <dgm:styleLbl name="asst1">
    <dgm:fillClrLst meth="repeat">
      <a:schemeClr val="accent6"/>
    </dgm:fillClrLst>
    <dgm:linClrLst meth="repeat">
      <a:schemeClr val="lt1">
        <a:shade val="80000"/>
      </a:schemeClr>
    </dgm:linClrLst>
    <dgm:effectClrLst/>
    <dgm:txLinClrLst/>
    <dgm:txFillClrLst/>
    <dgm:txEffectClrLst/>
  </dgm:styleLbl>
  <dgm:styleLbl name="asst2">
    <dgm:fillClrLst>
      <a:schemeClr val="accent1"/>
    </dgm:fillClrLst>
    <dgm:linClrLst meth="repeat">
      <a:schemeClr val="lt1"/>
    </dgm:linClrLst>
    <dgm:effectClrLst/>
    <dgm:txLinClrLst/>
    <dgm:txFillClrLst/>
    <dgm:txEffectClrLst/>
  </dgm:styleLbl>
  <dgm:styleLbl name="asst3">
    <dgm:fillClrLst>
      <a:schemeClr val="accent2"/>
    </dgm:fillClrLst>
    <dgm:linClrLst meth="repeat">
      <a:schemeClr val="lt1"/>
    </dgm:linClrLst>
    <dgm:effectClrLst/>
    <dgm:txLinClrLst/>
    <dgm:txFillClrLst/>
    <dgm:txEffectClrLst/>
  </dgm:styleLbl>
  <dgm:styleLbl name="asst4">
    <dgm:fillClrLst>
      <a:schemeClr val="accent3"/>
    </dgm:fillClrLst>
    <dgm:linClrLst meth="repeat">
      <a:schemeClr val="lt1"/>
    </dgm:linClrLst>
    <dgm:effectClrLst/>
    <dgm:txLinClrLst/>
    <dgm:txFillClrLst/>
    <dgm:txEffectClrLst/>
  </dgm:styleLbl>
  <dgm:styleLbl name="parChTrans2D1">
    <dgm:fillClrLst meth="repeat">
      <a:schemeClr val="accent5"/>
    </dgm:fillClrLst>
    <dgm:linClrLst meth="repeat">
      <a:schemeClr val="lt1"/>
    </dgm:linClrLst>
    <dgm:effectClrLst/>
    <dgm:txLinClrLst/>
    <dgm:txFillClrLst meth="repeat">
      <a:schemeClr val="lt1"/>
    </dgm:txFillClrLst>
    <dgm:txEffectClrLst/>
  </dgm:styleLbl>
  <dgm:styleLbl name="parChTrans2D2">
    <dgm:fillClrLst meth="repeat">
      <a:schemeClr val="accent6"/>
    </dgm:fillClrLst>
    <dgm:linClrLst meth="repeat">
      <a:schemeClr val="lt1"/>
    </dgm:linClrLst>
    <dgm:effectClrLst/>
    <dgm:txLinClrLst/>
    <dgm:txFillClrLst/>
    <dgm:txEffectClrLst/>
  </dgm:styleLbl>
  <dgm:styleLbl name="parChTrans2D3">
    <dgm:fillClrLst meth="repeat">
      <a:schemeClr val="accent6"/>
    </dgm:fillClrLst>
    <dgm:linClrLst meth="repeat">
      <a:schemeClr val="lt1"/>
    </dgm:linClrLst>
    <dgm:effectClrLst/>
    <dgm:txLinClrLst/>
    <dgm:txFillClrLst/>
    <dgm:txEffectClrLst/>
  </dgm:styleLbl>
  <dgm:styleLbl name="parChTrans2D4">
    <dgm:fillClrLst meth="repeat">
      <a:schemeClr val="accent1"/>
    </dgm:fillClrLst>
    <dgm:linClrLst meth="repeat">
      <a:schemeClr val="lt1"/>
    </dgm:linClrLst>
    <dgm:effectClrLst/>
    <dgm:txLinClrLst/>
    <dgm:txFillClrLst meth="repeat">
      <a:schemeClr val="lt1"/>
    </dgm:txFillClrLst>
    <dgm:txEffectClrLst/>
  </dgm:styleLbl>
  <dgm:styleLbl name="parChTrans1D1">
    <dgm:fillClrLst meth="repeat">
      <a:schemeClr val="accent5"/>
    </dgm:fillClrLst>
    <dgm:linClrLst meth="repeat">
      <a:schemeClr val="accent5"/>
    </dgm:linClrLst>
    <dgm:effectClrLst/>
    <dgm:txLinClrLst/>
    <dgm:txFillClrLst meth="repeat">
      <a:schemeClr val="tx1"/>
    </dgm:txFillClrLst>
    <dgm:txEffectClrLst/>
  </dgm:styleLbl>
  <dgm:styleLbl name="parChTrans1D2">
    <dgm:fillClrLst meth="repeat">
      <a:schemeClr val="accent6">
        <a:tint val="90000"/>
      </a:schemeClr>
    </dgm:fillClrLst>
    <dgm:linClrLst meth="repeat">
      <a:schemeClr val="accent6"/>
    </dgm:linClrLst>
    <dgm:effectClrLst/>
    <dgm:txLinClrLst/>
    <dgm:txFillClrLst meth="repeat">
      <a:schemeClr val="tx1"/>
    </dgm:txFillClrLst>
    <dgm:txEffectClrLst/>
  </dgm:styleLbl>
  <dgm:styleLbl name="parChTrans1D3">
    <dgm:fillClrLst meth="repeat">
      <a:schemeClr val="accent6">
        <a:tint val="70000"/>
      </a:schemeClr>
    </dgm:fillClrLst>
    <dgm:linClrLst meth="repeat">
      <a:schemeClr val="accent1"/>
    </dgm:linClrLst>
    <dgm:effectClrLst/>
    <dgm:txLinClrLst/>
    <dgm:txFillClrLst meth="repeat">
      <a:schemeClr val="tx1"/>
    </dgm:txFillClrLst>
    <dgm:txEffectClrLst/>
  </dgm:styleLbl>
  <dgm:styleLbl name="parChTrans1D4">
    <dgm:fillClrLst meth="repeat">
      <a:schemeClr val="accent6">
        <a:tint val="50000"/>
      </a:schemeClr>
    </dgm:fillClrLst>
    <dgm:linClrLst meth="repeat">
      <a:schemeClr val="accent2"/>
    </dgm:linClrLst>
    <dgm:effectClrLst/>
    <dgm:txLinClrLst/>
    <dgm:txFillClrLst meth="repeat">
      <a:schemeClr val="tx1"/>
    </dgm:txFillClrLst>
    <dgm:txEffectClrLst/>
  </dgm:styleLbl>
  <dgm:styleLbl name="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con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align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5"/>
    </dgm:linClrLst>
    <dgm:effectClrLst/>
    <dgm:txLinClrLst/>
    <dgm:txFillClrLst meth="repeat">
      <a:schemeClr val="dk1"/>
    </dgm:txFillClrLst>
    <dgm:txEffectClrLst/>
  </dgm:styleLbl>
  <dgm:styleLbl name="b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solidFgAcc1">
    <dgm:fillClrLst meth="repeat">
      <a:schemeClr val="lt1"/>
    </dgm:fillClrLst>
    <dgm:linClrLst>
      <a:schemeClr val="accent5"/>
      <a:schemeClr val="accent6"/>
    </dgm:linClrLst>
    <dgm:effectClrLst/>
    <dgm:txLinClrLst/>
    <dgm:txFillClrLst meth="repeat">
      <a:schemeClr val="dk1"/>
    </dgm:txFillClrLst>
    <dgm:txEffectClrLst/>
  </dgm:styleLbl>
  <dgm:styleLbl name="solidAlignAcc1">
    <dgm:fillClrLst meth="repeat">
      <a:schemeClr val="lt1"/>
    </dgm:fillClrLst>
    <dgm:linClrLst>
      <a:schemeClr val="accent5"/>
      <a:schemeClr val="accent6"/>
    </dgm:linClrLst>
    <dgm:effectClrLst/>
    <dgm:txLinClrLst/>
    <dgm:txFillClrLst meth="repeat">
      <a:schemeClr val="dk1"/>
    </dgm:txFillClrLst>
    <dgm:txEffectClrLst/>
  </dgm:styleLbl>
  <dgm:styleLbl name="solidBgAcc1">
    <dgm:fillClrLst meth="repeat">
      <a:schemeClr val="lt1"/>
    </dgm:fillClrLst>
    <dgm:linClrLst>
      <a:schemeClr val="accent5"/>
      <a:schemeClr val="accent6"/>
    </dgm:linClrLst>
    <dgm:effectClrLst/>
    <dgm:txLinClrLst/>
    <dgm:txFillClrLst meth="repeat">
      <a:schemeClr val="dk1"/>
    </dgm:txFillClrLst>
    <dgm:txEffectClrLst/>
  </dgm:styleLbl>
  <dgm:styleLbl name="fgAccFollowNode1">
    <dgm:fillClrLst>
      <a:schemeClr val="accent5">
        <a:tint val="40000"/>
        <a:alpha val="90000"/>
      </a:schemeClr>
      <a:schemeClr val="accent6">
        <a:tint val="40000"/>
        <a:alpha val="90000"/>
      </a:schemeClr>
    </dgm:fillClrLst>
    <dgm:linClrLst>
      <a:schemeClr val="accent5">
        <a:tint val="40000"/>
        <a:alpha val="90000"/>
      </a:schemeClr>
      <a:schemeClr val="accent5">
        <a:tint val="40000"/>
        <a:alpha val="90000"/>
      </a:schemeClr>
    </dgm:linClrLst>
    <dgm:effectClrLst/>
    <dgm:txLinClrLst/>
    <dgm:txFillClrLst meth="repeat">
      <a:schemeClr val="dk1"/>
    </dgm:txFillClrLst>
    <dgm:txEffectClrLst/>
  </dgm:styleLbl>
  <dgm:styleLbl name="align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bg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4"/>
    </dgm:linClrLst>
    <dgm:effectClrLst/>
    <dgm:txLinClrLst/>
    <dgm:txFillClrLst meth="repeat">
      <a:schemeClr val="dk1"/>
    </dgm:txFillClrLst>
    <dgm:txEffectClrLst/>
  </dgm:styleLbl>
  <dgm:styleLbl name="fgAcc2">
    <dgm:fillClrLst meth="repeat">
      <a:schemeClr val="lt1">
        <a:alpha val="90000"/>
      </a:schemeClr>
    </dgm:fillClrLst>
    <dgm:linClrLst>
      <a:schemeClr val="accent6"/>
    </dgm:linClrLst>
    <dgm:effectClrLst/>
    <dgm:txLinClrLst/>
    <dgm:txFillClrLst meth="repeat">
      <a:schemeClr val="dk1"/>
    </dgm:txFillClrLst>
    <dgm:txEffectClrLst/>
  </dgm:styleLbl>
  <dgm:styleLbl name="fgAcc3">
    <dgm:fillClrLst meth="repeat">
      <a:schemeClr val="lt1">
        <a:alpha val="90000"/>
      </a:schemeClr>
    </dgm:fillClrLst>
    <dgm:linClrLst>
      <a:schemeClr val="accent1"/>
    </dgm:linClrLst>
    <dgm:effectClrLst/>
    <dgm:txLinClrLst/>
    <dgm:txFillClrLst meth="repeat">
      <a:schemeClr val="dk1"/>
    </dgm:txFillClrLst>
    <dgm:txEffectClrLst/>
  </dgm:styleLbl>
  <dgm:styleLbl name="fgAcc4">
    <dgm:fillClrLst meth="repeat">
      <a:schemeClr val="lt1">
        <a:alpha val="90000"/>
      </a:schemeClr>
    </dgm:fillClrLst>
    <dgm:linClrLst>
      <a:schemeClr val="accent2"/>
    </dgm:linClrLst>
    <dgm:effectClrLst/>
    <dgm:txLinClrLst/>
    <dgm:txFillClrLst meth="repeat">
      <a:schemeClr val="dk1"/>
    </dgm:txFillClrLst>
    <dgm:txEffectClrLst/>
  </dgm:styleLbl>
  <dgm:styleLbl name="bgShp">
    <dgm:fillClrLst meth="repeat">
      <a:schemeClr val="accent5">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5">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5">
        <a:tint val="50000"/>
        <a:alpha val="40000"/>
      </a:schemeClr>
    </dgm:fillClrLst>
    <dgm:linClrLst meth="repeat">
      <a:schemeClr val="accent5"/>
    </dgm:linClrLst>
    <dgm:effectClrLst/>
    <dgm:txLinClrLst/>
    <dgm:txFillClrLst meth="repeat">
      <a:schemeClr val="lt1"/>
    </dgm:txFillClrLst>
    <dgm:txEffectClrLst/>
  </dgm:styleLbl>
  <dgm:styleLbl name="fgShp">
    <dgm:fillClrLst meth="repeat">
      <a:schemeClr val="accent5">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DCD48D7A-4B03-4423-8CB5-5C5D79405805}" type="doc">
      <dgm:prSet loTypeId="urn:microsoft.com/office/officeart/2005/8/layout/list1" loCatId="list" qsTypeId="urn:microsoft.com/office/officeart/2005/8/quickstyle/simple1" qsCatId="simple" csTypeId="urn:microsoft.com/office/officeart/2005/8/colors/colorful5" csCatId="colorful" phldr="1"/>
      <dgm:spPr/>
      <dgm:t>
        <a:bodyPr/>
        <a:lstStyle/>
        <a:p>
          <a:endParaRPr lang="es-CO"/>
        </a:p>
      </dgm:t>
    </dgm:pt>
    <dgm:pt modelId="{2CB7F8B1-2637-4408-9185-3A95A2E4D4D4}">
      <dgm:prSet phldrT="[Texto]" custT="1"/>
      <dgm:spPr/>
      <dgm:t>
        <a:bodyPr/>
        <a:lstStyle/>
        <a:p>
          <a:r>
            <a:rPr lang="es-CO" sz="900" b="1"/>
            <a:t>1. FASE DE PREPARACION</a:t>
          </a:r>
        </a:p>
      </dgm:t>
    </dgm:pt>
    <dgm:pt modelId="{64144A9E-10F1-4862-BFC7-09D5896ACB2E}" type="parTrans" cxnId="{DF270C1B-8DAC-4DC2-9C2B-404524166343}">
      <dgm:prSet/>
      <dgm:spPr/>
      <dgm:t>
        <a:bodyPr/>
        <a:lstStyle/>
        <a:p>
          <a:endParaRPr lang="es-CO" sz="2000"/>
        </a:p>
      </dgm:t>
    </dgm:pt>
    <dgm:pt modelId="{1E2C00AA-92AD-4DFD-ADBE-9EE00E1BF72B}" type="sibTrans" cxnId="{DF270C1B-8DAC-4DC2-9C2B-404524166343}">
      <dgm:prSet/>
      <dgm:spPr/>
      <dgm:t>
        <a:bodyPr/>
        <a:lstStyle/>
        <a:p>
          <a:endParaRPr lang="es-CO" sz="2000"/>
        </a:p>
      </dgm:t>
    </dgm:pt>
    <dgm:pt modelId="{8069E184-766F-4E8B-A1E8-51EDBCF8B787}">
      <dgm:prSet phldrT="[Texto]" custT="1"/>
      <dgm:spPr/>
      <dgm:t>
        <a:bodyPr/>
        <a:lstStyle/>
        <a:p>
          <a:r>
            <a:rPr lang="es-CO" sz="900" b="1"/>
            <a:t>2. FASE DE APRESTAMIENTO</a:t>
          </a:r>
        </a:p>
      </dgm:t>
    </dgm:pt>
    <dgm:pt modelId="{F64789F9-D1CE-4AFA-889E-41DC5016CFAB}" type="parTrans" cxnId="{A2827875-87B0-4C3D-9E40-622962BC691D}">
      <dgm:prSet/>
      <dgm:spPr/>
      <dgm:t>
        <a:bodyPr/>
        <a:lstStyle/>
        <a:p>
          <a:endParaRPr lang="es-CO" sz="2000"/>
        </a:p>
      </dgm:t>
    </dgm:pt>
    <dgm:pt modelId="{93F1D987-E557-4E03-8C29-D08B5E8AAD1B}" type="sibTrans" cxnId="{A2827875-87B0-4C3D-9E40-622962BC691D}">
      <dgm:prSet/>
      <dgm:spPr/>
      <dgm:t>
        <a:bodyPr/>
        <a:lstStyle/>
        <a:p>
          <a:endParaRPr lang="es-CO" sz="2000"/>
        </a:p>
      </dgm:t>
    </dgm:pt>
    <dgm:pt modelId="{717ECC8B-6813-4A27-9DC1-A0349E570257}">
      <dgm:prSet phldrT="[Texto]" custT="1"/>
      <dgm:spPr/>
      <dgm:t>
        <a:bodyPr/>
        <a:lstStyle/>
        <a:p>
          <a:r>
            <a:rPr lang="es-CO" sz="900" b="1"/>
            <a:t>3. FASE  LOGISTICA Y OPERATIVA</a:t>
          </a:r>
        </a:p>
      </dgm:t>
    </dgm:pt>
    <dgm:pt modelId="{D945DCAA-29DE-415E-9EC0-2EA9CDBA637F}" type="parTrans" cxnId="{48FD79B7-0A80-4168-B74D-E45585C648D8}">
      <dgm:prSet/>
      <dgm:spPr/>
      <dgm:t>
        <a:bodyPr/>
        <a:lstStyle/>
        <a:p>
          <a:endParaRPr lang="es-CO" sz="2000"/>
        </a:p>
      </dgm:t>
    </dgm:pt>
    <dgm:pt modelId="{60E19195-CF68-47DE-9785-66C048977208}" type="sibTrans" cxnId="{48FD79B7-0A80-4168-B74D-E45585C648D8}">
      <dgm:prSet/>
      <dgm:spPr/>
      <dgm:t>
        <a:bodyPr/>
        <a:lstStyle/>
        <a:p>
          <a:endParaRPr lang="es-CO" sz="2000"/>
        </a:p>
      </dgm:t>
    </dgm:pt>
    <dgm:pt modelId="{D49A736D-D090-4C3F-B7C8-90E12189F4E6}">
      <dgm:prSet custT="1"/>
      <dgm:spPr/>
      <dgm:t>
        <a:bodyPr/>
        <a:lstStyle/>
        <a:p>
          <a:r>
            <a:rPr lang="es-CO" sz="900"/>
            <a:t>Definición de la unidad objeto de ordenación forestal</a:t>
          </a:r>
        </a:p>
      </dgm:t>
    </dgm:pt>
    <dgm:pt modelId="{6CB8211D-3027-42B8-8E1D-7F7CC0C2C2AF}" type="parTrans" cxnId="{6E1DD283-6A02-4C7B-967E-43E4F2241590}">
      <dgm:prSet/>
      <dgm:spPr/>
      <dgm:t>
        <a:bodyPr/>
        <a:lstStyle/>
        <a:p>
          <a:endParaRPr lang="es-CO" sz="2000"/>
        </a:p>
      </dgm:t>
    </dgm:pt>
    <dgm:pt modelId="{085597EB-8A00-4F32-B9FE-6AE8F6AD66DB}" type="sibTrans" cxnId="{6E1DD283-6A02-4C7B-967E-43E4F2241590}">
      <dgm:prSet/>
      <dgm:spPr/>
      <dgm:t>
        <a:bodyPr/>
        <a:lstStyle/>
        <a:p>
          <a:endParaRPr lang="es-CO" sz="2000"/>
        </a:p>
      </dgm:t>
    </dgm:pt>
    <dgm:pt modelId="{789B5BC8-288B-4DDA-AB25-039F66BEA3B1}">
      <dgm:prSet custT="1"/>
      <dgm:spPr/>
      <dgm:t>
        <a:bodyPr/>
        <a:lstStyle/>
        <a:p>
          <a:r>
            <a:rPr lang="es-CO" sz="900"/>
            <a:t>Asignación de recursos</a:t>
          </a:r>
        </a:p>
      </dgm:t>
    </dgm:pt>
    <dgm:pt modelId="{20DF2F84-B159-462C-A073-B863B19CCFA9}" type="parTrans" cxnId="{A8694B9B-DC05-4BB0-A409-CBB61FB7F639}">
      <dgm:prSet/>
      <dgm:spPr/>
      <dgm:t>
        <a:bodyPr/>
        <a:lstStyle/>
        <a:p>
          <a:endParaRPr lang="es-CO" sz="2000"/>
        </a:p>
      </dgm:t>
    </dgm:pt>
    <dgm:pt modelId="{F75FF99A-F150-48D0-B60B-5CB30D5A0E5A}" type="sibTrans" cxnId="{A8694B9B-DC05-4BB0-A409-CBB61FB7F639}">
      <dgm:prSet/>
      <dgm:spPr/>
      <dgm:t>
        <a:bodyPr/>
        <a:lstStyle/>
        <a:p>
          <a:endParaRPr lang="es-CO" sz="2000"/>
        </a:p>
      </dgm:t>
    </dgm:pt>
    <dgm:pt modelId="{98B28FD7-1DA8-4B1D-A743-BD64C0AAE85A}">
      <dgm:prSet custT="1"/>
      <dgm:spPr/>
      <dgm:t>
        <a:bodyPr/>
        <a:lstStyle/>
        <a:p>
          <a:r>
            <a:rPr lang="es-CO" sz="900"/>
            <a:t>Inicio del proceso pre y contractual</a:t>
          </a:r>
        </a:p>
      </dgm:t>
    </dgm:pt>
    <dgm:pt modelId="{6A5ADD14-5B36-4C8F-9B65-6460DDCE482E}" type="parTrans" cxnId="{C57E6554-2260-4CA8-9E7D-8591D135E53F}">
      <dgm:prSet/>
      <dgm:spPr/>
      <dgm:t>
        <a:bodyPr/>
        <a:lstStyle/>
        <a:p>
          <a:endParaRPr lang="es-CO" sz="2000"/>
        </a:p>
      </dgm:t>
    </dgm:pt>
    <dgm:pt modelId="{55643889-0069-4635-8EFF-361433B6492D}" type="sibTrans" cxnId="{C57E6554-2260-4CA8-9E7D-8591D135E53F}">
      <dgm:prSet/>
      <dgm:spPr/>
      <dgm:t>
        <a:bodyPr/>
        <a:lstStyle/>
        <a:p>
          <a:endParaRPr lang="es-CO" sz="2000"/>
        </a:p>
      </dgm:t>
    </dgm:pt>
    <dgm:pt modelId="{4E33CAE3-BFA7-460A-ADA1-9740AF500CD1}">
      <dgm:prSet custT="1"/>
      <dgm:spPr/>
      <dgm:t>
        <a:bodyPr/>
        <a:lstStyle/>
        <a:p>
          <a:r>
            <a:rPr lang="es-CO" sz="900"/>
            <a:t>Consulta, validación y digitalización de información secundaria</a:t>
          </a:r>
        </a:p>
      </dgm:t>
    </dgm:pt>
    <dgm:pt modelId="{9DB4B8DC-C792-4F88-B9F0-3F8C466B68ED}" type="parTrans" cxnId="{3BF7423E-3DB0-4A87-A18C-2FC41867B2B4}">
      <dgm:prSet/>
      <dgm:spPr/>
      <dgm:t>
        <a:bodyPr/>
        <a:lstStyle/>
        <a:p>
          <a:endParaRPr lang="es-CO" sz="2000"/>
        </a:p>
      </dgm:t>
    </dgm:pt>
    <dgm:pt modelId="{4C4701A6-649F-4B75-8728-83D55A5A5663}" type="sibTrans" cxnId="{3BF7423E-3DB0-4A87-A18C-2FC41867B2B4}">
      <dgm:prSet/>
      <dgm:spPr/>
      <dgm:t>
        <a:bodyPr/>
        <a:lstStyle/>
        <a:p>
          <a:endParaRPr lang="es-CO" sz="2000"/>
        </a:p>
      </dgm:t>
    </dgm:pt>
    <dgm:pt modelId="{08ED7DEB-8B98-40A9-9699-ACCFB829DBE2}">
      <dgm:prSet custT="1"/>
      <dgm:spPr/>
      <dgm:t>
        <a:bodyPr/>
        <a:lstStyle/>
        <a:p>
          <a:r>
            <a:rPr lang="es-CO" sz="900"/>
            <a:t>Procesamiento e interpretación de imágenes satelitales</a:t>
          </a:r>
        </a:p>
      </dgm:t>
    </dgm:pt>
    <dgm:pt modelId="{C96799B1-BF4C-4F01-9A1B-8BF2A3D32A1B}" type="parTrans" cxnId="{9A2394D6-DEA8-457C-A7F6-0CA60D78D7EA}">
      <dgm:prSet/>
      <dgm:spPr/>
      <dgm:t>
        <a:bodyPr/>
        <a:lstStyle/>
        <a:p>
          <a:endParaRPr lang="es-CO" sz="2000"/>
        </a:p>
      </dgm:t>
    </dgm:pt>
    <dgm:pt modelId="{BC1C2EC9-649F-493C-B095-2F14FEE273F0}" type="sibTrans" cxnId="{9A2394D6-DEA8-457C-A7F6-0CA60D78D7EA}">
      <dgm:prSet/>
      <dgm:spPr/>
      <dgm:t>
        <a:bodyPr/>
        <a:lstStyle/>
        <a:p>
          <a:endParaRPr lang="es-CO" sz="2000"/>
        </a:p>
      </dgm:t>
    </dgm:pt>
    <dgm:pt modelId="{C8F6D009-A118-4555-A677-CBA61BF6F0D5}">
      <dgm:prSet custT="1"/>
      <dgm:spPr/>
      <dgm:t>
        <a:bodyPr/>
        <a:lstStyle/>
        <a:p>
          <a:r>
            <a:rPr lang="es-CO" sz="900"/>
            <a:t>Generación de información cartográfica preliminar</a:t>
          </a:r>
        </a:p>
      </dgm:t>
    </dgm:pt>
    <dgm:pt modelId="{C71E5930-069B-45A4-B7EB-02FF81630C0E}" type="parTrans" cxnId="{47FA276C-8AB9-4C50-93CB-3C240B93E4C4}">
      <dgm:prSet/>
      <dgm:spPr/>
      <dgm:t>
        <a:bodyPr/>
        <a:lstStyle/>
        <a:p>
          <a:endParaRPr lang="es-CO" sz="2000"/>
        </a:p>
      </dgm:t>
    </dgm:pt>
    <dgm:pt modelId="{EC10895F-10B2-42FD-BCC8-4993E1130164}" type="sibTrans" cxnId="{47FA276C-8AB9-4C50-93CB-3C240B93E4C4}">
      <dgm:prSet/>
      <dgm:spPr/>
      <dgm:t>
        <a:bodyPr/>
        <a:lstStyle/>
        <a:p>
          <a:endParaRPr lang="es-CO" sz="2000"/>
        </a:p>
      </dgm:t>
    </dgm:pt>
    <dgm:pt modelId="{FFA71FF0-2ACD-4163-B043-1EB367B6C2B1}">
      <dgm:prSet custT="1"/>
      <dgm:spPr/>
      <dgm:t>
        <a:bodyPr/>
        <a:lstStyle/>
        <a:p>
          <a:r>
            <a:rPr lang="es-CO" sz="900"/>
            <a:t>Definición de metodología para levantamiento de información primaria</a:t>
          </a:r>
        </a:p>
      </dgm:t>
    </dgm:pt>
    <dgm:pt modelId="{201802FC-6167-42F1-933E-394845600453}" type="parTrans" cxnId="{478F5893-B289-4B36-A04A-A02DEA40ACC3}">
      <dgm:prSet/>
      <dgm:spPr/>
      <dgm:t>
        <a:bodyPr/>
        <a:lstStyle/>
        <a:p>
          <a:endParaRPr lang="es-CO" sz="2000"/>
        </a:p>
      </dgm:t>
    </dgm:pt>
    <dgm:pt modelId="{B39A6FB6-B160-47AD-A274-EF0DD243C32D}" type="sibTrans" cxnId="{478F5893-B289-4B36-A04A-A02DEA40ACC3}">
      <dgm:prSet/>
      <dgm:spPr/>
      <dgm:t>
        <a:bodyPr/>
        <a:lstStyle/>
        <a:p>
          <a:endParaRPr lang="es-CO" sz="2000"/>
        </a:p>
      </dgm:t>
    </dgm:pt>
    <dgm:pt modelId="{90932CD4-98AF-4D20-B3A5-3F4217DAB33C}">
      <dgm:prSet custT="1"/>
      <dgm:spPr/>
      <dgm:t>
        <a:bodyPr/>
        <a:lstStyle/>
        <a:p>
          <a:r>
            <a:rPr lang="es-CO" sz="900"/>
            <a:t>Socialización y acuerdos con actores regionales y locales</a:t>
          </a:r>
        </a:p>
      </dgm:t>
    </dgm:pt>
    <dgm:pt modelId="{D4A14047-4231-4EAE-82B4-884A078437F6}" type="parTrans" cxnId="{86FF9304-A88E-4E74-AECB-FD793CD64EBE}">
      <dgm:prSet/>
      <dgm:spPr/>
      <dgm:t>
        <a:bodyPr/>
        <a:lstStyle/>
        <a:p>
          <a:endParaRPr lang="es-CO" sz="2000"/>
        </a:p>
      </dgm:t>
    </dgm:pt>
    <dgm:pt modelId="{678DBBEA-15F8-4CEC-BE62-3B0B23BED2F8}" type="sibTrans" cxnId="{86FF9304-A88E-4E74-AECB-FD793CD64EBE}">
      <dgm:prSet/>
      <dgm:spPr/>
      <dgm:t>
        <a:bodyPr/>
        <a:lstStyle/>
        <a:p>
          <a:endParaRPr lang="es-CO" sz="2000"/>
        </a:p>
      </dgm:t>
    </dgm:pt>
    <dgm:pt modelId="{D67F9A5A-5E88-44A1-939C-135CE3AF4041}">
      <dgm:prSet phldrT="[Texto]" custT="1"/>
      <dgm:spPr/>
      <dgm:t>
        <a:bodyPr/>
        <a:lstStyle/>
        <a:p>
          <a:r>
            <a:rPr lang="es-CO" sz="900" b="1"/>
            <a:t>4. FASE DE OFICINA</a:t>
          </a:r>
        </a:p>
      </dgm:t>
    </dgm:pt>
    <dgm:pt modelId="{147BBB2B-EBFD-43A6-B289-2DA32B306280}" type="parTrans" cxnId="{E56EA914-32FC-4F01-AE21-F02AF3BAD451}">
      <dgm:prSet/>
      <dgm:spPr/>
      <dgm:t>
        <a:bodyPr/>
        <a:lstStyle/>
        <a:p>
          <a:endParaRPr lang="es-CO" sz="2000"/>
        </a:p>
      </dgm:t>
    </dgm:pt>
    <dgm:pt modelId="{5865B6AA-9A9D-46ED-B85D-61C566F91B2B}" type="sibTrans" cxnId="{E56EA914-32FC-4F01-AE21-F02AF3BAD451}">
      <dgm:prSet/>
      <dgm:spPr/>
      <dgm:t>
        <a:bodyPr/>
        <a:lstStyle/>
        <a:p>
          <a:endParaRPr lang="es-CO" sz="2000"/>
        </a:p>
      </dgm:t>
    </dgm:pt>
    <dgm:pt modelId="{CF379588-8D99-446E-9DA3-7D31B1AC5467}">
      <dgm:prSet custT="1"/>
      <dgm:spPr/>
      <dgm:t>
        <a:bodyPr/>
        <a:lstStyle/>
        <a:p>
          <a:r>
            <a:rPr lang="es-CO" sz="900"/>
            <a:t>Procesamiento y análisis de información primaria</a:t>
          </a:r>
        </a:p>
      </dgm:t>
    </dgm:pt>
    <dgm:pt modelId="{C53496FF-16AA-4B86-9A97-C210D3425615}" type="parTrans" cxnId="{64B9461D-EAC6-4AD6-8946-7E802054283C}">
      <dgm:prSet/>
      <dgm:spPr/>
      <dgm:t>
        <a:bodyPr/>
        <a:lstStyle/>
        <a:p>
          <a:endParaRPr lang="es-CO" sz="2000"/>
        </a:p>
      </dgm:t>
    </dgm:pt>
    <dgm:pt modelId="{FA04A515-77A5-47E1-9A21-427002F75BBD}" type="sibTrans" cxnId="{64B9461D-EAC6-4AD6-8946-7E802054283C}">
      <dgm:prSet/>
      <dgm:spPr/>
      <dgm:t>
        <a:bodyPr/>
        <a:lstStyle/>
        <a:p>
          <a:endParaRPr lang="es-CO" sz="2000"/>
        </a:p>
      </dgm:t>
    </dgm:pt>
    <dgm:pt modelId="{F2356AF9-BEEF-4B44-8D11-6960D17AF916}">
      <dgm:prSet custT="1"/>
      <dgm:spPr/>
      <dgm:t>
        <a:bodyPr/>
        <a:lstStyle/>
        <a:p>
          <a:r>
            <a:rPr lang="es-CO" sz="900"/>
            <a:t>Propuesta zonificación inicial de la UOF</a:t>
          </a:r>
        </a:p>
      </dgm:t>
    </dgm:pt>
    <dgm:pt modelId="{30965C44-C041-42DC-BEED-B4376C8E6B72}" type="parTrans" cxnId="{952D29FA-01DB-4FF4-B950-87A63CC80292}">
      <dgm:prSet/>
      <dgm:spPr/>
      <dgm:t>
        <a:bodyPr/>
        <a:lstStyle/>
        <a:p>
          <a:endParaRPr lang="es-CO" sz="2000"/>
        </a:p>
      </dgm:t>
    </dgm:pt>
    <dgm:pt modelId="{B601354C-9FC2-4283-877B-28B5BED5CBBC}" type="sibTrans" cxnId="{952D29FA-01DB-4FF4-B950-87A63CC80292}">
      <dgm:prSet/>
      <dgm:spPr/>
      <dgm:t>
        <a:bodyPr/>
        <a:lstStyle/>
        <a:p>
          <a:endParaRPr lang="es-CO" sz="2000"/>
        </a:p>
      </dgm:t>
    </dgm:pt>
    <dgm:pt modelId="{51776FAA-A67F-43C9-93A9-09460B1195D0}">
      <dgm:prSet custT="1"/>
      <dgm:spPr/>
      <dgm:t>
        <a:bodyPr/>
        <a:lstStyle/>
        <a:p>
          <a:r>
            <a:rPr lang="es-CO" sz="900"/>
            <a:t>Propuesta de zonificación de las áreas forestales que componen la UOF</a:t>
          </a:r>
        </a:p>
      </dgm:t>
    </dgm:pt>
    <dgm:pt modelId="{F49DC0A9-8665-4ADA-A379-AC107454A3ED}" type="parTrans" cxnId="{72240C85-9D5C-458C-B319-EA4B04B6FA8A}">
      <dgm:prSet/>
      <dgm:spPr/>
      <dgm:t>
        <a:bodyPr/>
        <a:lstStyle/>
        <a:p>
          <a:endParaRPr lang="es-CO" sz="2000"/>
        </a:p>
      </dgm:t>
    </dgm:pt>
    <dgm:pt modelId="{C8B4DFF5-5087-4292-AE4B-32507D166EBF}" type="sibTrans" cxnId="{72240C85-9D5C-458C-B319-EA4B04B6FA8A}">
      <dgm:prSet/>
      <dgm:spPr/>
      <dgm:t>
        <a:bodyPr/>
        <a:lstStyle/>
        <a:p>
          <a:endParaRPr lang="es-CO" sz="2000"/>
        </a:p>
      </dgm:t>
    </dgm:pt>
    <dgm:pt modelId="{CF4F553E-C1BC-4366-8D1F-2538C739F34D}">
      <dgm:prSet phldrT="[Texto]" custT="1"/>
      <dgm:spPr/>
      <dgm:t>
        <a:bodyPr/>
        <a:lstStyle/>
        <a:p>
          <a:r>
            <a:rPr lang="es-CO" sz="900" b="1"/>
            <a:t>5. FASE DE FORMULACION</a:t>
          </a:r>
        </a:p>
      </dgm:t>
    </dgm:pt>
    <dgm:pt modelId="{87729DE7-2820-4664-B237-4A95FE1E2F12}" type="parTrans" cxnId="{E88658A0-3BDE-454E-A794-8505E55DC105}">
      <dgm:prSet/>
      <dgm:spPr/>
      <dgm:t>
        <a:bodyPr/>
        <a:lstStyle/>
        <a:p>
          <a:endParaRPr lang="es-CO" sz="2000"/>
        </a:p>
      </dgm:t>
    </dgm:pt>
    <dgm:pt modelId="{94558B0E-E006-4B59-8C83-CEE5060F8235}" type="sibTrans" cxnId="{E88658A0-3BDE-454E-A794-8505E55DC105}">
      <dgm:prSet/>
      <dgm:spPr/>
      <dgm:t>
        <a:bodyPr/>
        <a:lstStyle/>
        <a:p>
          <a:endParaRPr lang="es-CO" sz="2000"/>
        </a:p>
      </dgm:t>
    </dgm:pt>
    <dgm:pt modelId="{C14DAE80-C9AD-4DF2-AB00-76A03871C660}">
      <dgm:prSet custT="1"/>
      <dgm:spPr/>
      <dgm:t>
        <a:bodyPr/>
        <a:lstStyle/>
        <a:p>
          <a:r>
            <a:rPr lang="es-CO" sz="900"/>
            <a:t>Socialización versión premiminar de los POF</a:t>
          </a:r>
        </a:p>
      </dgm:t>
    </dgm:pt>
    <dgm:pt modelId="{1B35EC25-3A5D-44C3-8EC6-1F67B5E94F65}" type="parTrans" cxnId="{FAE50C2E-D4BD-46F3-ACBD-9DE02637A7D6}">
      <dgm:prSet/>
      <dgm:spPr/>
      <dgm:t>
        <a:bodyPr/>
        <a:lstStyle/>
        <a:p>
          <a:endParaRPr lang="es-CO" sz="2000"/>
        </a:p>
      </dgm:t>
    </dgm:pt>
    <dgm:pt modelId="{EB3C29DE-5BFD-45F2-B15E-ED5B03F68740}" type="sibTrans" cxnId="{FAE50C2E-D4BD-46F3-ACBD-9DE02637A7D6}">
      <dgm:prSet/>
      <dgm:spPr/>
      <dgm:t>
        <a:bodyPr/>
        <a:lstStyle/>
        <a:p>
          <a:endParaRPr lang="es-CO" sz="2000"/>
        </a:p>
      </dgm:t>
    </dgm:pt>
    <dgm:pt modelId="{0E652C00-4F5E-4225-B0DE-1E16E467F052}">
      <dgm:prSet phldrT="[Texto]" custT="1"/>
      <dgm:spPr/>
      <dgm:t>
        <a:bodyPr/>
        <a:lstStyle/>
        <a:p>
          <a:r>
            <a:rPr lang="es-CO" sz="900" b="1"/>
            <a:t>6. FASE DE IMPLEMENTACION</a:t>
          </a:r>
        </a:p>
      </dgm:t>
    </dgm:pt>
    <dgm:pt modelId="{6B4BA892-C7B2-40DA-97EE-3611027033ED}" type="parTrans" cxnId="{ABA36423-4ADF-4BC2-B9D4-4551354C1F10}">
      <dgm:prSet/>
      <dgm:spPr/>
      <dgm:t>
        <a:bodyPr/>
        <a:lstStyle/>
        <a:p>
          <a:endParaRPr lang="es-CO" sz="2000"/>
        </a:p>
      </dgm:t>
    </dgm:pt>
    <dgm:pt modelId="{49049186-C28C-4B3F-A75E-A3310F719D8A}" type="sibTrans" cxnId="{ABA36423-4ADF-4BC2-B9D4-4551354C1F10}">
      <dgm:prSet/>
      <dgm:spPr/>
      <dgm:t>
        <a:bodyPr/>
        <a:lstStyle/>
        <a:p>
          <a:endParaRPr lang="es-CO" sz="2000"/>
        </a:p>
      </dgm:t>
    </dgm:pt>
    <dgm:pt modelId="{FDC96EDD-2D2E-424F-9793-6C67FBB810DD}">
      <dgm:prSet custT="1"/>
      <dgm:spPr/>
      <dgm:t>
        <a:bodyPr/>
        <a:lstStyle/>
        <a:p>
          <a:r>
            <a:rPr lang="es-CO" sz="900"/>
            <a:t>Aprobación de los POF por Consejo Directivo de la autoridad ambiental competente</a:t>
          </a:r>
        </a:p>
      </dgm:t>
    </dgm:pt>
    <dgm:pt modelId="{C0F088F2-D816-422B-A598-8465D4C16265}" type="parTrans" cxnId="{A43DF155-EDED-4348-8849-3FB54F8752F4}">
      <dgm:prSet/>
      <dgm:spPr/>
      <dgm:t>
        <a:bodyPr/>
        <a:lstStyle/>
        <a:p>
          <a:endParaRPr lang="es-CO" sz="2000"/>
        </a:p>
      </dgm:t>
    </dgm:pt>
    <dgm:pt modelId="{D85BC74A-2C14-4596-B306-9B50E9FDF986}" type="sibTrans" cxnId="{A43DF155-EDED-4348-8849-3FB54F8752F4}">
      <dgm:prSet/>
      <dgm:spPr/>
      <dgm:t>
        <a:bodyPr/>
        <a:lstStyle/>
        <a:p>
          <a:endParaRPr lang="es-CO" sz="2000"/>
        </a:p>
      </dgm:t>
    </dgm:pt>
    <dgm:pt modelId="{6632AE42-4A3F-47A4-991F-05B67D9E15A4}">
      <dgm:prSet custT="1"/>
      <dgm:spPr/>
      <dgm:t>
        <a:bodyPr/>
        <a:lstStyle/>
        <a:p>
          <a:r>
            <a:rPr lang="es-CO" sz="900"/>
            <a:t>Incorporación de los POF en el POA de la autoridad ambiental competente</a:t>
          </a:r>
        </a:p>
      </dgm:t>
    </dgm:pt>
    <dgm:pt modelId="{EA24CD28-DA30-489E-812A-8D006AD804E2}" type="parTrans" cxnId="{66F80349-2184-4386-B9D3-B0DFF876CB84}">
      <dgm:prSet/>
      <dgm:spPr/>
      <dgm:t>
        <a:bodyPr/>
        <a:lstStyle/>
        <a:p>
          <a:endParaRPr lang="es-CO" sz="2000"/>
        </a:p>
      </dgm:t>
    </dgm:pt>
    <dgm:pt modelId="{413A0DEC-0431-4D0A-9CF6-9F28DD448962}" type="sibTrans" cxnId="{66F80349-2184-4386-B9D3-B0DFF876CB84}">
      <dgm:prSet/>
      <dgm:spPr/>
      <dgm:t>
        <a:bodyPr/>
        <a:lstStyle/>
        <a:p>
          <a:endParaRPr lang="es-CO" sz="2000"/>
        </a:p>
      </dgm:t>
    </dgm:pt>
    <dgm:pt modelId="{E9D3C62B-362B-44C9-A42A-154B9DBAE91C}">
      <dgm:prSet custT="1"/>
      <dgm:spPr/>
      <dgm:t>
        <a:bodyPr/>
        <a:lstStyle/>
        <a:p>
          <a:r>
            <a:rPr lang="es-CO" sz="900"/>
            <a:t>Desarrollo de planes, programas y proyectos de cada POF </a:t>
          </a:r>
        </a:p>
      </dgm:t>
    </dgm:pt>
    <dgm:pt modelId="{C9AEF7BE-B561-478B-BAC4-CA5215113050}" type="parTrans" cxnId="{62C6A6A5-51AF-43F3-B103-5345821FAFEE}">
      <dgm:prSet/>
      <dgm:spPr/>
      <dgm:t>
        <a:bodyPr/>
        <a:lstStyle/>
        <a:p>
          <a:endParaRPr lang="es-CO" sz="2000"/>
        </a:p>
      </dgm:t>
    </dgm:pt>
    <dgm:pt modelId="{FFF495EB-AA84-4FB0-A607-B67EEC28EFF6}" type="sibTrans" cxnId="{62C6A6A5-51AF-43F3-B103-5345821FAFEE}">
      <dgm:prSet/>
      <dgm:spPr/>
      <dgm:t>
        <a:bodyPr/>
        <a:lstStyle/>
        <a:p>
          <a:endParaRPr lang="es-CO" sz="2000"/>
        </a:p>
      </dgm:t>
    </dgm:pt>
    <dgm:pt modelId="{38D6ECF3-9DC0-4FA5-AA85-AE678086D86F}">
      <dgm:prSet phldrT="[Texto]" custT="1"/>
      <dgm:spPr/>
      <dgm:t>
        <a:bodyPr/>
        <a:lstStyle/>
        <a:p>
          <a:r>
            <a:rPr lang="es-CO" sz="900" b="1"/>
            <a:t>7. FASE DE SEGUIMIENTO Y ACTUALIZACION</a:t>
          </a:r>
        </a:p>
      </dgm:t>
    </dgm:pt>
    <dgm:pt modelId="{CA07B11D-A281-4474-956D-CE017D55096D}" type="parTrans" cxnId="{228A001C-DFEF-4BA8-8945-6B052FD3DB06}">
      <dgm:prSet/>
      <dgm:spPr/>
      <dgm:t>
        <a:bodyPr/>
        <a:lstStyle/>
        <a:p>
          <a:endParaRPr lang="es-CO" sz="2000"/>
        </a:p>
      </dgm:t>
    </dgm:pt>
    <dgm:pt modelId="{23F1DCF5-3AF5-46F5-8EBA-1B227FFDA68A}" type="sibTrans" cxnId="{228A001C-DFEF-4BA8-8945-6B052FD3DB06}">
      <dgm:prSet/>
      <dgm:spPr/>
      <dgm:t>
        <a:bodyPr/>
        <a:lstStyle/>
        <a:p>
          <a:endParaRPr lang="es-CO" sz="2000"/>
        </a:p>
      </dgm:t>
    </dgm:pt>
    <dgm:pt modelId="{7AD3D970-693A-46CB-93F2-8719BB4A2138}">
      <dgm:prSet custT="1"/>
      <dgm:spPr/>
      <dgm:t>
        <a:bodyPr/>
        <a:lstStyle/>
        <a:p>
          <a:r>
            <a:rPr lang="es-CO" sz="900"/>
            <a:t>Seguimiento a los POF</a:t>
          </a:r>
        </a:p>
      </dgm:t>
    </dgm:pt>
    <dgm:pt modelId="{76659B4B-2119-4F3E-A632-F083A9E2AF61}" type="parTrans" cxnId="{84B27017-A550-4955-B34A-A6F39E2DEC14}">
      <dgm:prSet/>
      <dgm:spPr/>
      <dgm:t>
        <a:bodyPr/>
        <a:lstStyle/>
        <a:p>
          <a:endParaRPr lang="es-CO" sz="2000"/>
        </a:p>
      </dgm:t>
    </dgm:pt>
    <dgm:pt modelId="{004D6EF7-97F6-4EB3-9B3E-229E15C08DFD}" type="sibTrans" cxnId="{84B27017-A550-4955-B34A-A6F39E2DEC14}">
      <dgm:prSet/>
      <dgm:spPr/>
      <dgm:t>
        <a:bodyPr/>
        <a:lstStyle/>
        <a:p>
          <a:endParaRPr lang="es-CO" sz="2000"/>
        </a:p>
      </dgm:t>
    </dgm:pt>
    <dgm:pt modelId="{92E8A65F-F99F-488E-AF0A-565C72278797}">
      <dgm:prSet custT="1"/>
      <dgm:spPr/>
      <dgm:t>
        <a:bodyPr/>
        <a:lstStyle/>
        <a:p>
          <a:r>
            <a:rPr lang="es-CO" sz="900"/>
            <a:t>Revisión y evaluación de los POF</a:t>
          </a:r>
        </a:p>
      </dgm:t>
    </dgm:pt>
    <dgm:pt modelId="{66E38FC8-C18A-470F-A205-AE2365A9DE78}" type="parTrans" cxnId="{3F409E34-BFAE-45FE-A027-0ABAC99B8A84}">
      <dgm:prSet/>
      <dgm:spPr/>
      <dgm:t>
        <a:bodyPr/>
        <a:lstStyle/>
        <a:p>
          <a:endParaRPr lang="es-CO" sz="2000"/>
        </a:p>
      </dgm:t>
    </dgm:pt>
    <dgm:pt modelId="{B79C7341-D380-4E6F-A6A3-3F12A56CC081}" type="sibTrans" cxnId="{3F409E34-BFAE-45FE-A027-0ABAC99B8A84}">
      <dgm:prSet/>
      <dgm:spPr/>
      <dgm:t>
        <a:bodyPr/>
        <a:lstStyle/>
        <a:p>
          <a:endParaRPr lang="es-CO" sz="2000"/>
        </a:p>
      </dgm:t>
    </dgm:pt>
    <dgm:pt modelId="{260FD557-A6C6-4FE3-8993-4A56E5810063}">
      <dgm:prSet custT="1"/>
      <dgm:spPr/>
      <dgm:t>
        <a:bodyPr/>
        <a:lstStyle/>
        <a:p>
          <a:r>
            <a:rPr lang="es-CO" sz="900"/>
            <a:t>Conformación del equipo de trabajo  </a:t>
          </a:r>
        </a:p>
      </dgm:t>
    </dgm:pt>
    <dgm:pt modelId="{99DC8CBA-2F58-4241-815F-B0348FB0A095}" type="parTrans" cxnId="{AE5988E1-7C16-4B0A-ABF6-7C82ABA26687}">
      <dgm:prSet/>
      <dgm:spPr/>
      <dgm:t>
        <a:bodyPr/>
        <a:lstStyle/>
        <a:p>
          <a:endParaRPr lang="es-CO"/>
        </a:p>
      </dgm:t>
    </dgm:pt>
    <dgm:pt modelId="{F96C925A-00E1-4DCD-9FAA-8558FB848EF6}" type="sibTrans" cxnId="{AE5988E1-7C16-4B0A-ABF6-7C82ABA26687}">
      <dgm:prSet/>
      <dgm:spPr/>
      <dgm:t>
        <a:bodyPr/>
        <a:lstStyle/>
        <a:p>
          <a:endParaRPr lang="es-CO"/>
        </a:p>
      </dgm:t>
    </dgm:pt>
    <dgm:pt modelId="{4A7800C9-7D3D-4FD3-A0C8-055EA574631C}">
      <dgm:prSet custT="1"/>
      <dgm:spPr/>
      <dgm:t>
        <a:bodyPr/>
        <a:lstStyle/>
        <a:p>
          <a:r>
            <a:rPr lang="es-CO" sz="900"/>
            <a:t>Chequeo cartografía en campo</a:t>
          </a:r>
        </a:p>
      </dgm:t>
    </dgm:pt>
    <dgm:pt modelId="{E88C88D6-C647-44AC-8F34-1CDDF9D56EAE}" type="parTrans" cxnId="{AF2C1DF1-0917-4A12-AD82-87034F4AA6BD}">
      <dgm:prSet/>
      <dgm:spPr/>
      <dgm:t>
        <a:bodyPr/>
        <a:lstStyle/>
        <a:p>
          <a:endParaRPr lang="es-CO"/>
        </a:p>
      </dgm:t>
    </dgm:pt>
    <dgm:pt modelId="{011E79F5-D3D2-430D-AB83-E364AA563D3C}" type="sibTrans" cxnId="{AF2C1DF1-0917-4A12-AD82-87034F4AA6BD}">
      <dgm:prSet/>
      <dgm:spPr/>
      <dgm:t>
        <a:bodyPr/>
        <a:lstStyle/>
        <a:p>
          <a:endParaRPr lang="es-CO"/>
        </a:p>
      </dgm:t>
    </dgm:pt>
    <dgm:pt modelId="{320F87EC-CED1-4210-8A86-B8F3B4014BD7}">
      <dgm:prSet custT="1"/>
      <dgm:spPr/>
      <dgm:t>
        <a:bodyPr/>
        <a:lstStyle/>
        <a:p>
          <a:r>
            <a:rPr lang="es-CO" sz="900"/>
            <a:t>Desarrollo del premuestreo, ajuste y realización del inventario forestal</a:t>
          </a:r>
        </a:p>
      </dgm:t>
    </dgm:pt>
    <dgm:pt modelId="{3E66B59C-1F4A-4068-B805-1D0FD9DF5EB9}" type="parTrans" cxnId="{B2CEC7D1-0EF3-43E8-A8C4-CA91F9F8B2C6}">
      <dgm:prSet/>
      <dgm:spPr/>
      <dgm:t>
        <a:bodyPr/>
        <a:lstStyle/>
        <a:p>
          <a:endParaRPr lang="es-CO"/>
        </a:p>
      </dgm:t>
    </dgm:pt>
    <dgm:pt modelId="{9C227A2C-DB8C-4F82-9033-31A1665D63A3}" type="sibTrans" cxnId="{B2CEC7D1-0EF3-43E8-A8C4-CA91F9F8B2C6}">
      <dgm:prSet/>
      <dgm:spPr/>
      <dgm:t>
        <a:bodyPr/>
        <a:lstStyle/>
        <a:p>
          <a:endParaRPr lang="es-CO"/>
        </a:p>
      </dgm:t>
    </dgm:pt>
    <dgm:pt modelId="{34106E7C-5D09-4727-92DE-E55E74AC51EE}">
      <dgm:prSet custT="1"/>
      <dgm:spPr/>
      <dgm:t>
        <a:bodyPr/>
        <a:lstStyle/>
        <a:p>
          <a:r>
            <a:rPr lang="es-CO" sz="900"/>
            <a:t>Desarrollo del componente socieconomico</a:t>
          </a:r>
        </a:p>
      </dgm:t>
    </dgm:pt>
    <dgm:pt modelId="{9975E2E8-9436-4F43-A130-25EADB8F15E6}" type="parTrans" cxnId="{6C6EB5FC-FF88-485A-AB17-1DEBD14B1B4D}">
      <dgm:prSet/>
      <dgm:spPr/>
      <dgm:t>
        <a:bodyPr/>
        <a:lstStyle/>
        <a:p>
          <a:endParaRPr lang="es-CO"/>
        </a:p>
      </dgm:t>
    </dgm:pt>
    <dgm:pt modelId="{55FD3231-A594-44A3-9758-E80BFF642EBF}" type="sibTrans" cxnId="{6C6EB5FC-FF88-485A-AB17-1DEBD14B1B4D}">
      <dgm:prSet/>
      <dgm:spPr/>
      <dgm:t>
        <a:bodyPr/>
        <a:lstStyle/>
        <a:p>
          <a:endParaRPr lang="es-CO"/>
        </a:p>
      </dgm:t>
    </dgm:pt>
    <dgm:pt modelId="{275C1FC4-3E17-4EB7-B629-3B18A2C22A68}">
      <dgm:prSet custT="1"/>
      <dgm:spPr/>
      <dgm:t>
        <a:bodyPr/>
        <a:lstStyle/>
        <a:p>
          <a:r>
            <a:rPr lang="es-CO" sz="900"/>
            <a:t>Desarrollo del componente suelos</a:t>
          </a:r>
        </a:p>
      </dgm:t>
    </dgm:pt>
    <dgm:pt modelId="{47FF5181-689E-402C-BA5E-A7F036D82964}" type="parTrans" cxnId="{387F9B62-BA72-46DA-93B7-D805807BFC03}">
      <dgm:prSet/>
      <dgm:spPr/>
      <dgm:t>
        <a:bodyPr/>
        <a:lstStyle/>
        <a:p>
          <a:endParaRPr lang="es-CO"/>
        </a:p>
      </dgm:t>
    </dgm:pt>
    <dgm:pt modelId="{BD9B50B6-A249-4B4C-A504-6B8A26A3E4B7}" type="sibTrans" cxnId="{387F9B62-BA72-46DA-93B7-D805807BFC03}">
      <dgm:prSet/>
      <dgm:spPr/>
      <dgm:t>
        <a:bodyPr/>
        <a:lstStyle/>
        <a:p>
          <a:endParaRPr lang="es-CO"/>
        </a:p>
      </dgm:t>
    </dgm:pt>
    <dgm:pt modelId="{0C7E1392-1B2E-4473-98A3-7DB95B0F3E41}">
      <dgm:prSet custT="1"/>
      <dgm:spPr/>
      <dgm:t>
        <a:bodyPr/>
        <a:lstStyle/>
        <a:p>
          <a:r>
            <a:rPr lang="es-CO" sz="900"/>
            <a:t>Desarrollo del componente fauna</a:t>
          </a:r>
        </a:p>
      </dgm:t>
    </dgm:pt>
    <dgm:pt modelId="{1BB85BBF-AE3C-4053-94E1-A07AA9D27118}" type="parTrans" cxnId="{21FF54B0-7061-409D-AA77-9C011DC7E50B}">
      <dgm:prSet/>
      <dgm:spPr/>
      <dgm:t>
        <a:bodyPr/>
        <a:lstStyle/>
        <a:p>
          <a:endParaRPr lang="es-CO"/>
        </a:p>
      </dgm:t>
    </dgm:pt>
    <dgm:pt modelId="{170804D9-020B-4492-BDDC-2864E2B9B088}" type="sibTrans" cxnId="{21FF54B0-7061-409D-AA77-9C011DC7E50B}">
      <dgm:prSet/>
      <dgm:spPr/>
      <dgm:t>
        <a:bodyPr/>
        <a:lstStyle/>
        <a:p>
          <a:endParaRPr lang="es-CO"/>
        </a:p>
      </dgm:t>
    </dgm:pt>
    <dgm:pt modelId="{FB36F50F-332B-41E1-B818-61C37228C5CE}">
      <dgm:prSet custT="1"/>
      <dgm:spPr/>
      <dgm:t>
        <a:bodyPr/>
        <a:lstStyle/>
        <a:p>
          <a:r>
            <a:rPr lang="es-CO" sz="900"/>
            <a:t>Armonización de los POF con actores locales y regionales</a:t>
          </a:r>
        </a:p>
      </dgm:t>
    </dgm:pt>
    <dgm:pt modelId="{1B402964-486C-4D88-B25B-BFBD3B7CB725}" type="parTrans" cxnId="{44A4FD8C-B715-4763-9E06-4EBC7F129D51}">
      <dgm:prSet/>
      <dgm:spPr/>
      <dgm:t>
        <a:bodyPr/>
        <a:lstStyle/>
        <a:p>
          <a:endParaRPr lang="es-CO"/>
        </a:p>
      </dgm:t>
    </dgm:pt>
    <dgm:pt modelId="{2F60FF59-EE81-4035-BCD0-A1A526D6233D}" type="sibTrans" cxnId="{44A4FD8C-B715-4763-9E06-4EBC7F129D51}">
      <dgm:prSet/>
      <dgm:spPr/>
      <dgm:t>
        <a:bodyPr/>
        <a:lstStyle/>
        <a:p>
          <a:endParaRPr lang="es-CO"/>
        </a:p>
      </dgm:t>
    </dgm:pt>
    <dgm:pt modelId="{2DDC3C6B-EB89-41BC-9626-2C8602AFD180}">
      <dgm:prSet custT="1"/>
      <dgm:spPr/>
      <dgm:t>
        <a:bodyPr/>
        <a:lstStyle/>
        <a:p>
          <a:r>
            <a:rPr lang="es-CO" sz="900"/>
            <a:t>Edición y ajustes de los POF</a:t>
          </a:r>
        </a:p>
      </dgm:t>
    </dgm:pt>
    <dgm:pt modelId="{8CA01F60-749A-4F13-A5F9-52959A1E5ACD}" type="parTrans" cxnId="{CBF95272-9C66-408A-9CF3-C7F12DD60BBE}">
      <dgm:prSet/>
      <dgm:spPr/>
      <dgm:t>
        <a:bodyPr/>
        <a:lstStyle/>
        <a:p>
          <a:endParaRPr lang="es-CO"/>
        </a:p>
      </dgm:t>
    </dgm:pt>
    <dgm:pt modelId="{4EF9A5D6-D9ED-4637-A11E-A0AF0603FCE7}" type="sibTrans" cxnId="{CBF95272-9C66-408A-9CF3-C7F12DD60BBE}">
      <dgm:prSet/>
      <dgm:spPr/>
      <dgm:t>
        <a:bodyPr/>
        <a:lstStyle/>
        <a:p>
          <a:endParaRPr lang="es-CO"/>
        </a:p>
      </dgm:t>
    </dgm:pt>
    <dgm:pt modelId="{29647C36-AD56-480A-B274-AFD85B8257AC}">
      <dgm:prSet custT="1"/>
      <dgm:spPr/>
      <dgm:t>
        <a:bodyPr/>
        <a:lstStyle/>
        <a:p>
          <a:r>
            <a:rPr lang="es-CO" sz="900"/>
            <a:t>Actualización de los POF  </a:t>
          </a:r>
        </a:p>
      </dgm:t>
    </dgm:pt>
    <dgm:pt modelId="{8B89DDF0-7CED-46E8-8F61-0B17466698FF}" type="sibTrans" cxnId="{F617155A-07A4-40C6-B9E5-6E820D5C2875}">
      <dgm:prSet/>
      <dgm:spPr/>
      <dgm:t>
        <a:bodyPr/>
        <a:lstStyle/>
        <a:p>
          <a:endParaRPr lang="es-CO" sz="2000"/>
        </a:p>
      </dgm:t>
    </dgm:pt>
    <dgm:pt modelId="{4CAE2BE9-B466-4310-88AB-C78BF23B7371}" type="parTrans" cxnId="{F617155A-07A4-40C6-B9E5-6E820D5C2875}">
      <dgm:prSet/>
      <dgm:spPr/>
      <dgm:t>
        <a:bodyPr/>
        <a:lstStyle/>
        <a:p>
          <a:endParaRPr lang="es-CO" sz="2000"/>
        </a:p>
      </dgm:t>
    </dgm:pt>
    <dgm:pt modelId="{477C0414-2F64-47A3-9675-FE2E4F8C4A83}">
      <dgm:prSet custT="1"/>
      <dgm:spPr/>
      <dgm:t>
        <a:bodyPr/>
        <a:lstStyle/>
        <a:p>
          <a:r>
            <a:rPr lang="es-CO" sz="900"/>
            <a:t> Formulación del POF para cada área forestal de la UOF</a:t>
          </a:r>
        </a:p>
      </dgm:t>
    </dgm:pt>
    <dgm:pt modelId="{211F0972-F335-42CF-8898-D6AD2F24BDF4}" type="parTrans" cxnId="{3673614D-FB3D-4D84-B4D5-C1C1FEB93DC6}">
      <dgm:prSet/>
      <dgm:spPr/>
      <dgm:t>
        <a:bodyPr/>
        <a:lstStyle/>
        <a:p>
          <a:endParaRPr lang="es-CO"/>
        </a:p>
      </dgm:t>
    </dgm:pt>
    <dgm:pt modelId="{8249E61B-7B06-45EC-87B1-4624BFB202FC}" type="sibTrans" cxnId="{3673614D-FB3D-4D84-B4D5-C1C1FEB93DC6}">
      <dgm:prSet/>
      <dgm:spPr/>
      <dgm:t>
        <a:bodyPr/>
        <a:lstStyle/>
        <a:p>
          <a:endParaRPr lang="es-CO"/>
        </a:p>
      </dgm:t>
    </dgm:pt>
    <dgm:pt modelId="{1DEF4F99-0D10-4E54-A0BF-F9524F830250}" type="pres">
      <dgm:prSet presAssocID="{DCD48D7A-4B03-4423-8CB5-5C5D79405805}" presName="linear" presStyleCnt="0">
        <dgm:presLayoutVars>
          <dgm:dir/>
          <dgm:animLvl val="lvl"/>
          <dgm:resizeHandles val="exact"/>
        </dgm:presLayoutVars>
      </dgm:prSet>
      <dgm:spPr/>
      <dgm:t>
        <a:bodyPr/>
        <a:lstStyle/>
        <a:p>
          <a:endParaRPr lang="es-CO"/>
        </a:p>
      </dgm:t>
    </dgm:pt>
    <dgm:pt modelId="{2FA5CF8F-DEE2-445C-8A9F-A5B19AA1EC66}" type="pres">
      <dgm:prSet presAssocID="{2CB7F8B1-2637-4408-9185-3A95A2E4D4D4}" presName="parentLin" presStyleCnt="0"/>
      <dgm:spPr/>
    </dgm:pt>
    <dgm:pt modelId="{545F5493-E5D3-45CD-9407-AD3146FF5B66}" type="pres">
      <dgm:prSet presAssocID="{2CB7F8B1-2637-4408-9185-3A95A2E4D4D4}" presName="parentLeftMargin" presStyleLbl="node1" presStyleIdx="0" presStyleCnt="7"/>
      <dgm:spPr/>
      <dgm:t>
        <a:bodyPr/>
        <a:lstStyle/>
        <a:p>
          <a:endParaRPr lang="es-CO"/>
        </a:p>
      </dgm:t>
    </dgm:pt>
    <dgm:pt modelId="{E6E34545-7A70-45F5-AF30-5300FEAF0CB4}" type="pres">
      <dgm:prSet presAssocID="{2CB7F8B1-2637-4408-9185-3A95A2E4D4D4}" presName="parentText" presStyleLbl="node1" presStyleIdx="0" presStyleCnt="7">
        <dgm:presLayoutVars>
          <dgm:chMax val="0"/>
          <dgm:bulletEnabled val="1"/>
        </dgm:presLayoutVars>
      </dgm:prSet>
      <dgm:spPr/>
      <dgm:t>
        <a:bodyPr/>
        <a:lstStyle/>
        <a:p>
          <a:endParaRPr lang="es-CO"/>
        </a:p>
      </dgm:t>
    </dgm:pt>
    <dgm:pt modelId="{EF9B6E2C-EF0B-4D48-9074-55D69A90DE21}" type="pres">
      <dgm:prSet presAssocID="{2CB7F8B1-2637-4408-9185-3A95A2E4D4D4}" presName="negativeSpace" presStyleCnt="0"/>
      <dgm:spPr/>
    </dgm:pt>
    <dgm:pt modelId="{35D5CD7D-3A20-4EB8-B442-65E54571D39E}" type="pres">
      <dgm:prSet presAssocID="{2CB7F8B1-2637-4408-9185-3A95A2E4D4D4}" presName="childText" presStyleLbl="conFgAcc1" presStyleIdx="0" presStyleCnt="7" custLinFactNeighborX="210" custLinFactNeighborY="66562">
        <dgm:presLayoutVars>
          <dgm:bulletEnabled val="1"/>
        </dgm:presLayoutVars>
      </dgm:prSet>
      <dgm:spPr/>
      <dgm:t>
        <a:bodyPr/>
        <a:lstStyle/>
        <a:p>
          <a:endParaRPr lang="es-CO"/>
        </a:p>
      </dgm:t>
    </dgm:pt>
    <dgm:pt modelId="{AB83843B-19AA-4C45-ACB9-0772D543D28B}" type="pres">
      <dgm:prSet presAssocID="{1E2C00AA-92AD-4DFD-ADBE-9EE00E1BF72B}" presName="spaceBetweenRectangles" presStyleCnt="0"/>
      <dgm:spPr/>
    </dgm:pt>
    <dgm:pt modelId="{55019F05-739C-499C-85AD-7269005767A1}" type="pres">
      <dgm:prSet presAssocID="{8069E184-766F-4E8B-A1E8-51EDBCF8B787}" presName="parentLin" presStyleCnt="0"/>
      <dgm:spPr/>
    </dgm:pt>
    <dgm:pt modelId="{8FFBFEAB-4C29-43E1-9195-E019257224C0}" type="pres">
      <dgm:prSet presAssocID="{8069E184-766F-4E8B-A1E8-51EDBCF8B787}" presName="parentLeftMargin" presStyleLbl="node1" presStyleIdx="0" presStyleCnt="7"/>
      <dgm:spPr/>
      <dgm:t>
        <a:bodyPr/>
        <a:lstStyle/>
        <a:p>
          <a:endParaRPr lang="es-CO"/>
        </a:p>
      </dgm:t>
    </dgm:pt>
    <dgm:pt modelId="{C4175353-957F-4B0A-882A-9D65932C4C45}" type="pres">
      <dgm:prSet presAssocID="{8069E184-766F-4E8B-A1E8-51EDBCF8B787}" presName="parentText" presStyleLbl="node1" presStyleIdx="1" presStyleCnt="7" custLinFactNeighborX="7859" custLinFactNeighborY="9302">
        <dgm:presLayoutVars>
          <dgm:chMax val="0"/>
          <dgm:bulletEnabled val="1"/>
        </dgm:presLayoutVars>
      </dgm:prSet>
      <dgm:spPr/>
      <dgm:t>
        <a:bodyPr/>
        <a:lstStyle/>
        <a:p>
          <a:endParaRPr lang="es-CO"/>
        </a:p>
      </dgm:t>
    </dgm:pt>
    <dgm:pt modelId="{0862C50F-306A-4E6B-A23B-07B15ECDE9F7}" type="pres">
      <dgm:prSet presAssocID="{8069E184-766F-4E8B-A1E8-51EDBCF8B787}" presName="negativeSpace" presStyleCnt="0"/>
      <dgm:spPr/>
    </dgm:pt>
    <dgm:pt modelId="{BEC4ABD6-0E89-47BE-B95E-5D5D71B73DA1}" type="pres">
      <dgm:prSet presAssocID="{8069E184-766F-4E8B-A1E8-51EDBCF8B787}" presName="childText" presStyleLbl="conFgAcc1" presStyleIdx="1" presStyleCnt="7" custLinFactNeighborY="66562">
        <dgm:presLayoutVars>
          <dgm:bulletEnabled val="1"/>
        </dgm:presLayoutVars>
      </dgm:prSet>
      <dgm:spPr/>
      <dgm:t>
        <a:bodyPr/>
        <a:lstStyle/>
        <a:p>
          <a:endParaRPr lang="es-CO"/>
        </a:p>
      </dgm:t>
    </dgm:pt>
    <dgm:pt modelId="{BEB87FCE-F499-4870-8AB0-98F9F509D50E}" type="pres">
      <dgm:prSet presAssocID="{93F1D987-E557-4E03-8C29-D08B5E8AAD1B}" presName="spaceBetweenRectangles" presStyleCnt="0"/>
      <dgm:spPr/>
    </dgm:pt>
    <dgm:pt modelId="{3AA816E6-3A8D-45C3-B0AF-DCE6C0F7D52F}" type="pres">
      <dgm:prSet presAssocID="{717ECC8B-6813-4A27-9DC1-A0349E570257}" presName="parentLin" presStyleCnt="0"/>
      <dgm:spPr/>
    </dgm:pt>
    <dgm:pt modelId="{9702987D-0E97-487C-8CCC-50D92DF3BD3E}" type="pres">
      <dgm:prSet presAssocID="{717ECC8B-6813-4A27-9DC1-A0349E570257}" presName="parentLeftMargin" presStyleLbl="node1" presStyleIdx="1" presStyleCnt="7"/>
      <dgm:spPr/>
      <dgm:t>
        <a:bodyPr/>
        <a:lstStyle/>
        <a:p>
          <a:endParaRPr lang="es-CO"/>
        </a:p>
      </dgm:t>
    </dgm:pt>
    <dgm:pt modelId="{2F94551E-AD58-4389-A867-ACC7E854241D}" type="pres">
      <dgm:prSet presAssocID="{717ECC8B-6813-4A27-9DC1-A0349E570257}" presName="parentText" presStyleLbl="node1" presStyleIdx="2" presStyleCnt="7" custLinFactNeighborX="-3930" custLinFactNeighborY="9302">
        <dgm:presLayoutVars>
          <dgm:chMax val="0"/>
          <dgm:bulletEnabled val="1"/>
        </dgm:presLayoutVars>
      </dgm:prSet>
      <dgm:spPr/>
      <dgm:t>
        <a:bodyPr/>
        <a:lstStyle/>
        <a:p>
          <a:endParaRPr lang="es-CO"/>
        </a:p>
      </dgm:t>
    </dgm:pt>
    <dgm:pt modelId="{0B0D6F0B-4DEB-4B88-B257-B59830E60C59}" type="pres">
      <dgm:prSet presAssocID="{717ECC8B-6813-4A27-9DC1-A0349E570257}" presName="negativeSpace" presStyleCnt="0"/>
      <dgm:spPr/>
    </dgm:pt>
    <dgm:pt modelId="{3BC1BA34-3099-48F7-ADCC-C59CA8F05523}" type="pres">
      <dgm:prSet presAssocID="{717ECC8B-6813-4A27-9DC1-A0349E570257}" presName="childText" presStyleLbl="conFgAcc1" presStyleIdx="2" presStyleCnt="7" custScaleY="93432" custLinFactNeighborY="66561">
        <dgm:presLayoutVars>
          <dgm:bulletEnabled val="1"/>
        </dgm:presLayoutVars>
      </dgm:prSet>
      <dgm:spPr/>
      <dgm:t>
        <a:bodyPr/>
        <a:lstStyle/>
        <a:p>
          <a:endParaRPr lang="es-CO"/>
        </a:p>
      </dgm:t>
    </dgm:pt>
    <dgm:pt modelId="{ED98C6C5-10F9-43FD-B588-4DD8CA453F1D}" type="pres">
      <dgm:prSet presAssocID="{60E19195-CF68-47DE-9785-66C048977208}" presName="spaceBetweenRectangles" presStyleCnt="0"/>
      <dgm:spPr/>
    </dgm:pt>
    <dgm:pt modelId="{15A1C469-7C3A-4EBC-B23A-4CE4DD373580}" type="pres">
      <dgm:prSet presAssocID="{D67F9A5A-5E88-44A1-939C-135CE3AF4041}" presName="parentLin" presStyleCnt="0"/>
      <dgm:spPr/>
    </dgm:pt>
    <dgm:pt modelId="{3B8B29A2-8F27-4747-815F-4C192BC39EFB}" type="pres">
      <dgm:prSet presAssocID="{D67F9A5A-5E88-44A1-939C-135CE3AF4041}" presName="parentLeftMargin" presStyleLbl="node1" presStyleIdx="2" presStyleCnt="7"/>
      <dgm:spPr/>
      <dgm:t>
        <a:bodyPr/>
        <a:lstStyle/>
        <a:p>
          <a:endParaRPr lang="es-CO"/>
        </a:p>
      </dgm:t>
    </dgm:pt>
    <dgm:pt modelId="{514BAA5A-25A1-407B-9E98-4F585743FC17}" type="pres">
      <dgm:prSet presAssocID="{D67F9A5A-5E88-44A1-939C-135CE3AF4041}" presName="parentText" presStyleLbl="node1" presStyleIdx="3" presStyleCnt="7" custLinFactNeighborY="9302">
        <dgm:presLayoutVars>
          <dgm:chMax val="0"/>
          <dgm:bulletEnabled val="1"/>
        </dgm:presLayoutVars>
      </dgm:prSet>
      <dgm:spPr/>
      <dgm:t>
        <a:bodyPr/>
        <a:lstStyle/>
        <a:p>
          <a:endParaRPr lang="es-CO"/>
        </a:p>
      </dgm:t>
    </dgm:pt>
    <dgm:pt modelId="{584AD0D6-0EBE-40B3-A5EF-BEFBE1FDD233}" type="pres">
      <dgm:prSet presAssocID="{D67F9A5A-5E88-44A1-939C-135CE3AF4041}" presName="negativeSpace" presStyleCnt="0"/>
      <dgm:spPr/>
    </dgm:pt>
    <dgm:pt modelId="{06ACE6F8-0FA9-44AE-BA37-8718AB57D422}" type="pres">
      <dgm:prSet presAssocID="{D67F9A5A-5E88-44A1-939C-135CE3AF4041}" presName="childText" presStyleLbl="conFgAcc1" presStyleIdx="3" presStyleCnt="7" custLinFactY="571" custLinFactNeighborY="100000">
        <dgm:presLayoutVars>
          <dgm:bulletEnabled val="1"/>
        </dgm:presLayoutVars>
      </dgm:prSet>
      <dgm:spPr/>
      <dgm:t>
        <a:bodyPr/>
        <a:lstStyle/>
        <a:p>
          <a:endParaRPr lang="es-CO"/>
        </a:p>
      </dgm:t>
    </dgm:pt>
    <dgm:pt modelId="{728F8364-6B69-4FB1-8CEE-FE0453B48F74}" type="pres">
      <dgm:prSet presAssocID="{5865B6AA-9A9D-46ED-B85D-61C566F91B2B}" presName="spaceBetweenRectangles" presStyleCnt="0"/>
      <dgm:spPr/>
    </dgm:pt>
    <dgm:pt modelId="{2FED5211-A15F-4937-8626-A219A5AF8F6A}" type="pres">
      <dgm:prSet presAssocID="{CF4F553E-C1BC-4366-8D1F-2538C739F34D}" presName="parentLin" presStyleCnt="0"/>
      <dgm:spPr/>
    </dgm:pt>
    <dgm:pt modelId="{96E24B0A-8F37-4257-B7B3-645FB1DA6A85}" type="pres">
      <dgm:prSet presAssocID="{CF4F553E-C1BC-4366-8D1F-2538C739F34D}" presName="parentLeftMargin" presStyleLbl="node1" presStyleIdx="3" presStyleCnt="7"/>
      <dgm:spPr/>
      <dgm:t>
        <a:bodyPr/>
        <a:lstStyle/>
        <a:p>
          <a:endParaRPr lang="es-CO"/>
        </a:p>
      </dgm:t>
    </dgm:pt>
    <dgm:pt modelId="{72C2FA48-4513-4CD5-8267-CAFA222E040F}" type="pres">
      <dgm:prSet presAssocID="{CF4F553E-C1BC-4366-8D1F-2538C739F34D}" presName="parentText" presStyleLbl="node1" presStyleIdx="4" presStyleCnt="7" custLinFactNeighborX="-3930" custLinFactNeighborY="15503">
        <dgm:presLayoutVars>
          <dgm:chMax val="0"/>
          <dgm:bulletEnabled val="1"/>
        </dgm:presLayoutVars>
      </dgm:prSet>
      <dgm:spPr/>
      <dgm:t>
        <a:bodyPr/>
        <a:lstStyle/>
        <a:p>
          <a:endParaRPr lang="es-CO"/>
        </a:p>
      </dgm:t>
    </dgm:pt>
    <dgm:pt modelId="{C5574D53-E5B2-4961-BC19-B9AEEE8D8A74}" type="pres">
      <dgm:prSet presAssocID="{CF4F553E-C1BC-4366-8D1F-2538C739F34D}" presName="negativeSpace" presStyleCnt="0"/>
      <dgm:spPr/>
    </dgm:pt>
    <dgm:pt modelId="{4EFCDA67-9C44-44DD-A910-D775D3C6B542}" type="pres">
      <dgm:prSet presAssocID="{CF4F553E-C1BC-4366-8D1F-2538C739F34D}" presName="childText" presStyleLbl="conFgAcc1" presStyleIdx="4" presStyleCnt="7" custScaleY="87228" custLinFactNeighborY="79873">
        <dgm:presLayoutVars>
          <dgm:bulletEnabled val="1"/>
        </dgm:presLayoutVars>
      </dgm:prSet>
      <dgm:spPr/>
      <dgm:t>
        <a:bodyPr/>
        <a:lstStyle/>
        <a:p>
          <a:endParaRPr lang="es-CO"/>
        </a:p>
      </dgm:t>
    </dgm:pt>
    <dgm:pt modelId="{44903029-1598-44FF-927B-4388D5E8763C}" type="pres">
      <dgm:prSet presAssocID="{94558B0E-E006-4B59-8C83-CEE5060F8235}" presName="spaceBetweenRectangles" presStyleCnt="0"/>
      <dgm:spPr/>
    </dgm:pt>
    <dgm:pt modelId="{86EE8AB6-545B-4020-AEC6-19F34F74D919}" type="pres">
      <dgm:prSet presAssocID="{0E652C00-4F5E-4225-B0DE-1E16E467F052}" presName="parentLin" presStyleCnt="0"/>
      <dgm:spPr/>
    </dgm:pt>
    <dgm:pt modelId="{C7C02459-324F-4CBA-B9A7-D10266029FAC}" type="pres">
      <dgm:prSet presAssocID="{0E652C00-4F5E-4225-B0DE-1E16E467F052}" presName="parentLeftMargin" presStyleLbl="node1" presStyleIdx="4" presStyleCnt="7"/>
      <dgm:spPr/>
      <dgm:t>
        <a:bodyPr/>
        <a:lstStyle/>
        <a:p>
          <a:endParaRPr lang="es-CO"/>
        </a:p>
      </dgm:t>
    </dgm:pt>
    <dgm:pt modelId="{4E9F94DE-8CF1-4FE7-9A6B-53CB416743FC}" type="pres">
      <dgm:prSet presAssocID="{0E652C00-4F5E-4225-B0DE-1E16E467F052}" presName="parentText" presStyleLbl="node1" presStyleIdx="5" presStyleCnt="7" custLinFactNeighborY="12402">
        <dgm:presLayoutVars>
          <dgm:chMax val="0"/>
          <dgm:bulletEnabled val="1"/>
        </dgm:presLayoutVars>
      </dgm:prSet>
      <dgm:spPr/>
      <dgm:t>
        <a:bodyPr/>
        <a:lstStyle/>
        <a:p>
          <a:endParaRPr lang="es-CO"/>
        </a:p>
      </dgm:t>
    </dgm:pt>
    <dgm:pt modelId="{DD8C64AD-F0AB-4DAF-BD3D-6848B3517AE4}" type="pres">
      <dgm:prSet presAssocID="{0E652C00-4F5E-4225-B0DE-1E16E467F052}" presName="negativeSpace" presStyleCnt="0"/>
      <dgm:spPr/>
    </dgm:pt>
    <dgm:pt modelId="{FA8C06B1-BAA1-4827-A601-D14B18466DB6}" type="pres">
      <dgm:prSet presAssocID="{0E652C00-4F5E-4225-B0DE-1E16E467F052}" presName="childText" presStyleLbl="conFgAcc1" presStyleIdx="5" presStyleCnt="7" custLinFactNeighborY="66562">
        <dgm:presLayoutVars>
          <dgm:bulletEnabled val="1"/>
        </dgm:presLayoutVars>
      </dgm:prSet>
      <dgm:spPr/>
      <dgm:t>
        <a:bodyPr/>
        <a:lstStyle/>
        <a:p>
          <a:endParaRPr lang="es-CO"/>
        </a:p>
      </dgm:t>
    </dgm:pt>
    <dgm:pt modelId="{D62CC520-BE4A-45F5-85CF-6F1FF6479E7B}" type="pres">
      <dgm:prSet presAssocID="{49049186-C28C-4B3F-A75E-A3310F719D8A}" presName="spaceBetweenRectangles" presStyleCnt="0"/>
      <dgm:spPr/>
    </dgm:pt>
    <dgm:pt modelId="{0ACFCED0-6DBF-47C9-BEFF-1C22DE7DB9F3}" type="pres">
      <dgm:prSet presAssocID="{38D6ECF3-9DC0-4FA5-AA85-AE678086D86F}" presName="parentLin" presStyleCnt="0"/>
      <dgm:spPr/>
    </dgm:pt>
    <dgm:pt modelId="{A03587EF-2C72-4284-B879-B71BE0640BA4}" type="pres">
      <dgm:prSet presAssocID="{38D6ECF3-9DC0-4FA5-AA85-AE678086D86F}" presName="parentLeftMargin" presStyleLbl="node1" presStyleIdx="5" presStyleCnt="7"/>
      <dgm:spPr/>
      <dgm:t>
        <a:bodyPr/>
        <a:lstStyle/>
        <a:p>
          <a:endParaRPr lang="es-CO"/>
        </a:p>
      </dgm:t>
    </dgm:pt>
    <dgm:pt modelId="{0BB363C2-1000-4D63-89E1-75C121258685}" type="pres">
      <dgm:prSet presAssocID="{38D6ECF3-9DC0-4FA5-AA85-AE678086D86F}" presName="parentText" presStyleLbl="node1" presStyleIdx="6" presStyleCnt="7" custLinFactNeighborX="3930" custLinFactNeighborY="12402">
        <dgm:presLayoutVars>
          <dgm:chMax val="0"/>
          <dgm:bulletEnabled val="1"/>
        </dgm:presLayoutVars>
      </dgm:prSet>
      <dgm:spPr/>
      <dgm:t>
        <a:bodyPr/>
        <a:lstStyle/>
        <a:p>
          <a:endParaRPr lang="es-CO"/>
        </a:p>
      </dgm:t>
    </dgm:pt>
    <dgm:pt modelId="{C9B2B30D-0668-43BB-8909-432202A9EDB4}" type="pres">
      <dgm:prSet presAssocID="{38D6ECF3-9DC0-4FA5-AA85-AE678086D86F}" presName="negativeSpace" presStyleCnt="0"/>
      <dgm:spPr/>
    </dgm:pt>
    <dgm:pt modelId="{77262FC2-D56C-47EC-A6D3-390D5DF0E708}" type="pres">
      <dgm:prSet presAssocID="{38D6ECF3-9DC0-4FA5-AA85-AE678086D86F}" presName="childText" presStyleLbl="conFgAcc1" presStyleIdx="6" presStyleCnt="7" custLinFactNeighborY="19481">
        <dgm:presLayoutVars>
          <dgm:bulletEnabled val="1"/>
        </dgm:presLayoutVars>
      </dgm:prSet>
      <dgm:spPr/>
      <dgm:t>
        <a:bodyPr/>
        <a:lstStyle/>
        <a:p>
          <a:endParaRPr lang="es-CO"/>
        </a:p>
      </dgm:t>
    </dgm:pt>
  </dgm:ptLst>
  <dgm:cxnLst>
    <dgm:cxn modelId="{67B9198E-5C25-4F67-B9CB-41843459D987}" type="presOf" srcId="{C8F6D009-A118-4555-A677-CBA61BF6F0D5}" destId="{BEC4ABD6-0E89-47BE-B95E-5D5D71B73DA1}" srcOrd="0" destOrd="2" presId="urn:microsoft.com/office/officeart/2005/8/layout/list1"/>
    <dgm:cxn modelId="{A43DF155-EDED-4348-8849-3FB54F8752F4}" srcId="{0E652C00-4F5E-4225-B0DE-1E16E467F052}" destId="{FDC96EDD-2D2E-424F-9793-6C67FBB810DD}" srcOrd="0" destOrd="0" parTransId="{C0F088F2-D816-422B-A598-8465D4C16265}" sibTransId="{D85BC74A-2C14-4596-B306-9B50E9FDF986}"/>
    <dgm:cxn modelId="{B2CEC7D1-0EF3-43E8-A8C4-CA91F9F8B2C6}" srcId="{717ECC8B-6813-4A27-9DC1-A0349E570257}" destId="{320F87EC-CED1-4210-8A86-B8F3B4014BD7}" srcOrd="2" destOrd="0" parTransId="{3E66B59C-1F4A-4068-B805-1D0FD9DF5EB9}" sibTransId="{9C227A2C-DB8C-4F82-9033-31A1665D63A3}"/>
    <dgm:cxn modelId="{39949B06-98CA-426A-A4A6-EA0210D2BAFD}" type="presOf" srcId="{DCD48D7A-4B03-4423-8CB5-5C5D79405805}" destId="{1DEF4F99-0D10-4E54-A0BF-F9524F830250}" srcOrd="0" destOrd="0" presId="urn:microsoft.com/office/officeart/2005/8/layout/list1"/>
    <dgm:cxn modelId="{53E3005D-DDEB-4AC2-998E-187B375B14B2}" type="presOf" srcId="{4E33CAE3-BFA7-460A-ADA1-9740AF500CD1}" destId="{BEC4ABD6-0E89-47BE-B95E-5D5D71B73DA1}" srcOrd="0" destOrd="0" presId="urn:microsoft.com/office/officeart/2005/8/layout/list1"/>
    <dgm:cxn modelId="{F5B463A9-1C63-49AF-836D-039CF3C3D222}" type="presOf" srcId="{CF379588-8D99-446E-9DA3-7D31B1AC5467}" destId="{06ACE6F8-0FA9-44AE-BA37-8718AB57D422}" srcOrd="0" destOrd="0" presId="urn:microsoft.com/office/officeart/2005/8/layout/list1"/>
    <dgm:cxn modelId="{3C68E3D5-A553-46EE-8B80-FB51032E4800}" type="presOf" srcId="{2CB7F8B1-2637-4408-9185-3A95A2E4D4D4}" destId="{545F5493-E5D3-45CD-9407-AD3146FF5B66}" srcOrd="0" destOrd="0" presId="urn:microsoft.com/office/officeart/2005/8/layout/list1"/>
    <dgm:cxn modelId="{10D3294F-F4FE-4252-AA72-A2630A60CBB1}" type="presOf" srcId="{CF4F553E-C1BC-4366-8D1F-2538C739F34D}" destId="{72C2FA48-4513-4CD5-8267-CAFA222E040F}" srcOrd="1" destOrd="0" presId="urn:microsoft.com/office/officeart/2005/8/layout/list1"/>
    <dgm:cxn modelId="{6E3F353F-69A6-470A-90DF-68C45401EC8C}" type="presOf" srcId="{CF4F553E-C1BC-4366-8D1F-2538C739F34D}" destId="{96E24B0A-8F37-4257-B7B3-645FB1DA6A85}" srcOrd="0" destOrd="0" presId="urn:microsoft.com/office/officeart/2005/8/layout/list1"/>
    <dgm:cxn modelId="{56BF2655-C497-4B6B-B54F-A5D6AF560C8B}" type="presOf" srcId="{6632AE42-4A3F-47A4-991F-05B67D9E15A4}" destId="{FA8C06B1-BAA1-4827-A601-D14B18466DB6}" srcOrd="0" destOrd="1" presId="urn:microsoft.com/office/officeart/2005/8/layout/list1"/>
    <dgm:cxn modelId="{C0D90BEF-14F4-437B-ACE6-480F7ECC25D2}" type="presOf" srcId="{38D6ECF3-9DC0-4FA5-AA85-AE678086D86F}" destId="{0BB363C2-1000-4D63-89E1-75C121258685}" srcOrd="1" destOrd="0" presId="urn:microsoft.com/office/officeart/2005/8/layout/list1"/>
    <dgm:cxn modelId="{904368FD-DC32-48DB-BD7A-883A171FA293}" type="presOf" srcId="{FFA71FF0-2ACD-4163-B043-1EB367B6C2B1}" destId="{BEC4ABD6-0E89-47BE-B95E-5D5D71B73DA1}" srcOrd="0" destOrd="3" presId="urn:microsoft.com/office/officeart/2005/8/layout/list1"/>
    <dgm:cxn modelId="{DF270C1B-8DAC-4DC2-9C2B-404524166343}" srcId="{DCD48D7A-4B03-4423-8CB5-5C5D79405805}" destId="{2CB7F8B1-2637-4408-9185-3A95A2E4D4D4}" srcOrd="0" destOrd="0" parTransId="{64144A9E-10F1-4862-BFC7-09D5896ACB2E}" sibTransId="{1E2C00AA-92AD-4DFD-ADBE-9EE00E1BF72B}"/>
    <dgm:cxn modelId="{B6A3FAA2-72B7-4EDF-9F2B-07756CCFD145}" type="presOf" srcId="{0C7E1392-1B2E-4473-98A3-7DB95B0F3E41}" destId="{3BC1BA34-3099-48F7-ADCC-C59CA8F05523}" srcOrd="0" destOrd="3" presId="urn:microsoft.com/office/officeart/2005/8/layout/list1"/>
    <dgm:cxn modelId="{6C6EB5FC-FF88-485A-AB17-1DEBD14B1B4D}" srcId="{717ECC8B-6813-4A27-9DC1-A0349E570257}" destId="{34106E7C-5D09-4727-92DE-E55E74AC51EE}" srcOrd="4" destOrd="0" parTransId="{9975E2E8-9436-4F43-A130-25EADB8F15E6}" sibTransId="{55FD3231-A594-44A3-9758-E80BFF642EBF}"/>
    <dgm:cxn modelId="{390B20E6-A9D0-40A0-91E1-C0FE58040D6E}" type="presOf" srcId="{260FD557-A6C6-4FE3-8993-4A56E5810063}" destId="{35D5CD7D-3A20-4EB8-B442-65E54571D39E}" srcOrd="0" destOrd="3" presId="urn:microsoft.com/office/officeart/2005/8/layout/list1"/>
    <dgm:cxn modelId="{B83F70F1-0D48-4D91-8D66-89823BD64B2E}" type="presOf" srcId="{0E652C00-4F5E-4225-B0DE-1E16E467F052}" destId="{C7C02459-324F-4CBA-B9A7-D10266029FAC}" srcOrd="0" destOrd="0" presId="urn:microsoft.com/office/officeart/2005/8/layout/list1"/>
    <dgm:cxn modelId="{A8694B9B-DC05-4BB0-A409-CBB61FB7F639}" srcId="{2CB7F8B1-2637-4408-9185-3A95A2E4D4D4}" destId="{789B5BC8-288B-4DDA-AB25-039F66BEA3B1}" srcOrd="1" destOrd="0" parTransId="{20DF2F84-B159-462C-A073-B863B19CCFA9}" sibTransId="{F75FF99A-F150-48D0-B60B-5CB30D5A0E5A}"/>
    <dgm:cxn modelId="{C7759BAB-9FB4-42A6-99DA-5E5775983911}" type="presOf" srcId="{C14DAE80-C9AD-4DF2-AB00-76A03871C660}" destId="{4EFCDA67-9C44-44DD-A910-D775D3C6B542}" srcOrd="0" destOrd="0" presId="urn:microsoft.com/office/officeart/2005/8/layout/list1"/>
    <dgm:cxn modelId="{AE5988E1-7C16-4B0A-ABF6-7C82ABA26687}" srcId="{2CB7F8B1-2637-4408-9185-3A95A2E4D4D4}" destId="{260FD557-A6C6-4FE3-8993-4A56E5810063}" srcOrd="3" destOrd="0" parTransId="{99DC8CBA-2F58-4241-815F-B0348FB0A095}" sibTransId="{F96C925A-00E1-4DCD-9FAA-8558FB848EF6}"/>
    <dgm:cxn modelId="{A2827875-87B0-4C3D-9E40-622962BC691D}" srcId="{DCD48D7A-4B03-4423-8CB5-5C5D79405805}" destId="{8069E184-766F-4E8B-A1E8-51EDBCF8B787}" srcOrd="1" destOrd="0" parTransId="{F64789F9-D1CE-4AFA-889E-41DC5016CFAB}" sibTransId="{93F1D987-E557-4E03-8C29-D08B5E8AAD1B}"/>
    <dgm:cxn modelId="{72240C85-9D5C-458C-B319-EA4B04B6FA8A}" srcId="{D67F9A5A-5E88-44A1-939C-135CE3AF4041}" destId="{51776FAA-A67F-43C9-93A9-09460B1195D0}" srcOrd="2" destOrd="0" parTransId="{F49DC0A9-8665-4ADA-A379-AC107454A3ED}" sibTransId="{C8B4DFF5-5087-4292-AE4B-32507D166EBF}"/>
    <dgm:cxn modelId="{6E1DD283-6A02-4C7B-967E-43E4F2241590}" srcId="{2CB7F8B1-2637-4408-9185-3A95A2E4D4D4}" destId="{D49A736D-D090-4C3F-B7C8-90E12189F4E6}" srcOrd="0" destOrd="0" parTransId="{6CB8211D-3027-42B8-8E1D-7F7CC0C2C2AF}" sibTransId="{085597EB-8A00-4F32-B9FE-6AE8F6AD66DB}"/>
    <dgm:cxn modelId="{86BCD402-AC25-4EFC-9A1D-FA632AC7B6B7}" type="presOf" srcId="{D67F9A5A-5E88-44A1-939C-135CE3AF4041}" destId="{514BAA5A-25A1-407B-9E98-4F585743FC17}" srcOrd="1" destOrd="0" presId="urn:microsoft.com/office/officeart/2005/8/layout/list1"/>
    <dgm:cxn modelId="{DB12D2DB-01C4-4C72-B613-D8E0FA85016F}" type="presOf" srcId="{D67F9A5A-5E88-44A1-939C-135CE3AF4041}" destId="{3B8B29A2-8F27-4747-815F-4C192BC39EFB}" srcOrd="0" destOrd="0" presId="urn:microsoft.com/office/officeart/2005/8/layout/list1"/>
    <dgm:cxn modelId="{23E9C680-B431-4473-9AF5-E1D6CFC8BC2E}" type="presOf" srcId="{98B28FD7-1DA8-4B1D-A743-BD64C0AAE85A}" destId="{35D5CD7D-3A20-4EB8-B442-65E54571D39E}" srcOrd="0" destOrd="2" presId="urn:microsoft.com/office/officeart/2005/8/layout/list1"/>
    <dgm:cxn modelId="{09C94807-2443-4E06-A6A2-8ACA048AF36F}" type="presOf" srcId="{0E652C00-4F5E-4225-B0DE-1E16E467F052}" destId="{4E9F94DE-8CF1-4FE7-9A6B-53CB416743FC}" srcOrd="1" destOrd="0" presId="urn:microsoft.com/office/officeart/2005/8/layout/list1"/>
    <dgm:cxn modelId="{228A001C-DFEF-4BA8-8945-6B052FD3DB06}" srcId="{DCD48D7A-4B03-4423-8CB5-5C5D79405805}" destId="{38D6ECF3-9DC0-4FA5-AA85-AE678086D86F}" srcOrd="6" destOrd="0" parTransId="{CA07B11D-A281-4474-956D-CE017D55096D}" sibTransId="{23F1DCF5-3AF5-46F5-8EBA-1B227FFDA68A}"/>
    <dgm:cxn modelId="{FAE50C2E-D4BD-46F3-ACBD-9DE02637A7D6}" srcId="{CF4F553E-C1BC-4366-8D1F-2538C739F34D}" destId="{C14DAE80-C9AD-4DF2-AB00-76A03871C660}" srcOrd="0" destOrd="0" parTransId="{1B35EC25-3A5D-44C3-8EC6-1F67B5E94F65}" sibTransId="{EB3C29DE-5BFD-45F2-B15E-ED5B03F68740}"/>
    <dgm:cxn modelId="{49B31584-FEF4-4442-B336-882A9C197EAC}" type="presOf" srcId="{92E8A65F-F99F-488E-AF0A-565C72278797}" destId="{77262FC2-D56C-47EC-A6D3-390D5DF0E708}" srcOrd="0" destOrd="1" presId="urn:microsoft.com/office/officeart/2005/8/layout/list1"/>
    <dgm:cxn modelId="{CBF95272-9C66-408A-9CF3-C7F12DD60BBE}" srcId="{CF4F553E-C1BC-4366-8D1F-2538C739F34D}" destId="{2DDC3C6B-EB89-41BC-9626-2C8602AFD180}" srcOrd="2" destOrd="0" parTransId="{8CA01F60-749A-4F13-A5F9-52959A1E5ACD}" sibTransId="{4EF9A5D6-D9ED-4637-A11E-A0AF0603FCE7}"/>
    <dgm:cxn modelId="{64B9461D-EAC6-4AD6-8946-7E802054283C}" srcId="{D67F9A5A-5E88-44A1-939C-135CE3AF4041}" destId="{CF379588-8D99-446E-9DA3-7D31B1AC5467}" srcOrd="0" destOrd="0" parTransId="{C53496FF-16AA-4B86-9A97-C210D3425615}" sibTransId="{FA04A515-77A5-47E1-9A21-427002F75BBD}"/>
    <dgm:cxn modelId="{A78FA5E5-A2BA-4B5D-B58A-F79B8B58EBA0}" type="presOf" srcId="{2DDC3C6B-EB89-41BC-9626-2C8602AFD180}" destId="{4EFCDA67-9C44-44DD-A910-D775D3C6B542}" srcOrd="0" destOrd="2" presId="urn:microsoft.com/office/officeart/2005/8/layout/list1"/>
    <dgm:cxn modelId="{01DF30FD-85F5-4932-8A85-620FE2B1C5CA}" type="presOf" srcId="{38D6ECF3-9DC0-4FA5-AA85-AE678086D86F}" destId="{A03587EF-2C72-4284-B879-B71BE0640BA4}" srcOrd="0" destOrd="0" presId="urn:microsoft.com/office/officeart/2005/8/layout/list1"/>
    <dgm:cxn modelId="{C57E6554-2260-4CA8-9E7D-8591D135E53F}" srcId="{2CB7F8B1-2637-4408-9185-3A95A2E4D4D4}" destId="{98B28FD7-1DA8-4B1D-A743-BD64C0AAE85A}" srcOrd="2" destOrd="0" parTransId="{6A5ADD14-5B36-4C8F-9B65-6460DDCE482E}" sibTransId="{55643889-0069-4635-8EFF-361433B6492D}"/>
    <dgm:cxn modelId="{62C6A6A5-51AF-43F3-B103-5345821FAFEE}" srcId="{0E652C00-4F5E-4225-B0DE-1E16E467F052}" destId="{E9D3C62B-362B-44C9-A42A-154B9DBAE91C}" srcOrd="2" destOrd="0" parTransId="{C9AEF7BE-B561-478B-BAC4-CA5215113050}" sibTransId="{FFF495EB-AA84-4FB0-A607-B67EEC28EFF6}"/>
    <dgm:cxn modelId="{91767749-E65F-449F-BD07-C9B78444673B}" type="presOf" srcId="{8069E184-766F-4E8B-A1E8-51EDBCF8B787}" destId="{C4175353-957F-4B0A-882A-9D65932C4C45}" srcOrd="1" destOrd="0" presId="urn:microsoft.com/office/officeart/2005/8/layout/list1"/>
    <dgm:cxn modelId="{4C31F452-932E-4B3C-A24D-BB317566F188}" type="presOf" srcId="{08ED7DEB-8B98-40A9-9699-ACCFB829DBE2}" destId="{BEC4ABD6-0E89-47BE-B95E-5D5D71B73DA1}" srcOrd="0" destOrd="1" presId="urn:microsoft.com/office/officeart/2005/8/layout/list1"/>
    <dgm:cxn modelId="{E56EA914-32FC-4F01-AE21-F02AF3BAD451}" srcId="{DCD48D7A-4B03-4423-8CB5-5C5D79405805}" destId="{D67F9A5A-5E88-44A1-939C-135CE3AF4041}" srcOrd="3" destOrd="0" parTransId="{147BBB2B-EBFD-43A6-B289-2DA32B306280}" sibTransId="{5865B6AA-9A9D-46ED-B85D-61C566F91B2B}"/>
    <dgm:cxn modelId="{3673614D-FB3D-4D84-B4D5-C1C1FEB93DC6}" srcId="{D67F9A5A-5E88-44A1-939C-135CE3AF4041}" destId="{477C0414-2F64-47A3-9675-FE2E4F8C4A83}" srcOrd="3" destOrd="0" parTransId="{211F0972-F335-42CF-8898-D6AD2F24BDF4}" sibTransId="{8249E61B-7B06-45EC-87B1-4624BFB202FC}"/>
    <dgm:cxn modelId="{44A4FD8C-B715-4763-9E06-4EBC7F129D51}" srcId="{CF4F553E-C1BC-4366-8D1F-2538C739F34D}" destId="{FB36F50F-332B-41E1-B818-61C37228C5CE}" srcOrd="1" destOrd="0" parTransId="{1B402964-486C-4D88-B25B-BFBD3B7CB725}" sibTransId="{2F60FF59-EE81-4035-BCD0-A1A526D6233D}"/>
    <dgm:cxn modelId="{F617155A-07A4-40C6-B9E5-6E820D5C2875}" srcId="{38D6ECF3-9DC0-4FA5-AA85-AE678086D86F}" destId="{29647C36-AD56-480A-B274-AFD85B8257AC}" srcOrd="2" destOrd="0" parTransId="{4CAE2BE9-B466-4310-88AB-C78BF23B7371}" sibTransId="{8B89DDF0-7CED-46E8-8F61-0B17466698FF}"/>
    <dgm:cxn modelId="{3BF7423E-3DB0-4A87-A18C-2FC41867B2B4}" srcId="{8069E184-766F-4E8B-A1E8-51EDBCF8B787}" destId="{4E33CAE3-BFA7-460A-ADA1-9740AF500CD1}" srcOrd="0" destOrd="0" parTransId="{9DB4B8DC-C792-4F88-B9F0-3F8C466B68ED}" sibTransId="{4C4701A6-649F-4B75-8728-83D55A5A5663}"/>
    <dgm:cxn modelId="{0CAB92AF-DA12-4A69-B592-C211B1603E46}" type="presOf" srcId="{F2356AF9-BEEF-4B44-8D11-6960D17AF916}" destId="{06ACE6F8-0FA9-44AE-BA37-8718AB57D422}" srcOrd="0" destOrd="1" presId="urn:microsoft.com/office/officeart/2005/8/layout/list1"/>
    <dgm:cxn modelId="{9515F576-512B-4C41-9F47-3A4D09823602}" type="presOf" srcId="{FDC96EDD-2D2E-424F-9793-6C67FBB810DD}" destId="{FA8C06B1-BAA1-4827-A601-D14B18466DB6}" srcOrd="0" destOrd="0" presId="urn:microsoft.com/office/officeart/2005/8/layout/list1"/>
    <dgm:cxn modelId="{E7A50992-9030-47C1-8E52-A2B896656A51}" type="presOf" srcId="{34106E7C-5D09-4727-92DE-E55E74AC51EE}" destId="{3BC1BA34-3099-48F7-ADCC-C59CA8F05523}" srcOrd="0" destOrd="4" presId="urn:microsoft.com/office/officeart/2005/8/layout/list1"/>
    <dgm:cxn modelId="{3F409E34-BFAE-45FE-A027-0ABAC99B8A84}" srcId="{38D6ECF3-9DC0-4FA5-AA85-AE678086D86F}" destId="{92E8A65F-F99F-488E-AF0A-565C72278797}" srcOrd="1" destOrd="0" parTransId="{66E38FC8-C18A-470F-A205-AE2365A9DE78}" sibTransId="{B79C7341-D380-4E6F-A6A3-3F12A56CC081}"/>
    <dgm:cxn modelId="{E88658A0-3BDE-454E-A794-8505E55DC105}" srcId="{DCD48D7A-4B03-4423-8CB5-5C5D79405805}" destId="{CF4F553E-C1BC-4366-8D1F-2538C739F34D}" srcOrd="4" destOrd="0" parTransId="{87729DE7-2820-4664-B237-4A95FE1E2F12}" sibTransId="{94558B0E-E006-4B59-8C83-CEE5060F8235}"/>
    <dgm:cxn modelId="{14F3064A-33D5-4A50-A94F-22EB976BA100}" type="presOf" srcId="{789B5BC8-288B-4DDA-AB25-039F66BEA3B1}" destId="{35D5CD7D-3A20-4EB8-B442-65E54571D39E}" srcOrd="0" destOrd="1" presId="urn:microsoft.com/office/officeart/2005/8/layout/list1"/>
    <dgm:cxn modelId="{66F80349-2184-4386-B9D3-B0DFF876CB84}" srcId="{0E652C00-4F5E-4225-B0DE-1E16E467F052}" destId="{6632AE42-4A3F-47A4-991F-05B67D9E15A4}" srcOrd="1" destOrd="0" parTransId="{EA24CD28-DA30-489E-812A-8D006AD804E2}" sibTransId="{413A0DEC-0431-4D0A-9CF6-9F28DD448962}"/>
    <dgm:cxn modelId="{AF2C1DF1-0917-4A12-AD82-87034F4AA6BD}" srcId="{717ECC8B-6813-4A27-9DC1-A0349E570257}" destId="{4A7800C9-7D3D-4FD3-A0C8-055EA574631C}" srcOrd="1" destOrd="0" parTransId="{E88C88D6-C647-44AC-8F34-1CDDF9D56EAE}" sibTransId="{011E79F5-D3D2-430D-AB83-E364AA563D3C}"/>
    <dgm:cxn modelId="{ABA36423-4ADF-4BC2-B9D4-4551354C1F10}" srcId="{DCD48D7A-4B03-4423-8CB5-5C5D79405805}" destId="{0E652C00-4F5E-4225-B0DE-1E16E467F052}" srcOrd="5" destOrd="0" parTransId="{6B4BA892-C7B2-40DA-97EE-3611027033ED}" sibTransId="{49049186-C28C-4B3F-A75E-A3310F719D8A}"/>
    <dgm:cxn modelId="{794DEFC0-78A8-4CCF-9C86-48F2FE94417F}" type="presOf" srcId="{90932CD4-98AF-4D20-B3A5-3F4217DAB33C}" destId="{3BC1BA34-3099-48F7-ADCC-C59CA8F05523}" srcOrd="0" destOrd="0" presId="urn:microsoft.com/office/officeart/2005/8/layout/list1"/>
    <dgm:cxn modelId="{D226197F-CE6B-4E8C-8CDE-97726899C8AD}" type="presOf" srcId="{FB36F50F-332B-41E1-B818-61C37228C5CE}" destId="{4EFCDA67-9C44-44DD-A910-D775D3C6B542}" srcOrd="0" destOrd="1" presId="urn:microsoft.com/office/officeart/2005/8/layout/list1"/>
    <dgm:cxn modelId="{5B0414C2-1728-459D-B4A9-EB7A43C62996}" type="presOf" srcId="{717ECC8B-6813-4A27-9DC1-A0349E570257}" destId="{9702987D-0E97-487C-8CCC-50D92DF3BD3E}" srcOrd="0" destOrd="0" presId="urn:microsoft.com/office/officeart/2005/8/layout/list1"/>
    <dgm:cxn modelId="{478F5893-B289-4B36-A04A-A02DEA40ACC3}" srcId="{8069E184-766F-4E8B-A1E8-51EDBCF8B787}" destId="{FFA71FF0-2ACD-4163-B043-1EB367B6C2B1}" srcOrd="3" destOrd="0" parTransId="{201802FC-6167-42F1-933E-394845600453}" sibTransId="{B39A6FB6-B160-47AD-A274-EF0DD243C32D}"/>
    <dgm:cxn modelId="{E923423D-189A-42D5-94FC-8E1EFC60C632}" type="presOf" srcId="{D49A736D-D090-4C3F-B7C8-90E12189F4E6}" destId="{35D5CD7D-3A20-4EB8-B442-65E54571D39E}" srcOrd="0" destOrd="0" presId="urn:microsoft.com/office/officeart/2005/8/layout/list1"/>
    <dgm:cxn modelId="{31AA144C-E5AF-41D8-8CB7-8A2D48F310D0}" type="presOf" srcId="{51776FAA-A67F-43C9-93A9-09460B1195D0}" destId="{06ACE6F8-0FA9-44AE-BA37-8718AB57D422}" srcOrd="0" destOrd="2" presId="urn:microsoft.com/office/officeart/2005/8/layout/list1"/>
    <dgm:cxn modelId="{B7FD2BA0-B80B-4666-86AB-099B7EA06341}" type="presOf" srcId="{E9D3C62B-362B-44C9-A42A-154B9DBAE91C}" destId="{FA8C06B1-BAA1-4827-A601-D14B18466DB6}" srcOrd="0" destOrd="2" presId="urn:microsoft.com/office/officeart/2005/8/layout/list1"/>
    <dgm:cxn modelId="{5EFBE1C5-BAFA-4A4F-97DC-DCEC94D3930E}" type="presOf" srcId="{7AD3D970-693A-46CB-93F2-8719BB4A2138}" destId="{77262FC2-D56C-47EC-A6D3-390D5DF0E708}" srcOrd="0" destOrd="0" presId="urn:microsoft.com/office/officeart/2005/8/layout/list1"/>
    <dgm:cxn modelId="{F0618CD4-2AC3-47D0-8F11-BACCD701AD92}" type="presOf" srcId="{717ECC8B-6813-4A27-9DC1-A0349E570257}" destId="{2F94551E-AD58-4389-A867-ACC7E854241D}" srcOrd="1" destOrd="0" presId="urn:microsoft.com/office/officeart/2005/8/layout/list1"/>
    <dgm:cxn modelId="{48FD79B7-0A80-4168-B74D-E45585C648D8}" srcId="{DCD48D7A-4B03-4423-8CB5-5C5D79405805}" destId="{717ECC8B-6813-4A27-9DC1-A0349E570257}" srcOrd="2" destOrd="0" parTransId="{D945DCAA-29DE-415E-9EC0-2EA9CDBA637F}" sibTransId="{60E19195-CF68-47DE-9785-66C048977208}"/>
    <dgm:cxn modelId="{21FF54B0-7061-409D-AA77-9C011DC7E50B}" srcId="{717ECC8B-6813-4A27-9DC1-A0349E570257}" destId="{0C7E1392-1B2E-4473-98A3-7DB95B0F3E41}" srcOrd="3" destOrd="0" parTransId="{1BB85BBF-AE3C-4053-94E1-A07AA9D27118}" sibTransId="{170804D9-020B-4492-BDDC-2864E2B9B088}"/>
    <dgm:cxn modelId="{81798117-7F32-4512-A9BE-FB15A365DCF2}" type="presOf" srcId="{477C0414-2F64-47A3-9675-FE2E4F8C4A83}" destId="{06ACE6F8-0FA9-44AE-BA37-8718AB57D422}" srcOrd="0" destOrd="3" presId="urn:microsoft.com/office/officeart/2005/8/layout/list1"/>
    <dgm:cxn modelId="{5106C352-9084-428F-ABCE-4715AAA43E33}" type="presOf" srcId="{29647C36-AD56-480A-B274-AFD85B8257AC}" destId="{77262FC2-D56C-47EC-A6D3-390D5DF0E708}" srcOrd="0" destOrd="2" presId="urn:microsoft.com/office/officeart/2005/8/layout/list1"/>
    <dgm:cxn modelId="{47FA276C-8AB9-4C50-93CB-3C240B93E4C4}" srcId="{8069E184-766F-4E8B-A1E8-51EDBCF8B787}" destId="{C8F6D009-A118-4555-A677-CBA61BF6F0D5}" srcOrd="2" destOrd="0" parTransId="{C71E5930-069B-45A4-B7EB-02FF81630C0E}" sibTransId="{EC10895F-10B2-42FD-BCC8-4993E1130164}"/>
    <dgm:cxn modelId="{954406F2-1B59-4EB7-8571-C1BB56C70C82}" type="presOf" srcId="{320F87EC-CED1-4210-8A86-B8F3B4014BD7}" destId="{3BC1BA34-3099-48F7-ADCC-C59CA8F05523}" srcOrd="0" destOrd="2" presId="urn:microsoft.com/office/officeart/2005/8/layout/list1"/>
    <dgm:cxn modelId="{C7F3AF26-7028-4FBC-A3B8-442CFA4F4A7F}" type="presOf" srcId="{4A7800C9-7D3D-4FD3-A0C8-055EA574631C}" destId="{3BC1BA34-3099-48F7-ADCC-C59CA8F05523}" srcOrd="0" destOrd="1" presId="urn:microsoft.com/office/officeart/2005/8/layout/list1"/>
    <dgm:cxn modelId="{0F5FD01F-7C50-4552-ACA8-1BCD7B93BC0C}" type="presOf" srcId="{275C1FC4-3E17-4EB7-B629-3B18A2C22A68}" destId="{3BC1BA34-3099-48F7-ADCC-C59CA8F05523}" srcOrd="0" destOrd="5" presId="urn:microsoft.com/office/officeart/2005/8/layout/list1"/>
    <dgm:cxn modelId="{9A2394D6-DEA8-457C-A7F6-0CA60D78D7EA}" srcId="{8069E184-766F-4E8B-A1E8-51EDBCF8B787}" destId="{08ED7DEB-8B98-40A9-9699-ACCFB829DBE2}" srcOrd="1" destOrd="0" parTransId="{C96799B1-BF4C-4F01-9A1B-8BF2A3D32A1B}" sibTransId="{BC1C2EC9-649F-493C-B095-2F14FEE273F0}"/>
    <dgm:cxn modelId="{84B27017-A550-4955-B34A-A6F39E2DEC14}" srcId="{38D6ECF3-9DC0-4FA5-AA85-AE678086D86F}" destId="{7AD3D970-693A-46CB-93F2-8719BB4A2138}" srcOrd="0" destOrd="0" parTransId="{76659B4B-2119-4F3E-A632-F083A9E2AF61}" sibTransId="{004D6EF7-97F6-4EB3-9B3E-229E15C08DFD}"/>
    <dgm:cxn modelId="{6ECE81EC-BB4B-453C-92DD-2559DD914CE7}" type="presOf" srcId="{2CB7F8B1-2637-4408-9185-3A95A2E4D4D4}" destId="{E6E34545-7A70-45F5-AF30-5300FEAF0CB4}" srcOrd="1" destOrd="0" presId="urn:microsoft.com/office/officeart/2005/8/layout/list1"/>
    <dgm:cxn modelId="{1FF54305-BFB2-4855-ACDA-8F153FA4F52D}" type="presOf" srcId="{8069E184-766F-4E8B-A1E8-51EDBCF8B787}" destId="{8FFBFEAB-4C29-43E1-9195-E019257224C0}" srcOrd="0" destOrd="0" presId="urn:microsoft.com/office/officeart/2005/8/layout/list1"/>
    <dgm:cxn modelId="{86FF9304-A88E-4E74-AECB-FD793CD64EBE}" srcId="{717ECC8B-6813-4A27-9DC1-A0349E570257}" destId="{90932CD4-98AF-4D20-B3A5-3F4217DAB33C}" srcOrd="0" destOrd="0" parTransId="{D4A14047-4231-4EAE-82B4-884A078437F6}" sibTransId="{678DBBEA-15F8-4CEC-BE62-3B0B23BED2F8}"/>
    <dgm:cxn modelId="{952D29FA-01DB-4FF4-B950-87A63CC80292}" srcId="{D67F9A5A-5E88-44A1-939C-135CE3AF4041}" destId="{F2356AF9-BEEF-4B44-8D11-6960D17AF916}" srcOrd="1" destOrd="0" parTransId="{30965C44-C041-42DC-BEED-B4376C8E6B72}" sibTransId="{B601354C-9FC2-4283-877B-28B5BED5CBBC}"/>
    <dgm:cxn modelId="{387F9B62-BA72-46DA-93B7-D805807BFC03}" srcId="{717ECC8B-6813-4A27-9DC1-A0349E570257}" destId="{275C1FC4-3E17-4EB7-B629-3B18A2C22A68}" srcOrd="5" destOrd="0" parTransId="{47FF5181-689E-402C-BA5E-A7F036D82964}" sibTransId="{BD9B50B6-A249-4B4C-A504-6B8A26A3E4B7}"/>
    <dgm:cxn modelId="{B92E7B5B-5ADE-4591-92A7-719245B2AD0F}" type="presParOf" srcId="{1DEF4F99-0D10-4E54-A0BF-F9524F830250}" destId="{2FA5CF8F-DEE2-445C-8A9F-A5B19AA1EC66}" srcOrd="0" destOrd="0" presId="urn:microsoft.com/office/officeart/2005/8/layout/list1"/>
    <dgm:cxn modelId="{E8ACEB03-8C11-48E0-9F89-798762753AAF}" type="presParOf" srcId="{2FA5CF8F-DEE2-445C-8A9F-A5B19AA1EC66}" destId="{545F5493-E5D3-45CD-9407-AD3146FF5B66}" srcOrd="0" destOrd="0" presId="urn:microsoft.com/office/officeart/2005/8/layout/list1"/>
    <dgm:cxn modelId="{F7976DD7-6148-49DF-AE30-6575657687AC}" type="presParOf" srcId="{2FA5CF8F-DEE2-445C-8A9F-A5B19AA1EC66}" destId="{E6E34545-7A70-45F5-AF30-5300FEAF0CB4}" srcOrd="1" destOrd="0" presId="urn:microsoft.com/office/officeart/2005/8/layout/list1"/>
    <dgm:cxn modelId="{46349CF9-996B-4C69-8A51-D2A91B59E194}" type="presParOf" srcId="{1DEF4F99-0D10-4E54-A0BF-F9524F830250}" destId="{EF9B6E2C-EF0B-4D48-9074-55D69A90DE21}" srcOrd="1" destOrd="0" presId="urn:microsoft.com/office/officeart/2005/8/layout/list1"/>
    <dgm:cxn modelId="{17DBD6AA-7E6F-4A9B-B67D-F3A8A7577728}" type="presParOf" srcId="{1DEF4F99-0D10-4E54-A0BF-F9524F830250}" destId="{35D5CD7D-3A20-4EB8-B442-65E54571D39E}" srcOrd="2" destOrd="0" presId="urn:microsoft.com/office/officeart/2005/8/layout/list1"/>
    <dgm:cxn modelId="{1C37A869-82FE-4B80-BDF5-6ED5C6B5066A}" type="presParOf" srcId="{1DEF4F99-0D10-4E54-A0BF-F9524F830250}" destId="{AB83843B-19AA-4C45-ACB9-0772D543D28B}" srcOrd="3" destOrd="0" presId="urn:microsoft.com/office/officeart/2005/8/layout/list1"/>
    <dgm:cxn modelId="{01F7941A-C1DC-400C-A22E-08098C557A99}" type="presParOf" srcId="{1DEF4F99-0D10-4E54-A0BF-F9524F830250}" destId="{55019F05-739C-499C-85AD-7269005767A1}" srcOrd="4" destOrd="0" presId="urn:microsoft.com/office/officeart/2005/8/layout/list1"/>
    <dgm:cxn modelId="{2A2751FE-484A-4CCB-809E-3E2E4FA81898}" type="presParOf" srcId="{55019F05-739C-499C-85AD-7269005767A1}" destId="{8FFBFEAB-4C29-43E1-9195-E019257224C0}" srcOrd="0" destOrd="0" presId="urn:microsoft.com/office/officeart/2005/8/layout/list1"/>
    <dgm:cxn modelId="{2F3F4E5E-DAC1-49BB-AC8A-895AC27E1926}" type="presParOf" srcId="{55019F05-739C-499C-85AD-7269005767A1}" destId="{C4175353-957F-4B0A-882A-9D65932C4C45}" srcOrd="1" destOrd="0" presId="urn:microsoft.com/office/officeart/2005/8/layout/list1"/>
    <dgm:cxn modelId="{1B856F6E-8823-4D12-B9E4-88AFAFA9D6A0}" type="presParOf" srcId="{1DEF4F99-0D10-4E54-A0BF-F9524F830250}" destId="{0862C50F-306A-4E6B-A23B-07B15ECDE9F7}" srcOrd="5" destOrd="0" presId="urn:microsoft.com/office/officeart/2005/8/layout/list1"/>
    <dgm:cxn modelId="{F57112E8-3454-4083-BBBD-30CE65B2B5F0}" type="presParOf" srcId="{1DEF4F99-0D10-4E54-A0BF-F9524F830250}" destId="{BEC4ABD6-0E89-47BE-B95E-5D5D71B73DA1}" srcOrd="6" destOrd="0" presId="urn:microsoft.com/office/officeart/2005/8/layout/list1"/>
    <dgm:cxn modelId="{01416A79-E4D5-41EF-ACDC-5AC2D0AD3051}" type="presParOf" srcId="{1DEF4F99-0D10-4E54-A0BF-F9524F830250}" destId="{BEB87FCE-F499-4870-8AB0-98F9F509D50E}" srcOrd="7" destOrd="0" presId="urn:microsoft.com/office/officeart/2005/8/layout/list1"/>
    <dgm:cxn modelId="{01CEC07E-EA12-4AAE-A419-B39768B125E1}" type="presParOf" srcId="{1DEF4F99-0D10-4E54-A0BF-F9524F830250}" destId="{3AA816E6-3A8D-45C3-B0AF-DCE6C0F7D52F}" srcOrd="8" destOrd="0" presId="urn:microsoft.com/office/officeart/2005/8/layout/list1"/>
    <dgm:cxn modelId="{06E5AD61-B0EB-4D06-8DC0-4AA1274D8594}" type="presParOf" srcId="{3AA816E6-3A8D-45C3-B0AF-DCE6C0F7D52F}" destId="{9702987D-0E97-487C-8CCC-50D92DF3BD3E}" srcOrd="0" destOrd="0" presId="urn:microsoft.com/office/officeart/2005/8/layout/list1"/>
    <dgm:cxn modelId="{A0F5DAE7-CD07-4E4B-93D6-AE03007B0430}" type="presParOf" srcId="{3AA816E6-3A8D-45C3-B0AF-DCE6C0F7D52F}" destId="{2F94551E-AD58-4389-A867-ACC7E854241D}" srcOrd="1" destOrd="0" presId="urn:microsoft.com/office/officeart/2005/8/layout/list1"/>
    <dgm:cxn modelId="{EDE8B232-42AD-4977-9D1E-598A12AC400A}" type="presParOf" srcId="{1DEF4F99-0D10-4E54-A0BF-F9524F830250}" destId="{0B0D6F0B-4DEB-4B88-B257-B59830E60C59}" srcOrd="9" destOrd="0" presId="urn:microsoft.com/office/officeart/2005/8/layout/list1"/>
    <dgm:cxn modelId="{82CD3D1B-37A6-4680-8129-A69343179964}" type="presParOf" srcId="{1DEF4F99-0D10-4E54-A0BF-F9524F830250}" destId="{3BC1BA34-3099-48F7-ADCC-C59CA8F05523}" srcOrd="10" destOrd="0" presId="urn:microsoft.com/office/officeart/2005/8/layout/list1"/>
    <dgm:cxn modelId="{B43CF5A9-F8FF-4875-A8BC-B3DC3FB1FE9E}" type="presParOf" srcId="{1DEF4F99-0D10-4E54-A0BF-F9524F830250}" destId="{ED98C6C5-10F9-43FD-B588-4DD8CA453F1D}" srcOrd="11" destOrd="0" presId="urn:microsoft.com/office/officeart/2005/8/layout/list1"/>
    <dgm:cxn modelId="{C979183C-5784-4681-AAF3-723BC8467EF2}" type="presParOf" srcId="{1DEF4F99-0D10-4E54-A0BF-F9524F830250}" destId="{15A1C469-7C3A-4EBC-B23A-4CE4DD373580}" srcOrd="12" destOrd="0" presId="urn:microsoft.com/office/officeart/2005/8/layout/list1"/>
    <dgm:cxn modelId="{0231346E-9A4A-488D-89F0-4555CD99AB83}" type="presParOf" srcId="{15A1C469-7C3A-4EBC-B23A-4CE4DD373580}" destId="{3B8B29A2-8F27-4747-815F-4C192BC39EFB}" srcOrd="0" destOrd="0" presId="urn:microsoft.com/office/officeart/2005/8/layout/list1"/>
    <dgm:cxn modelId="{91953E05-6FDF-4877-AF56-909113686303}" type="presParOf" srcId="{15A1C469-7C3A-4EBC-B23A-4CE4DD373580}" destId="{514BAA5A-25A1-407B-9E98-4F585743FC17}" srcOrd="1" destOrd="0" presId="urn:microsoft.com/office/officeart/2005/8/layout/list1"/>
    <dgm:cxn modelId="{C8DCD7F2-9AF5-4F5A-818F-D4ADB4C36404}" type="presParOf" srcId="{1DEF4F99-0D10-4E54-A0BF-F9524F830250}" destId="{584AD0D6-0EBE-40B3-A5EF-BEFBE1FDD233}" srcOrd="13" destOrd="0" presId="urn:microsoft.com/office/officeart/2005/8/layout/list1"/>
    <dgm:cxn modelId="{7D69004A-BC61-402A-8697-6BD49A4D735A}" type="presParOf" srcId="{1DEF4F99-0D10-4E54-A0BF-F9524F830250}" destId="{06ACE6F8-0FA9-44AE-BA37-8718AB57D422}" srcOrd="14" destOrd="0" presId="urn:microsoft.com/office/officeart/2005/8/layout/list1"/>
    <dgm:cxn modelId="{344334B0-32A4-4349-9119-025C6A897213}" type="presParOf" srcId="{1DEF4F99-0D10-4E54-A0BF-F9524F830250}" destId="{728F8364-6B69-4FB1-8CEE-FE0453B48F74}" srcOrd="15" destOrd="0" presId="urn:microsoft.com/office/officeart/2005/8/layout/list1"/>
    <dgm:cxn modelId="{80FAF5EF-4AD2-4C11-AFAE-1819C2CDB93F}" type="presParOf" srcId="{1DEF4F99-0D10-4E54-A0BF-F9524F830250}" destId="{2FED5211-A15F-4937-8626-A219A5AF8F6A}" srcOrd="16" destOrd="0" presId="urn:microsoft.com/office/officeart/2005/8/layout/list1"/>
    <dgm:cxn modelId="{E671E8AC-AC5E-43D9-BED2-992CC14D383F}" type="presParOf" srcId="{2FED5211-A15F-4937-8626-A219A5AF8F6A}" destId="{96E24B0A-8F37-4257-B7B3-645FB1DA6A85}" srcOrd="0" destOrd="0" presId="urn:microsoft.com/office/officeart/2005/8/layout/list1"/>
    <dgm:cxn modelId="{5B7DC432-0D72-4887-B946-6736936DD655}" type="presParOf" srcId="{2FED5211-A15F-4937-8626-A219A5AF8F6A}" destId="{72C2FA48-4513-4CD5-8267-CAFA222E040F}" srcOrd="1" destOrd="0" presId="urn:microsoft.com/office/officeart/2005/8/layout/list1"/>
    <dgm:cxn modelId="{45EAE907-CAB6-4750-95C2-EF481439338A}" type="presParOf" srcId="{1DEF4F99-0D10-4E54-A0BF-F9524F830250}" destId="{C5574D53-E5B2-4961-BC19-B9AEEE8D8A74}" srcOrd="17" destOrd="0" presId="urn:microsoft.com/office/officeart/2005/8/layout/list1"/>
    <dgm:cxn modelId="{4B2A3E9B-B5B4-4EDB-82EA-341335609F09}" type="presParOf" srcId="{1DEF4F99-0D10-4E54-A0BF-F9524F830250}" destId="{4EFCDA67-9C44-44DD-A910-D775D3C6B542}" srcOrd="18" destOrd="0" presId="urn:microsoft.com/office/officeart/2005/8/layout/list1"/>
    <dgm:cxn modelId="{B816D2F2-A1B1-4E7F-9104-AB9EA0D45B23}" type="presParOf" srcId="{1DEF4F99-0D10-4E54-A0BF-F9524F830250}" destId="{44903029-1598-44FF-927B-4388D5E8763C}" srcOrd="19" destOrd="0" presId="urn:microsoft.com/office/officeart/2005/8/layout/list1"/>
    <dgm:cxn modelId="{A29166E1-DE26-44A4-8B03-06E6518791E9}" type="presParOf" srcId="{1DEF4F99-0D10-4E54-A0BF-F9524F830250}" destId="{86EE8AB6-545B-4020-AEC6-19F34F74D919}" srcOrd="20" destOrd="0" presId="urn:microsoft.com/office/officeart/2005/8/layout/list1"/>
    <dgm:cxn modelId="{EF2ED5C2-3848-4BB9-8CC4-6BCAC350D4EC}" type="presParOf" srcId="{86EE8AB6-545B-4020-AEC6-19F34F74D919}" destId="{C7C02459-324F-4CBA-B9A7-D10266029FAC}" srcOrd="0" destOrd="0" presId="urn:microsoft.com/office/officeart/2005/8/layout/list1"/>
    <dgm:cxn modelId="{3338D99A-2155-4494-8EBF-459ED548B678}" type="presParOf" srcId="{86EE8AB6-545B-4020-AEC6-19F34F74D919}" destId="{4E9F94DE-8CF1-4FE7-9A6B-53CB416743FC}" srcOrd="1" destOrd="0" presId="urn:microsoft.com/office/officeart/2005/8/layout/list1"/>
    <dgm:cxn modelId="{74414219-6157-408A-822A-EA07B7C194AB}" type="presParOf" srcId="{1DEF4F99-0D10-4E54-A0BF-F9524F830250}" destId="{DD8C64AD-F0AB-4DAF-BD3D-6848B3517AE4}" srcOrd="21" destOrd="0" presId="urn:microsoft.com/office/officeart/2005/8/layout/list1"/>
    <dgm:cxn modelId="{F5D3B5F4-CEBB-433C-B2AD-3803B8716A8B}" type="presParOf" srcId="{1DEF4F99-0D10-4E54-A0BF-F9524F830250}" destId="{FA8C06B1-BAA1-4827-A601-D14B18466DB6}" srcOrd="22" destOrd="0" presId="urn:microsoft.com/office/officeart/2005/8/layout/list1"/>
    <dgm:cxn modelId="{A803F878-728E-4CFA-B8B2-00668EE36383}" type="presParOf" srcId="{1DEF4F99-0D10-4E54-A0BF-F9524F830250}" destId="{D62CC520-BE4A-45F5-85CF-6F1FF6479E7B}" srcOrd="23" destOrd="0" presId="urn:microsoft.com/office/officeart/2005/8/layout/list1"/>
    <dgm:cxn modelId="{DCEE19FE-0ACA-4954-A721-ED112609D70A}" type="presParOf" srcId="{1DEF4F99-0D10-4E54-A0BF-F9524F830250}" destId="{0ACFCED0-6DBF-47C9-BEFF-1C22DE7DB9F3}" srcOrd="24" destOrd="0" presId="urn:microsoft.com/office/officeart/2005/8/layout/list1"/>
    <dgm:cxn modelId="{1C2278A3-6134-4178-B80E-247B003D802F}" type="presParOf" srcId="{0ACFCED0-6DBF-47C9-BEFF-1C22DE7DB9F3}" destId="{A03587EF-2C72-4284-B879-B71BE0640BA4}" srcOrd="0" destOrd="0" presId="urn:microsoft.com/office/officeart/2005/8/layout/list1"/>
    <dgm:cxn modelId="{DEB5A732-F0EC-470D-B8C4-2D7C207DFA1E}" type="presParOf" srcId="{0ACFCED0-6DBF-47C9-BEFF-1C22DE7DB9F3}" destId="{0BB363C2-1000-4D63-89E1-75C121258685}" srcOrd="1" destOrd="0" presId="urn:microsoft.com/office/officeart/2005/8/layout/list1"/>
    <dgm:cxn modelId="{6945B4C4-0BC5-42FB-BFA7-FABB3283E796}" type="presParOf" srcId="{1DEF4F99-0D10-4E54-A0BF-F9524F830250}" destId="{C9B2B30D-0668-43BB-8909-432202A9EDB4}" srcOrd="25" destOrd="0" presId="urn:microsoft.com/office/officeart/2005/8/layout/list1"/>
    <dgm:cxn modelId="{84F08611-1361-4090-B1A3-46606F5DDDE0}" type="presParOf" srcId="{1DEF4F99-0D10-4E54-A0BF-F9524F830250}" destId="{77262FC2-D56C-47EC-A6D3-390D5DF0E708}" srcOrd="26" destOrd="0" presId="urn:microsoft.com/office/officeart/2005/8/layout/list1"/>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Tree>
</dsp:drawing>
</file>

<file path=xl/diagrams/layout1.xml><?xml version="1.0" encoding="utf-8"?>
<dgm:layoutDef xmlns:dgm="http://schemas.openxmlformats.org/drawingml/2006/diagram" xmlns:a="http://schemas.openxmlformats.org/drawingml/2006/main" uniqueId="urn:microsoft.com/office/officeart/2005/8/layout/list1">
  <dgm:title val=""/>
  <dgm:desc val=""/>
  <dgm:catLst>
    <dgm:cat type="list" pri="4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t modelId="2"/>
      </dgm:ptLst>
      <dgm:cxnLst>
        <dgm:cxn modelId="4" srcId="0" destId="1" srcOrd="0" destOrd="0"/>
        <dgm:cxn modelId="5"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linear">
    <dgm:varLst>
      <dgm:dir/>
      <dgm:animLvl val="lvl"/>
      <dgm:resizeHandles val="exact"/>
    </dgm:varLst>
    <dgm:choose name="Name0">
      <dgm:if name="Name1" func="var" arg="dir" op="equ" val="norm">
        <dgm:alg type="lin">
          <dgm:param type="linDir" val="fromT"/>
          <dgm:param type="vertAlign" val="mid"/>
          <dgm:param type="horzAlign" val="l"/>
          <dgm:param type="nodeHorzAlign" val="l"/>
        </dgm:alg>
      </dgm:if>
      <dgm:else name="Name2">
        <dgm:alg type="lin">
          <dgm:param type="linDir" val="fromT"/>
          <dgm:param type="vertAlign" val="mid"/>
          <dgm:param type="horzAlign" val="r"/>
          <dgm:param type="nodeHorzAlign" val="r"/>
        </dgm:alg>
      </dgm:else>
    </dgm:choose>
    <dgm:shape xmlns:r="http://schemas.openxmlformats.org/officeDocument/2006/relationships" r:blip="">
      <dgm:adjLst/>
    </dgm:shape>
    <dgm:presOf/>
    <dgm:constrLst>
      <dgm:constr type="w" for="ch" forName="parentLin" refType="w"/>
      <dgm:constr type="h" for="ch" forName="parentLin" val="INF"/>
      <dgm:constr type="w" for="des" forName="parentLeftMargin" refType="w" fact="0.05"/>
      <dgm:constr type="w" for="des" forName="parentText" refType="w" fact="0.7"/>
      <dgm:constr type="h" for="des" forName="parentText" refType="primFontSz" refFor="des" refForName="parentText" fact="0.82"/>
      <dgm:constr type="h" for="ch" forName="negativeSpace" refType="primFontSz" refFor="des" refForName="parentText" fact="-0.41"/>
      <dgm:constr type="h" for="ch" forName="negativeSpace" refType="h" refFor="des" refForName="parentText" op="lte" fact="-0.82"/>
      <dgm:constr type="h" for="ch" forName="negativeSpace" refType="h" refFor="des" refForName="parentText" op="gte" fact="-0.82"/>
      <dgm:constr type="w" for="ch" forName="childText" refType="w"/>
      <dgm:constr type="h" for="ch" forName="childText" refType="primFontSz" refFor="des" refForName="parentText" fact="0.7"/>
      <dgm:constr type="primFontSz" for="des" forName="parentText" val="65"/>
      <dgm:constr type="primFontSz" for="ch" forName="childText" refType="primFontSz" refFor="des" refForName="parentText"/>
      <dgm:constr type="tMarg" for="ch" forName="childText" refType="primFontSz" refFor="des" refForName="parentText" fact="1.64"/>
      <dgm:constr type="tMarg" for="ch" forName="childText" refType="h" refFor="des" refForName="parentText" op="lte" fact="3.28"/>
      <dgm:constr type="tMarg" for="ch" forName="childText" refType="h" refFor="des" refForName="parentText" op="gte" fact="3.28"/>
      <dgm:constr type="lMarg" for="ch" forName="childText" refType="w" fact="0.22"/>
      <dgm:constr type="rMarg" for="ch" forName="childText" refType="lMarg" refFor="ch" refForName="childText"/>
      <dgm:constr type="lMarg" for="des" forName="parentText" refType="w" fact="0.075"/>
      <dgm:constr type="rMarg" for="des" forName="parentText" refType="lMarg" refFor="des" refForName="parentText"/>
      <dgm:constr type="h" for="ch" forName="spaceBetweenRectangles" refType="primFontSz" refFor="des" refForName="parentText" fact="0.15"/>
    </dgm:constrLst>
    <dgm:ruleLst>
      <dgm:rule type="primFontSz" for="des" forName="parentText" val="5" fact="NaN" max="NaN"/>
    </dgm:ruleLst>
    <dgm:forEach name="Name3" axis="ch" ptType="node">
      <dgm:layoutNode name="parentLin">
        <dgm:choose name="Name4">
          <dgm:if name="Name5" func="var" arg="dir" op="equ" val="norm">
            <dgm:alg type="lin">
              <dgm:param type="linDir" val="fromL"/>
              <dgm:param type="horzAlign" val="l"/>
              <dgm:param type="nodeHorzAlign" val="l"/>
            </dgm:alg>
          </dgm:if>
          <dgm:else name="Name6">
            <dgm:alg type="lin">
              <dgm:param type="linDir" val="fromR"/>
              <dgm:param type="horzAlign" val="r"/>
              <dgm:param type="nodeHorzAlign" val="r"/>
            </dgm:alg>
          </dgm:else>
        </dgm:choose>
        <dgm:shape xmlns:r="http://schemas.openxmlformats.org/officeDocument/2006/relationships" r:blip="">
          <dgm:adjLst/>
        </dgm:shape>
        <dgm:presOf/>
        <dgm:constrLst/>
        <dgm:ruleLst/>
        <dgm:layoutNode name="parentLeftMargin">
          <dgm:alg type="sp"/>
          <dgm:shape xmlns:r="http://schemas.openxmlformats.org/officeDocument/2006/relationships" type="rect" r:blip="" hideGeom="1">
            <dgm:adjLst/>
          </dgm:shape>
          <dgm:presOf axis="self"/>
          <dgm:constrLst>
            <dgm:constr type="h"/>
          </dgm:constrLst>
          <dgm:ruleLst/>
        </dgm:layoutNode>
        <dgm:layoutNode name="parentText" styleLbl="node1">
          <dgm:varLst>
            <dgm:chMax val="0"/>
            <dgm:bulletEnabled val="1"/>
          </dgm:varLst>
          <dgm:choose name="Name7">
            <dgm:if name="Name8" func="var" arg="dir" op="equ" val="norm">
              <dgm:alg type="tx">
                <dgm:param type="parTxLTRAlign" val="l"/>
                <dgm:param type="parTxRTLAlign" val="l"/>
              </dgm:alg>
            </dgm:if>
            <dgm:else name="Name9">
              <dgm:alg type="tx">
                <dgm:param type="parTxLTRAlign" val="r"/>
                <dgm:param type="parTxRTLAlign" val="r"/>
              </dgm:alg>
            </dgm:else>
          </dgm:choose>
          <dgm:shape xmlns:r="http://schemas.openxmlformats.org/officeDocument/2006/relationships" type="roundRect" r:blip="">
            <dgm:adjLst/>
          </dgm:shape>
          <dgm:presOf axis="self" ptType="node"/>
          <dgm:constrLst>
            <dgm:constr type="tMarg"/>
            <dgm:constr type="bMarg"/>
          </dgm:constrLst>
          <dgm:ruleLst/>
        </dgm:layoutNode>
      </dgm:layoutNode>
      <dgm:layoutNode name="negativeSpace">
        <dgm:alg type="sp"/>
        <dgm:shape xmlns:r="http://schemas.openxmlformats.org/officeDocument/2006/relationships" r:blip="">
          <dgm:adjLst/>
        </dgm:shape>
        <dgm:presOf/>
        <dgm:constrLst/>
        <dgm:ruleLst/>
      </dgm:layoutNode>
      <dgm:layoutNode name="childText" styleLbl="conFgAcc1">
        <dgm:varLst>
          <dgm:bulletEnabled val="1"/>
        </dgm:varLst>
        <dgm:alg type="tx">
          <dgm:param type="stBulletLvl" val="1"/>
        </dgm:alg>
        <dgm:shape xmlns:r="http://schemas.openxmlformats.org/officeDocument/2006/relationships" type="rect" r:blip="" zOrderOff="-2">
          <dgm:adjLst/>
        </dgm:shape>
        <dgm:presOf axis="des" ptType="node"/>
        <dgm:constrLst>
          <dgm:constr type="secFontSz" refType="primFontSz"/>
        </dgm:constrLst>
        <dgm:ruleLst>
          <dgm:rule type="h" val="INF" fact="NaN" max="NaN"/>
        </dgm:ruleLst>
      </dgm:layoutNode>
      <dgm:forEach name="Name10" axis="followSib" ptType="sibTrans" cnt="1">
        <dgm:layoutNode name="spaceBetweenRectangles">
          <dgm:alg type="sp"/>
          <dgm:shape xmlns:r="http://schemas.openxmlformats.org/officeDocument/2006/relationships" r:blip="">
            <dgm:adjLst/>
          </dgm:shape>
          <dgm:presO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7.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8.png"/></Relationships>
</file>

<file path=xl/drawings/_rels/drawing12.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image" Target="../media/image1.png"/><Relationship Id="rId5" Type="http://schemas.openxmlformats.org/officeDocument/2006/relationships/image" Target="../media/image13.png"/><Relationship Id="rId4"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4.png"/></Relationships>
</file>

<file path=xl/drawings/_rels/drawing1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16.png"/><Relationship Id="rId1" Type="http://schemas.openxmlformats.org/officeDocument/2006/relationships/image" Target="../media/image15.png"/></Relationships>
</file>

<file path=xl/drawings/_rels/drawing1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7.png"/></Relationships>
</file>

<file path=xl/drawings/_rels/drawing1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8.png"/></Relationships>
</file>

<file path=xl/drawings/_rels/drawing17.xml.rels><?xml version="1.0" encoding="UTF-8" standalone="yes"?>
<Relationships xmlns="http://schemas.openxmlformats.org/package/2006/relationships"><Relationship Id="rId3" Type="http://schemas.openxmlformats.org/officeDocument/2006/relationships/diagramLayout" Target="../diagrams/layout1.xml"/><Relationship Id="rId7" Type="http://schemas.openxmlformats.org/officeDocument/2006/relationships/image" Target="../media/image1.png"/><Relationship Id="rId2" Type="http://schemas.openxmlformats.org/officeDocument/2006/relationships/diagramData" Target="../diagrams/data1.xml"/><Relationship Id="rId1" Type="http://schemas.openxmlformats.org/officeDocument/2006/relationships/image" Target="../media/image19.png"/><Relationship Id="rId6" Type="http://schemas.microsoft.com/office/2007/relationships/diagramDrawing" Target="../diagrams/drawing1.xml"/><Relationship Id="rId5" Type="http://schemas.openxmlformats.org/officeDocument/2006/relationships/diagramColors" Target="../diagrams/colors1.xml"/><Relationship Id="rId4" Type="http://schemas.openxmlformats.org/officeDocument/2006/relationships/diagramQuickStyle" Target="../diagrams/quickStyle1.xml"/></Relationships>
</file>

<file path=xl/drawings/_rels/drawing18.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1.png"/><Relationship Id="rId1" Type="http://schemas.openxmlformats.org/officeDocument/2006/relationships/image" Target="../media/image20.png"/></Relationships>
</file>

<file path=xl/drawings/_rels/drawing19.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3.png"/><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5.png"/><Relationship Id="rId1" Type="http://schemas.openxmlformats.org/officeDocument/2006/relationships/image" Target="../media/image24.png"/></Relationships>
</file>

<file path=xl/drawings/_rels/drawing2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7.png"/><Relationship Id="rId1" Type="http://schemas.openxmlformats.org/officeDocument/2006/relationships/image" Target="../media/image26.png"/></Relationships>
</file>

<file path=xl/drawings/_rels/drawing2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8.png"/></Relationships>
</file>

<file path=xl/drawings/_rels/drawing2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9.png"/></Relationships>
</file>

<file path=xl/drawings/_rels/drawing2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1.png"/><Relationship Id="rId1" Type="http://schemas.openxmlformats.org/officeDocument/2006/relationships/image" Target="../media/image30.png"/></Relationships>
</file>

<file path=xl/drawings/_rels/drawing2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3.png"/><Relationship Id="rId1" Type="http://schemas.openxmlformats.org/officeDocument/2006/relationships/image" Target="../media/image32.png"/></Relationships>
</file>

<file path=xl/drawings/_rels/drawing2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5.png"/><Relationship Id="rId1" Type="http://schemas.openxmlformats.org/officeDocument/2006/relationships/image" Target="../media/image34.png"/></Relationships>
</file>

<file path=xl/drawings/_rels/drawing2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6.png"/></Relationships>
</file>

<file path=xl/drawings/_rels/drawing28.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8.png"/><Relationship Id="rId1" Type="http://schemas.openxmlformats.org/officeDocument/2006/relationships/image" Target="../media/image37.png"/></Relationships>
</file>

<file path=xl/drawings/_rels/drawing2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9.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0.png"/></Relationships>
</file>

<file path=xl/drawings/_rels/drawing3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1.png"/></Relationships>
</file>

<file path=xl/drawings/_rels/drawing32.xml.rels><?xml version="1.0" encoding="UTF-8" standalone="yes"?>
<Relationships xmlns="http://schemas.openxmlformats.org/package/2006/relationships"><Relationship Id="rId3" Type="http://schemas.openxmlformats.org/officeDocument/2006/relationships/image" Target="../media/image44.png"/><Relationship Id="rId2" Type="http://schemas.openxmlformats.org/officeDocument/2006/relationships/image" Target="../media/image43.png"/><Relationship Id="rId1" Type="http://schemas.openxmlformats.org/officeDocument/2006/relationships/image" Target="../media/image42.png"/><Relationship Id="rId4" Type="http://schemas.openxmlformats.org/officeDocument/2006/relationships/image" Target="../media/image1.png"/></Relationships>
</file>

<file path=xl/drawings/_rels/drawing3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6.png"/><Relationship Id="rId1" Type="http://schemas.openxmlformats.org/officeDocument/2006/relationships/image" Target="../media/image45.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0</xdr:col>
      <xdr:colOff>2</xdr:colOff>
      <xdr:row>0</xdr:row>
      <xdr:rowOff>0</xdr:rowOff>
    </xdr:from>
    <xdr:to>
      <xdr:col>6</xdr:col>
      <xdr:colOff>0</xdr:colOff>
      <xdr:row>1</xdr:row>
      <xdr:rowOff>0</xdr:rowOff>
    </xdr:to>
    <xdr:grpSp>
      <xdr:nvGrpSpPr>
        <xdr:cNvPr id="10" name="1 Grupo"/>
        <xdr:cNvGrpSpPr>
          <a:grpSpLocks/>
        </xdr:cNvGrpSpPr>
      </xdr:nvGrpSpPr>
      <xdr:grpSpPr bwMode="auto">
        <a:xfrm>
          <a:off x="2" y="0"/>
          <a:ext cx="10201273" cy="1657350"/>
          <a:chOff x="57151" y="47625"/>
          <a:chExt cx="6181724" cy="1581150"/>
        </a:xfrm>
      </xdr:grpSpPr>
      <xdr:pic>
        <xdr:nvPicPr>
          <xdr:cNvPr id="11" name="1 Imagen" descr="ESCUDO-transp-lema-blanco.png"/>
          <xdr:cNvPicPr>
            <a:picLocks noChangeAspect="1"/>
          </xdr:cNvPicPr>
        </xdr:nvPicPr>
        <xdr:blipFill>
          <a:blip xmlns:r="http://schemas.openxmlformats.org/officeDocument/2006/relationships" r:embed="rId1" cstate="print"/>
          <a:srcRect/>
          <a:stretch>
            <a:fillRect/>
          </a:stretch>
        </xdr:blipFill>
        <xdr:spPr bwMode="auto">
          <a:xfrm>
            <a:off x="57151" y="47625"/>
            <a:ext cx="850209" cy="1581150"/>
          </a:xfrm>
          <a:prstGeom prst="rect">
            <a:avLst/>
          </a:prstGeom>
          <a:noFill/>
          <a:ln w="9525">
            <a:noFill/>
            <a:miter lim="800000"/>
            <a:headEnd/>
            <a:tailEnd/>
          </a:ln>
        </xdr:spPr>
      </xdr:pic>
      <xdr:sp macro="" textlink="">
        <xdr:nvSpPr>
          <xdr:cNvPr id="12" name="3 CuadroTexto"/>
          <xdr:cNvSpPr txBox="1"/>
        </xdr:nvSpPr>
        <xdr:spPr>
          <a:xfrm>
            <a:off x="1426640" y="495300"/>
            <a:ext cx="4812235"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548640</xdr:colOff>
      <xdr:row>62</xdr:row>
      <xdr:rowOff>160020</xdr:rowOff>
    </xdr:from>
    <xdr:to>
      <xdr:col>2</xdr:col>
      <xdr:colOff>1714601</xdr:colOff>
      <xdr:row>64</xdr:row>
      <xdr:rowOff>60983</xdr:rowOff>
    </xdr:to>
    <xdr:pic>
      <xdr:nvPicPr>
        <xdr:cNvPr id="2" name="Imagen 1">
          <a:extLst>
            <a:ext uri="{FF2B5EF4-FFF2-40B4-BE49-F238E27FC236}">
              <a16:creationId xmlns:a16="http://schemas.microsoft.com/office/drawing/2014/main" xmlns="" id="{DD0D794E-314C-4FF1-A351-E1F753C53EAC}"/>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60220" y="20193000"/>
          <a:ext cx="1165961" cy="2667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xdr:cNvGrpSpPr>
          <a:grpSpLocks/>
        </xdr:cNvGrpSpPr>
      </xdr:nvGrpSpPr>
      <xdr:grpSpPr bwMode="auto">
        <a:xfrm>
          <a:off x="0" y="0"/>
          <a:ext cx="5316510" cy="1277615"/>
          <a:chOff x="57150" y="47625"/>
          <a:chExt cx="6316603" cy="1200288"/>
        </a:xfrm>
      </xdr:grpSpPr>
      <xdr:pic>
        <xdr:nvPicPr>
          <xdr:cNvPr id="4" name="1 Imagen" descr="ESCUDO-transp-lema-blanco.png"/>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381000</xdr:colOff>
      <xdr:row>66</xdr:row>
      <xdr:rowOff>160020</xdr:rowOff>
    </xdr:from>
    <xdr:to>
      <xdr:col>2</xdr:col>
      <xdr:colOff>2065166</xdr:colOff>
      <xdr:row>68</xdr:row>
      <xdr:rowOff>60983</xdr:rowOff>
    </xdr:to>
    <xdr:pic>
      <xdr:nvPicPr>
        <xdr:cNvPr id="2" name="Imagen 1">
          <a:extLst>
            <a:ext uri="{FF2B5EF4-FFF2-40B4-BE49-F238E27FC236}">
              <a16:creationId xmlns:a16="http://schemas.microsoft.com/office/drawing/2014/main" xmlns="" id="{36A42E1D-2F19-48C8-951A-ACBA0705800F}"/>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92580" y="21983700"/>
          <a:ext cx="1684166" cy="2667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xdr:cNvGrpSpPr>
          <a:grpSpLocks/>
        </xdr:cNvGrpSpPr>
      </xdr:nvGrpSpPr>
      <xdr:grpSpPr bwMode="auto">
        <a:xfrm>
          <a:off x="0" y="0"/>
          <a:ext cx="5316510" cy="1277615"/>
          <a:chOff x="57150" y="47625"/>
          <a:chExt cx="6316603" cy="1200288"/>
        </a:xfrm>
      </xdr:grpSpPr>
      <xdr:pic>
        <xdr:nvPicPr>
          <xdr:cNvPr id="4" name="1 Imagen" descr="ESCUDO-transp-lema-blanco.png"/>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30481</xdr:colOff>
      <xdr:row>87</xdr:row>
      <xdr:rowOff>144780</xdr:rowOff>
    </xdr:from>
    <xdr:to>
      <xdr:col>2</xdr:col>
      <xdr:colOff>2372310</xdr:colOff>
      <xdr:row>87</xdr:row>
      <xdr:rowOff>240800</xdr:rowOff>
    </xdr:to>
    <xdr:pic>
      <xdr:nvPicPr>
        <xdr:cNvPr id="2" name="Imagen 1">
          <a:extLst>
            <a:ext uri="{FF2B5EF4-FFF2-40B4-BE49-F238E27FC236}">
              <a16:creationId xmlns:a16="http://schemas.microsoft.com/office/drawing/2014/main" xmlns="" id="{06850FB5-C066-4EA7-93BF-5DF833BF99FC}"/>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42061" y="21252180"/>
          <a:ext cx="2341829" cy="96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411481</xdr:colOff>
      <xdr:row>98</xdr:row>
      <xdr:rowOff>0</xdr:rowOff>
    </xdr:from>
    <xdr:to>
      <xdr:col>2</xdr:col>
      <xdr:colOff>1718424</xdr:colOff>
      <xdr:row>99</xdr:row>
      <xdr:rowOff>3826</xdr:rowOff>
    </xdr:to>
    <xdr:pic>
      <xdr:nvPicPr>
        <xdr:cNvPr id="3" name="Imagen 2">
          <a:extLst>
            <a:ext uri="{FF2B5EF4-FFF2-40B4-BE49-F238E27FC236}">
              <a16:creationId xmlns:a16="http://schemas.microsoft.com/office/drawing/2014/main" xmlns="" id="{F556D56F-1770-467D-8C15-C369BDB5DBC2}"/>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23061" y="25534620"/>
          <a:ext cx="1306943" cy="1867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624841</xdr:colOff>
      <xdr:row>104</xdr:row>
      <xdr:rowOff>15240</xdr:rowOff>
    </xdr:from>
    <xdr:to>
      <xdr:col>2</xdr:col>
      <xdr:colOff>1654392</xdr:colOff>
      <xdr:row>105</xdr:row>
      <xdr:rowOff>19066</xdr:rowOff>
    </xdr:to>
    <xdr:pic>
      <xdr:nvPicPr>
        <xdr:cNvPr id="4" name="Imagen 3">
          <a:extLst>
            <a:ext uri="{FF2B5EF4-FFF2-40B4-BE49-F238E27FC236}">
              <a16:creationId xmlns:a16="http://schemas.microsoft.com/office/drawing/2014/main" xmlns="" id="{90D7C061-F22D-42C4-B47C-BB10323DE35E}"/>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36421" y="27104340"/>
          <a:ext cx="1029551" cy="1867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594360</xdr:colOff>
      <xdr:row>110</xdr:row>
      <xdr:rowOff>144780</xdr:rowOff>
    </xdr:from>
    <xdr:to>
      <xdr:col>2</xdr:col>
      <xdr:colOff>1655918</xdr:colOff>
      <xdr:row>111</xdr:row>
      <xdr:rowOff>148606</xdr:rowOff>
    </xdr:to>
    <xdr:pic>
      <xdr:nvPicPr>
        <xdr:cNvPr id="5" name="Imagen 4">
          <a:extLst>
            <a:ext uri="{FF2B5EF4-FFF2-40B4-BE49-F238E27FC236}">
              <a16:creationId xmlns:a16="http://schemas.microsoft.com/office/drawing/2014/main" xmlns="" id="{091F30FA-1C68-4C51-8A55-22919A8D7D95}"/>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05940" y="28635960"/>
          <a:ext cx="1061558" cy="1867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365760</xdr:colOff>
      <xdr:row>117</xdr:row>
      <xdr:rowOff>53341</xdr:rowOff>
    </xdr:from>
    <xdr:to>
      <xdr:col>2</xdr:col>
      <xdr:colOff>2206150</xdr:colOff>
      <xdr:row>118</xdr:row>
      <xdr:rowOff>41164</xdr:rowOff>
    </xdr:to>
    <xdr:pic>
      <xdr:nvPicPr>
        <xdr:cNvPr id="6" name="Imagen 5">
          <a:extLst>
            <a:ext uri="{FF2B5EF4-FFF2-40B4-BE49-F238E27FC236}">
              <a16:creationId xmlns:a16="http://schemas.microsoft.com/office/drawing/2014/main" xmlns="" id="{EDD7E832-AC9A-482E-87F1-57FFF981C49B}"/>
            </a:ext>
          </a:extLst>
        </xdr:cNvPr>
        <xdr:cNvPicPr>
          <a:picLocks noChangeAspect="1" noChangeArrowheads="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77340" y="30556201"/>
          <a:ext cx="1840390" cy="1707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7" name="1 Grupo"/>
        <xdr:cNvGrpSpPr>
          <a:grpSpLocks/>
        </xdr:cNvGrpSpPr>
      </xdr:nvGrpSpPr>
      <xdr:grpSpPr bwMode="auto">
        <a:xfrm>
          <a:off x="0" y="0"/>
          <a:ext cx="5316510" cy="1277615"/>
          <a:chOff x="57150" y="47625"/>
          <a:chExt cx="6316603" cy="1200288"/>
        </a:xfrm>
      </xdr:grpSpPr>
      <xdr:pic>
        <xdr:nvPicPr>
          <xdr:cNvPr id="8" name="1 Imagen" descr="ESCUDO-transp-lema-blanco.png"/>
          <xdr:cNvPicPr>
            <a:picLocks noChangeAspect="1"/>
          </xdr:cNvPicPr>
        </xdr:nvPicPr>
        <xdr:blipFill>
          <a:blip xmlns:r="http://schemas.openxmlformats.org/officeDocument/2006/relationships" r:embed="rId6"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9"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518160</xdr:colOff>
      <xdr:row>91</xdr:row>
      <xdr:rowOff>0</xdr:rowOff>
    </xdr:from>
    <xdr:to>
      <xdr:col>2</xdr:col>
      <xdr:colOff>1920362</xdr:colOff>
      <xdr:row>92</xdr:row>
      <xdr:rowOff>83843</xdr:rowOff>
    </xdr:to>
    <xdr:pic>
      <xdr:nvPicPr>
        <xdr:cNvPr id="2" name="Imagen 1">
          <a:extLst>
            <a:ext uri="{FF2B5EF4-FFF2-40B4-BE49-F238E27FC236}">
              <a16:creationId xmlns:a16="http://schemas.microsoft.com/office/drawing/2014/main" xmlns="" id="{1F0CA757-6647-420F-984B-7157DF6C12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29740" y="28696920"/>
          <a:ext cx="1402202" cy="2667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xdr:cNvGrpSpPr>
          <a:grpSpLocks/>
        </xdr:cNvGrpSpPr>
      </xdr:nvGrpSpPr>
      <xdr:grpSpPr bwMode="auto">
        <a:xfrm>
          <a:off x="0" y="0"/>
          <a:ext cx="5316510" cy="1277615"/>
          <a:chOff x="57150" y="47625"/>
          <a:chExt cx="6316603" cy="1200288"/>
        </a:xfrm>
      </xdr:grpSpPr>
      <xdr:pic>
        <xdr:nvPicPr>
          <xdr:cNvPr id="4" name="1 Imagen" descr="ESCUDO-transp-lema-blanco.png"/>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640080</xdr:colOff>
      <xdr:row>82</xdr:row>
      <xdr:rowOff>38100</xdr:rowOff>
    </xdr:from>
    <xdr:to>
      <xdr:col>2</xdr:col>
      <xdr:colOff>1680300</xdr:colOff>
      <xdr:row>83</xdr:row>
      <xdr:rowOff>68598</xdr:rowOff>
    </xdr:to>
    <xdr:pic>
      <xdr:nvPicPr>
        <xdr:cNvPr id="2" name="Imagen 1">
          <a:extLst>
            <a:ext uri="{FF2B5EF4-FFF2-40B4-BE49-F238E27FC236}">
              <a16:creationId xmlns:a16="http://schemas.microsoft.com/office/drawing/2014/main" xmlns="" id="{4525C67B-6815-4095-8384-31F5A78DD9E3}"/>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51660" y="29131260"/>
          <a:ext cx="1040220" cy="2133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647700</xdr:colOff>
      <xdr:row>89</xdr:row>
      <xdr:rowOff>419100</xdr:rowOff>
    </xdr:from>
    <xdr:to>
      <xdr:col>2</xdr:col>
      <xdr:colOff>1752696</xdr:colOff>
      <xdr:row>91</xdr:row>
      <xdr:rowOff>152432</xdr:rowOff>
    </xdr:to>
    <xdr:pic>
      <xdr:nvPicPr>
        <xdr:cNvPr id="3" name="Imagen 2">
          <a:extLst>
            <a:ext uri="{FF2B5EF4-FFF2-40B4-BE49-F238E27FC236}">
              <a16:creationId xmlns:a16="http://schemas.microsoft.com/office/drawing/2014/main" xmlns="" id="{8683F838-1401-4759-AFF2-929DCA4BFBE1}"/>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59280" y="32285940"/>
          <a:ext cx="1104996" cy="373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xdr:cNvGrpSpPr>
          <a:grpSpLocks/>
        </xdr:cNvGrpSpPr>
      </xdr:nvGrpSpPr>
      <xdr:grpSpPr bwMode="auto">
        <a:xfrm>
          <a:off x="0" y="0"/>
          <a:ext cx="5316510" cy="1277615"/>
          <a:chOff x="57150" y="47625"/>
          <a:chExt cx="6316603" cy="1200288"/>
        </a:xfrm>
      </xdr:grpSpPr>
      <xdr:pic>
        <xdr:nvPicPr>
          <xdr:cNvPr id="5" name="1 Imagen" descr="ESCUDO-transp-lema-blanco.png"/>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548641</xdr:colOff>
      <xdr:row>145</xdr:row>
      <xdr:rowOff>15240</xdr:rowOff>
    </xdr:from>
    <xdr:to>
      <xdr:col>2</xdr:col>
      <xdr:colOff>2088014</xdr:colOff>
      <xdr:row>146</xdr:row>
      <xdr:rowOff>137186</xdr:rowOff>
    </xdr:to>
    <xdr:pic>
      <xdr:nvPicPr>
        <xdr:cNvPr id="2" name="Imagen 1">
          <a:extLst>
            <a:ext uri="{FF2B5EF4-FFF2-40B4-BE49-F238E27FC236}">
              <a16:creationId xmlns:a16="http://schemas.microsoft.com/office/drawing/2014/main" xmlns="" id="{BF3896CA-E70D-483C-9199-9A266623DF7E}"/>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60221" y="37421820"/>
          <a:ext cx="1539373" cy="304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xdr:cNvGrpSpPr>
          <a:grpSpLocks/>
        </xdr:cNvGrpSpPr>
      </xdr:nvGrpSpPr>
      <xdr:grpSpPr bwMode="auto">
        <a:xfrm>
          <a:off x="0" y="0"/>
          <a:ext cx="5316510" cy="1277615"/>
          <a:chOff x="57150" y="47625"/>
          <a:chExt cx="6316603" cy="1200288"/>
        </a:xfrm>
      </xdr:grpSpPr>
      <xdr:pic>
        <xdr:nvPicPr>
          <xdr:cNvPr id="4" name="1 Imagen" descr="ESCUDO-transp-lema-blanco.png"/>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2</xdr:col>
      <xdr:colOff>556261</xdr:colOff>
      <xdr:row>79</xdr:row>
      <xdr:rowOff>30480</xdr:rowOff>
    </xdr:from>
    <xdr:to>
      <xdr:col>2</xdr:col>
      <xdr:colOff>2187082</xdr:colOff>
      <xdr:row>80</xdr:row>
      <xdr:rowOff>129564</xdr:rowOff>
    </xdr:to>
    <xdr:pic>
      <xdr:nvPicPr>
        <xdr:cNvPr id="2" name="Imagen 1">
          <a:extLst>
            <a:ext uri="{FF2B5EF4-FFF2-40B4-BE49-F238E27FC236}">
              <a16:creationId xmlns:a16="http://schemas.microsoft.com/office/drawing/2014/main" xmlns="" id="{AEF12F46-C036-4163-9A47-72BF28F5EE69}"/>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67841" y="20139660"/>
          <a:ext cx="1630821" cy="281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xdr:cNvGrpSpPr>
          <a:grpSpLocks/>
        </xdr:cNvGrpSpPr>
      </xdr:nvGrpSpPr>
      <xdr:grpSpPr bwMode="auto">
        <a:xfrm>
          <a:off x="0" y="0"/>
          <a:ext cx="5316510" cy="1277615"/>
          <a:chOff x="57150" y="47625"/>
          <a:chExt cx="6316603" cy="1200288"/>
        </a:xfrm>
      </xdr:grpSpPr>
      <xdr:pic>
        <xdr:nvPicPr>
          <xdr:cNvPr id="4" name="1 Imagen" descr="ESCUDO-transp-lema-blanco.png"/>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2</xdr:col>
      <xdr:colOff>472440</xdr:colOff>
      <xdr:row>84</xdr:row>
      <xdr:rowOff>15240</xdr:rowOff>
    </xdr:from>
    <xdr:to>
      <xdr:col>2</xdr:col>
      <xdr:colOff>2110882</xdr:colOff>
      <xdr:row>85</xdr:row>
      <xdr:rowOff>137186</xdr:rowOff>
    </xdr:to>
    <xdr:pic>
      <xdr:nvPicPr>
        <xdr:cNvPr id="2" name="Imagen 1">
          <a:extLst>
            <a:ext uri="{FF2B5EF4-FFF2-40B4-BE49-F238E27FC236}">
              <a16:creationId xmlns:a16="http://schemas.microsoft.com/office/drawing/2014/main" xmlns="" id="{A27387AF-7D75-4930-A22F-5644532EA747}"/>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84020" y="23416260"/>
          <a:ext cx="1638442" cy="304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0</xdr:colOff>
      <xdr:row>18</xdr:row>
      <xdr:rowOff>0</xdr:rowOff>
    </xdr:from>
    <xdr:to>
      <xdr:col>21</xdr:col>
      <xdr:colOff>675005</xdr:colOff>
      <xdr:row>61</xdr:row>
      <xdr:rowOff>73660</xdr:rowOff>
    </xdr:to>
    <xdr:graphicFrame macro="">
      <xdr:nvGraphicFramePr>
        <xdr:cNvPr id="3" name="Diagrama 2">
          <a:extLst>
            <a:ext uri="{FF2B5EF4-FFF2-40B4-BE49-F238E27FC236}">
              <a16:creationId xmlns:a16="http://schemas.microsoft.com/office/drawing/2014/main" xmlns="" id="{1E0533B3-3651-4CE9-B50D-897B4A1F90E8}"/>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twoCellAnchor>
    <xdr:from>
      <xdr:col>0</xdr:col>
      <xdr:colOff>0</xdr:colOff>
      <xdr:row>0</xdr:row>
      <xdr:rowOff>0</xdr:rowOff>
    </xdr:from>
    <xdr:to>
      <xdr:col>6</xdr:col>
      <xdr:colOff>116638</xdr:colOff>
      <xdr:row>1</xdr:row>
      <xdr:rowOff>4375</xdr:rowOff>
    </xdr:to>
    <xdr:grpSp>
      <xdr:nvGrpSpPr>
        <xdr:cNvPr id="4" name="1 Grupo"/>
        <xdr:cNvGrpSpPr>
          <a:grpSpLocks/>
        </xdr:cNvGrpSpPr>
      </xdr:nvGrpSpPr>
      <xdr:grpSpPr bwMode="auto">
        <a:xfrm>
          <a:off x="0" y="0"/>
          <a:ext cx="5316510" cy="1277615"/>
          <a:chOff x="57150" y="47625"/>
          <a:chExt cx="6316603" cy="1200288"/>
        </a:xfrm>
      </xdr:grpSpPr>
      <xdr:pic>
        <xdr:nvPicPr>
          <xdr:cNvPr id="5" name="1 Imagen" descr="ESCUDO-transp-lema-blanco.png"/>
          <xdr:cNvPicPr>
            <a:picLocks noChangeAspect="1"/>
          </xdr:cNvPicPr>
        </xdr:nvPicPr>
        <xdr:blipFill>
          <a:blip xmlns:r="http://schemas.openxmlformats.org/officeDocument/2006/relationships" r:embed="rId7"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647701</xdr:colOff>
      <xdr:row>83</xdr:row>
      <xdr:rowOff>68580</xdr:rowOff>
    </xdr:from>
    <xdr:to>
      <xdr:col>2</xdr:col>
      <xdr:colOff>1905110</xdr:colOff>
      <xdr:row>85</xdr:row>
      <xdr:rowOff>26</xdr:rowOff>
    </xdr:to>
    <xdr:pic>
      <xdr:nvPicPr>
        <xdr:cNvPr id="2" name="Imagen 1">
          <a:extLst>
            <a:ext uri="{FF2B5EF4-FFF2-40B4-BE49-F238E27FC236}">
              <a16:creationId xmlns:a16="http://schemas.microsoft.com/office/drawing/2014/main" xmlns="" id="{D1ABDEB2-1749-4A24-A957-E2B87A23E85F}"/>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59281" y="23789640"/>
          <a:ext cx="1257409" cy="2972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723901</xdr:colOff>
      <xdr:row>90</xdr:row>
      <xdr:rowOff>53340</xdr:rowOff>
    </xdr:from>
    <xdr:to>
      <xdr:col>2</xdr:col>
      <xdr:colOff>1775552</xdr:colOff>
      <xdr:row>92</xdr:row>
      <xdr:rowOff>60992</xdr:rowOff>
    </xdr:to>
    <xdr:pic>
      <xdr:nvPicPr>
        <xdr:cNvPr id="3" name="Imagen 2">
          <a:extLst>
            <a:ext uri="{FF2B5EF4-FFF2-40B4-BE49-F238E27FC236}">
              <a16:creationId xmlns:a16="http://schemas.microsoft.com/office/drawing/2014/main" xmlns="" id="{DA839F37-BD0A-4462-9C7A-A295A41593FA}"/>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935481" y="25786080"/>
          <a:ext cx="1051651" cy="373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xdr:cNvGrpSpPr>
          <a:grpSpLocks/>
        </xdr:cNvGrpSpPr>
      </xdr:nvGrpSpPr>
      <xdr:grpSpPr bwMode="auto">
        <a:xfrm>
          <a:off x="0" y="0"/>
          <a:ext cx="5316510" cy="1277615"/>
          <a:chOff x="57150" y="47625"/>
          <a:chExt cx="6316603" cy="1200288"/>
        </a:xfrm>
      </xdr:grpSpPr>
      <xdr:pic>
        <xdr:nvPicPr>
          <xdr:cNvPr id="5" name="1 Imagen" descr="ESCUDO-transp-lema-blanco.png"/>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2</xdr:col>
      <xdr:colOff>762000</xdr:colOff>
      <xdr:row>97</xdr:row>
      <xdr:rowOff>106680</xdr:rowOff>
    </xdr:from>
    <xdr:to>
      <xdr:col>2</xdr:col>
      <xdr:colOff>1981306</xdr:colOff>
      <xdr:row>98</xdr:row>
      <xdr:rowOff>160040</xdr:rowOff>
    </xdr:to>
    <xdr:pic>
      <xdr:nvPicPr>
        <xdr:cNvPr id="2" name="Imagen 1">
          <a:extLst>
            <a:ext uri="{FF2B5EF4-FFF2-40B4-BE49-F238E27FC236}">
              <a16:creationId xmlns:a16="http://schemas.microsoft.com/office/drawing/2014/main" xmlns="" id="{E3659719-653D-4E77-A652-D9DFAB8C4E96}"/>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44040" y="26692860"/>
          <a:ext cx="1219306" cy="236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693421</xdr:colOff>
      <xdr:row>103</xdr:row>
      <xdr:rowOff>419100</xdr:rowOff>
    </xdr:from>
    <xdr:to>
      <xdr:col>2</xdr:col>
      <xdr:colOff>1790796</xdr:colOff>
      <xdr:row>105</xdr:row>
      <xdr:rowOff>152432</xdr:rowOff>
    </xdr:to>
    <xdr:pic>
      <xdr:nvPicPr>
        <xdr:cNvPr id="3" name="Imagen 2">
          <a:extLst>
            <a:ext uri="{FF2B5EF4-FFF2-40B4-BE49-F238E27FC236}">
              <a16:creationId xmlns:a16="http://schemas.microsoft.com/office/drawing/2014/main" xmlns="" id="{087D0F78-A1D9-4192-966F-935F329CF2C8}"/>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75461" y="29016960"/>
          <a:ext cx="1097375" cy="373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xdr:cNvGrpSpPr>
          <a:grpSpLocks/>
        </xdr:cNvGrpSpPr>
      </xdr:nvGrpSpPr>
      <xdr:grpSpPr bwMode="auto">
        <a:xfrm>
          <a:off x="0" y="0"/>
          <a:ext cx="5180439" cy="1277615"/>
          <a:chOff x="57150" y="47625"/>
          <a:chExt cx="6316603" cy="1200288"/>
        </a:xfrm>
      </xdr:grpSpPr>
      <xdr:pic>
        <xdr:nvPicPr>
          <xdr:cNvPr id="5" name="1 Imagen" descr="ESCUDO-transp-lema-blanco.png"/>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358587</xdr:colOff>
      <xdr:row>0</xdr:row>
      <xdr:rowOff>89648</xdr:rowOff>
    </xdr:from>
    <xdr:to>
      <xdr:col>13</xdr:col>
      <xdr:colOff>548528</xdr:colOff>
      <xdr:row>1</xdr:row>
      <xdr:rowOff>12327</xdr:rowOff>
    </xdr:to>
    <xdr:grpSp>
      <xdr:nvGrpSpPr>
        <xdr:cNvPr id="2" name="1 Grupo"/>
        <xdr:cNvGrpSpPr>
          <a:grpSpLocks/>
        </xdr:cNvGrpSpPr>
      </xdr:nvGrpSpPr>
      <xdr:grpSpPr bwMode="auto">
        <a:xfrm>
          <a:off x="358587" y="89648"/>
          <a:ext cx="10627336" cy="1577021"/>
          <a:chOff x="-2456969" y="137273"/>
          <a:chExt cx="14989044" cy="1581150"/>
        </a:xfrm>
      </xdr:grpSpPr>
      <xdr:pic>
        <xdr:nvPicPr>
          <xdr:cNvPr id="3" name="1 Imagen" descr="ESCUDO-transp-lema-blanco.png"/>
          <xdr:cNvPicPr>
            <a:picLocks noChangeAspect="1"/>
          </xdr:cNvPicPr>
        </xdr:nvPicPr>
        <xdr:blipFill>
          <a:blip xmlns:r="http://schemas.openxmlformats.org/officeDocument/2006/relationships" r:embed="rId1" cstate="print"/>
          <a:srcRect/>
          <a:stretch>
            <a:fillRect/>
          </a:stretch>
        </xdr:blipFill>
        <xdr:spPr bwMode="auto">
          <a:xfrm>
            <a:off x="-2456969" y="137273"/>
            <a:ext cx="2229500" cy="1581150"/>
          </a:xfrm>
          <a:prstGeom prst="rect">
            <a:avLst/>
          </a:prstGeom>
          <a:noFill/>
          <a:ln w="9525">
            <a:noFill/>
            <a:miter lim="800000"/>
            <a:headEnd/>
            <a:tailEnd/>
          </a:ln>
        </xdr:spPr>
      </xdr:pic>
      <xdr:sp macro="" textlink="">
        <xdr:nvSpPr>
          <xdr:cNvPr id="4" name="3 CuadroTexto"/>
          <xdr:cNvSpPr txBox="1"/>
        </xdr:nvSpPr>
        <xdr:spPr>
          <a:xfrm>
            <a:off x="7719840" y="551330"/>
            <a:ext cx="4812235"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2</xdr:col>
      <xdr:colOff>670561</xdr:colOff>
      <xdr:row>84</xdr:row>
      <xdr:rowOff>76200</xdr:rowOff>
    </xdr:from>
    <xdr:to>
      <xdr:col>2</xdr:col>
      <xdr:colOff>1790798</xdr:colOff>
      <xdr:row>85</xdr:row>
      <xdr:rowOff>129560</xdr:rowOff>
    </xdr:to>
    <xdr:pic>
      <xdr:nvPicPr>
        <xdr:cNvPr id="2" name="Imagen 1">
          <a:extLst>
            <a:ext uri="{FF2B5EF4-FFF2-40B4-BE49-F238E27FC236}">
              <a16:creationId xmlns:a16="http://schemas.microsoft.com/office/drawing/2014/main" xmlns="" id="{E83EE8C8-58E9-43BB-BDC6-11B14C0D1D82}"/>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82141" y="27165300"/>
          <a:ext cx="1120237" cy="236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685801</xdr:colOff>
      <xdr:row>92</xdr:row>
      <xdr:rowOff>0</xdr:rowOff>
    </xdr:from>
    <xdr:to>
      <xdr:col>2</xdr:col>
      <xdr:colOff>1684108</xdr:colOff>
      <xdr:row>94</xdr:row>
      <xdr:rowOff>7652</xdr:rowOff>
    </xdr:to>
    <xdr:pic>
      <xdr:nvPicPr>
        <xdr:cNvPr id="3" name="Imagen 2">
          <a:extLst>
            <a:ext uri="{FF2B5EF4-FFF2-40B4-BE49-F238E27FC236}">
              <a16:creationId xmlns:a16="http://schemas.microsoft.com/office/drawing/2014/main" xmlns="" id="{F9584ADF-BDF9-488D-B7D1-694E0BE7DA1B}"/>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97381" y="30319980"/>
          <a:ext cx="998307" cy="373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xdr:cNvGrpSpPr>
          <a:grpSpLocks/>
        </xdr:cNvGrpSpPr>
      </xdr:nvGrpSpPr>
      <xdr:grpSpPr bwMode="auto">
        <a:xfrm>
          <a:off x="0" y="0"/>
          <a:ext cx="5316510" cy="1277615"/>
          <a:chOff x="57150" y="47625"/>
          <a:chExt cx="6316603" cy="1200288"/>
        </a:xfrm>
      </xdr:grpSpPr>
      <xdr:pic>
        <xdr:nvPicPr>
          <xdr:cNvPr id="5" name="1 Imagen" descr="ESCUDO-transp-lema-blanco.png"/>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426720</xdr:colOff>
      <xdr:row>79</xdr:row>
      <xdr:rowOff>53340</xdr:rowOff>
    </xdr:from>
    <xdr:to>
      <xdr:col>2</xdr:col>
      <xdr:colOff>2156610</xdr:colOff>
      <xdr:row>80</xdr:row>
      <xdr:rowOff>175286</xdr:rowOff>
    </xdr:to>
    <xdr:pic>
      <xdr:nvPicPr>
        <xdr:cNvPr id="2" name="Imagen 1">
          <a:extLst>
            <a:ext uri="{FF2B5EF4-FFF2-40B4-BE49-F238E27FC236}">
              <a16:creationId xmlns:a16="http://schemas.microsoft.com/office/drawing/2014/main" xmlns="" id="{B4B9D59E-C7B3-4B8A-9920-CD2DAED1BA3C}"/>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38300" y="24704040"/>
          <a:ext cx="1729890" cy="304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716281</xdr:colOff>
      <xdr:row>88</xdr:row>
      <xdr:rowOff>0</xdr:rowOff>
    </xdr:from>
    <xdr:to>
      <xdr:col>2</xdr:col>
      <xdr:colOff>1813656</xdr:colOff>
      <xdr:row>90</xdr:row>
      <xdr:rowOff>7652</xdr:rowOff>
    </xdr:to>
    <xdr:pic>
      <xdr:nvPicPr>
        <xdr:cNvPr id="3" name="Imagen 2">
          <a:extLst>
            <a:ext uri="{FF2B5EF4-FFF2-40B4-BE49-F238E27FC236}">
              <a16:creationId xmlns:a16="http://schemas.microsoft.com/office/drawing/2014/main" xmlns="" id="{621A6D50-EF9B-467F-965E-7CB852C280AE}"/>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927861" y="28064460"/>
          <a:ext cx="1097375" cy="373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xdr:cNvGrpSpPr>
          <a:grpSpLocks/>
        </xdr:cNvGrpSpPr>
      </xdr:nvGrpSpPr>
      <xdr:grpSpPr bwMode="auto">
        <a:xfrm>
          <a:off x="0" y="0"/>
          <a:ext cx="5316510" cy="1277615"/>
          <a:chOff x="57150" y="47625"/>
          <a:chExt cx="6316603" cy="1200288"/>
        </a:xfrm>
      </xdr:grpSpPr>
      <xdr:pic>
        <xdr:nvPicPr>
          <xdr:cNvPr id="5" name="1 Imagen" descr="ESCUDO-transp-lema-blanco.png"/>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2</xdr:col>
      <xdr:colOff>518161</xdr:colOff>
      <xdr:row>91</xdr:row>
      <xdr:rowOff>449580</xdr:rowOff>
    </xdr:from>
    <xdr:to>
      <xdr:col>2</xdr:col>
      <xdr:colOff>2377602</xdr:colOff>
      <xdr:row>94</xdr:row>
      <xdr:rowOff>32</xdr:rowOff>
    </xdr:to>
    <xdr:pic>
      <xdr:nvPicPr>
        <xdr:cNvPr id="2" name="Imagen 1">
          <a:extLst>
            <a:ext uri="{FF2B5EF4-FFF2-40B4-BE49-F238E27FC236}">
              <a16:creationId xmlns:a16="http://schemas.microsoft.com/office/drawing/2014/main" xmlns="" id="{A3C478EC-997A-44FA-A0CD-294F36CB7FAE}"/>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29741" y="28986480"/>
          <a:ext cx="1859441" cy="373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xdr:cNvGrpSpPr>
          <a:grpSpLocks/>
        </xdr:cNvGrpSpPr>
      </xdr:nvGrpSpPr>
      <xdr:grpSpPr bwMode="auto">
        <a:xfrm>
          <a:off x="0" y="0"/>
          <a:ext cx="5510898" cy="1277615"/>
          <a:chOff x="57150" y="47625"/>
          <a:chExt cx="6316603" cy="1200288"/>
        </a:xfrm>
      </xdr:grpSpPr>
      <xdr:pic>
        <xdr:nvPicPr>
          <xdr:cNvPr id="4" name="1 Imagen" descr="ESCUDO-transp-lema-blanco.png"/>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2</xdr:col>
      <xdr:colOff>556261</xdr:colOff>
      <xdr:row>63</xdr:row>
      <xdr:rowOff>0</xdr:rowOff>
    </xdr:from>
    <xdr:to>
      <xdr:col>2</xdr:col>
      <xdr:colOff>2088014</xdr:colOff>
      <xdr:row>64</xdr:row>
      <xdr:rowOff>83843</xdr:rowOff>
    </xdr:to>
    <xdr:pic>
      <xdr:nvPicPr>
        <xdr:cNvPr id="2" name="Imagen 1">
          <a:extLst>
            <a:ext uri="{FF2B5EF4-FFF2-40B4-BE49-F238E27FC236}">
              <a16:creationId xmlns:a16="http://schemas.microsoft.com/office/drawing/2014/main" xmlns="" id="{F866D563-5263-41D8-8356-5E51B254BE39}"/>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67841" y="22913340"/>
          <a:ext cx="1531753" cy="2667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xdr:cNvGrpSpPr>
          <a:grpSpLocks/>
        </xdr:cNvGrpSpPr>
      </xdr:nvGrpSpPr>
      <xdr:grpSpPr bwMode="auto">
        <a:xfrm>
          <a:off x="0" y="0"/>
          <a:ext cx="5316510" cy="1277615"/>
          <a:chOff x="57150" y="47625"/>
          <a:chExt cx="6316603" cy="1200288"/>
        </a:xfrm>
      </xdr:grpSpPr>
      <xdr:pic>
        <xdr:nvPicPr>
          <xdr:cNvPr id="4" name="1 Imagen" descr="ESCUDO-transp-lema-blanco.png"/>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24.xml><?xml version="1.0" encoding="utf-8"?>
<xdr:wsDr xmlns:xdr="http://schemas.openxmlformats.org/drawingml/2006/spreadsheetDrawing" xmlns:a="http://schemas.openxmlformats.org/drawingml/2006/main">
  <xdr:twoCellAnchor>
    <xdr:from>
      <xdr:col>2</xdr:col>
      <xdr:colOff>868681</xdr:colOff>
      <xdr:row>108</xdr:row>
      <xdr:rowOff>15240</xdr:rowOff>
    </xdr:from>
    <xdr:to>
      <xdr:col>2</xdr:col>
      <xdr:colOff>1806022</xdr:colOff>
      <xdr:row>109</xdr:row>
      <xdr:rowOff>129566</xdr:rowOff>
    </xdr:to>
    <xdr:pic>
      <xdr:nvPicPr>
        <xdr:cNvPr id="2" name="Imagen 1">
          <a:extLst>
            <a:ext uri="{FF2B5EF4-FFF2-40B4-BE49-F238E27FC236}">
              <a16:creationId xmlns:a16="http://schemas.microsoft.com/office/drawing/2014/main" xmlns="" id="{54B81131-ED83-41F1-B3EC-A82036228924}"/>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080261" y="39319200"/>
          <a:ext cx="937341" cy="2972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480060</xdr:colOff>
      <xdr:row>115</xdr:row>
      <xdr:rowOff>68580</xdr:rowOff>
    </xdr:from>
    <xdr:to>
      <xdr:col>3</xdr:col>
      <xdr:colOff>1021334</xdr:colOff>
      <xdr:row>117</xdr:row>
      <xdr:rowOff>26</xdr:rowOff>
    </xdr:to>
    <xdr:pic>
      <xdr:nvPicPr>
        <xdr:cNvPr id="3" name="Imagen 2">
          <a:extLst>
            <a:ext uri="{FF2B5EF4-FFF2-40B4-BE49-F238E27FC236}">
              <a16:creationId xmlns:a16="http://schemas.microsoft.com/office/drawing/2014/main" xmlns="" id="{B1C31D1D-E327-4C48-8787-5BA7C1D1CEA7}"/>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91640" y="41689020"/>
          <a:ext cx="2933954" cy="2972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xdr:cNvGrpSpPr>
          <a:grpSpLocks/>
        </xdr:cNvGrpSpPr>
      </xdr:nvGrpSpPr>
      <xdr:grpSpPr bwMode="auto">
        <a:xfrm>
          <a:off x="0" y="0"/>
          <a:ext cx="7095158" cy="1277615"/>
          <a:chOff x="57150" y="47625"/>
          <a:chExt cx="6316603" cy="1200288"/>
        </a:xfrm>
      </xdr:grpSpPr>
      <xdr:pic>
        <xdr:nvPicPr>
          <xdr:cNvPr id="5" name="1 Imagen" descr="ESCUDO-transp-lema-blanco.png"/>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2</xdr:col>
      <xdr:colOff>182880</xdr:colOff>
      <xdr:row>136</xdr:row>
      <xdr:rowOff>144780</xdr:rowOff>
    </xdr:from>
    <xdr:to>
      <xdr:col>3</xdr:col>
      <xdr:colOff>1112808</xdr:colOff>
      <xdr:row>136</xdr:row>
      <xdr:rowOff>281952</xdr:rowOff>
    </xdr:to>
    <xdr:pic>
      <xdr:nvPicPr>
        <xdr:cNvPr id="2" name="Imagen 1">
          <a:extLst>
            <a:ext uri="{FF2B5EF4-FFF2-40B4-BE49-F238E27FC236}">
              <a16:creationId xmlns:a16="http://schemas.microsoft.com/office/drawing/2014/main" xmlns="" id="{438C54C6-E10A-40E1-8C02-4245C74EEC79}"/>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94460" y="48943260"/>
          <a:ext cx="3322608" cy="1371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754380</xdr:colOff>
      <xdr:row>149</xdr:row>
      <xdr:rowOff>7620</xdr:rowOff>
    </xdr:from>
    <xdr:to>
      <xdr:col>3</xdr:col>
      <xdr:colOff>1089896</xdr:colOff>
      <xdr:row>149</xdr:row>
      <xdr:rowOff>251481</xdr:rowOff>
    </xdr:to>
    <xdr:pic>
      <xdr:nvPicPr>
        <xdr:cNvPr id="3" name="Imagen 2">
          <a:extLst>
            <a:ext uri="{FF2B5EF4-FFF2-40B4-BE49-F238E27FC236}">
              <a16:creationId xmlns:a16="http://schemas.microsoft.com/office/drawing/2014/main" xmlns="" id="{8FC63C8B-5A62-4D46-9124-0E7870B1B705}"/>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965960" y="53393340"/>
          <a:ext cx="2728196" cy="2438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xdr:cNvGrpSpPr>
          <a:grpSpLocks/>
        </xdr:cNvGrpSpPr>
      </xdr:nvGrpSpPr>
      <xdr:grpSpPr bwMode="auto">
        <a:xfrm>
          <a:off x="0" y="0"/>
          <a:ext cx="6171817" cy="1277615"/>
          <a:chOff x="57150" y="47625"/>
          <a:chExt cx="6316603" cy="1200288"/>
        </a:xfrm>
      </xdr:grpSpPr>
      <xdr:pic>
        <xdr:nvPicPr>
          <xdr:cNvPr id="5" name="1 Imagen" descr="ESCUDO-transp-lema-blanco.png"/>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2</xdr:col>
      <xdr:colOff>182880</xdr:colOff>
      <xdr:row>113</xdr:row>
      <xdr:rowOff>91440</xdr:rowOff>
    </xdr:from>
    <xdr:to>
      <xdr:col>3</xdr:col>
      <xdr:colOff>998498</xdr:colOff>
      <xdr:row>113</xdr:row>
      <xdr:rowOff>228612</xdr:rowOff>
    </xdr:to>
    <xdr:pic>
      <xdr:nvPicPr>
        <xdr:cNvPr id="2" name="Imagen 1">
          <a:extLst>
            <a:ext uri="{FF2B5EF4-FFF2-40B4-BE49-F238E27FC236}">
              <a16:creationId xmlns:a16="http://schemas.microsoft.com/office/drawing/2014/main" xmlns="" id="{2BCAF0D5-AE4E-4BA3-BDCF-6AE06A47030C}"/>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72540" y="40934640"/>
          <a:ext cx="3208298" cy="1371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464821</xdr:colOff>
      <xdr:row>126</xdr:row>
      <xdr:rowOff>0</xdr:rowOff>
    </xdr:from>
    <xdr:to>
      <xdr:col>3</xdr:col>
      <xdr:colOff>922268</xdr:colOff>
      <xdr:row>127</xdr:row>
      <xdr:rowOff>114326</xdr:rowOff>
    </xdr:to>
    <xdr:pic>
      <xdr:nvPicPr>
        <xdr:cNvPr id="3" name="Imagen 2">
          <a:extLst>
            <a:ext uri="{FF2B5EF4-FFF2-40B4-BE49-F238E27FC236}">
              <a16:creationId xmlns:a16="http://schemas.microsoft.com/office/drawing/2014/main" xmlns="" id="{F4D5E820-FF62-43FB-B11F-ECF5477AE953}"/>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54481" y="45674280"/>
          <a:ext cx="2850127" cy="2972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xdr:cNvGrpSpPr>
          <a:grpSpLocks/>
        </xdr:cNvGrpSpPr>
      </xdr:nvGrpSpPr>
      <xdr:grpSpPr bwMode="auto">
        <a:xfrm>
          <a:off x="0" y="0"/>
          <a:ext cx="5578934" cy="1277615"/>
          <a:chOff x="57150" y="47625"/>
          <a:chExt cx="6316603" cy="1200288"/>
        </a:xfrm>
      </xdr:grpSpPr>
      <xdr:pic>
        <xdr:nvPicPr>
          <xdr:cNvPr id="5" name="1 Imagen" descr="ESCUDO-transp-lema-blanco.png"/>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2</xdr:col>
      <xdr:colOff>784860</xdr:colOff>
      <xdr:row>107</xdr:row>
      <xdr:rowOff>53340</xdr:rowOff>
    </xdr:from>
    <xdr:to>
      <xdr:col>2</xdr:col>
      <xdr:colOff>1402080</xdr:colOff>
      <xdr:row>108</xdr:row>
      <xdr:rowOff>144780</xdr:rowOff>
    </xdr:to>
    <xdr:pic>
      <xdr:nvPicPr>
        <xdr:cNvPr id="2" name="Imagen 1">
          <a:extLst>
            <a:ext uri="{FF2B5EF4-FFF2-40B4-BE49-F238E27FC236}">
              <a16:creationId xmlns:a16="http://schemas.microsoft.com/office/drawing/2014/main" xmlns="" id="{02B33652-5F8E-44CD-8188-31F8268B7E5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996440" y="36568380"/>
          <a:ext cx="617220" cy="274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xdr:cNvGrpSpPr>
          <a:grpSpLocks/>
        </xdr:cNvGrpSpPr>
      </xdr:nvGrpSpPr>
      <xdr:grpSpPr bwMode="auto">
        <a:xfrm>
          <a:off x="0" y="0"/>
          <a:ext cx="5316510" cy="1277615"/>
          <a:chOff x="57150" y="47625"/>
          <a:chExt cx="6316603" cy="1200288"/>
        </a:xfrm>
      </xdr:grpSpPr>
      <xdr:pic>
        <xdr:nvPicPr>
          <xdr:cNvPr id="4" name="1 Imagen" descr="ESCUDO-transp-lema-blanco.png"/>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2</xdr:col>
      <xdr:colOff>548640</xdr:colOff>
      <xdr:row>162</xdr:row>
      <xdr:rowOff>15240</xdr:rowOff>
    </xdr:from>
    <xdr:to>
      <xdr:col>2</xdr:col>
      <xdr:colOff>2232806</xdr:colOff>
      <xdr:row>164</xdr:row>
      <xdr:rowOff>22892</xdr:rowOff>
    </xdr:to>
    <xdr:pic>
      <xdr:nvPicPr>
        <xdr:cNvPr id="2" name="Imagen 1">
          <a:extLst>
            <a:ext uri="{FF2B5EF4-FFF2-40B4-BE49-F238E27FC236}">
              <a16:creationId xmlns:a16="http://schemas.microsoft.com/office/drawing/2014/main" xmlns="" id="{D08E67B7-FAE6-4CAD-B0C9-92194D0FB19F}"/>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60220" y="45026580"/>
          <a:ext cx="1684166" cy="373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723900</xdr:colOff>
      <xdr:row>169</xdr:row>
      <xdr:rowOff>53340</xdr:rowOff>
    </xdr:from>
    <xdr:to>
      <xdr:col>2</xdr:col>
      <xdr:colOff>2087998</xdr:colOff>
      <xdr:row>170</xdr:row>
      <xdr:rowOff>160045</xdr:rowOff>
    </xdr:to>
    <xdr:pic>
      <xdr:nvPicPr>
        <xdr:cNvPr id="3" name="Imagen 2">
          <a:extLst>
            <a:ext uri="{FF2B5EF4-FFF2-40B4-BE49-F238E27FC236}">
              <a16:creationId xmlns:a16="http://schemas.microsoft.com/office/drawing/2014/main" xmlns="" id="{31A25DCF-F16E-46F4-BBC4-3BE5C2FAD3A6}"/>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935480" y="48112680"/>
          <a:ext cx="1364098" cy="2895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xdr:cNvGrpSpPr>
          <a:grpSpLocks/>
        </xdr:cNvGrpSpPr>
      </xdr:nvGrpSpPr>
      <xdr:grpSpPr bwMode="auto">
        <a:xfrm>
          <a:off x="0" y="0"/>
          <a:ext cx="5316510" cy="1277615"/>
          <a:chOff x="57150" y="47625"/>
          <a:chExt cx="6316603" cy="1200288"/>
        </a:xfrm>
      </xdr:grpSpPr>
      <xdr:pic>
        <xdr:nvPicPr>
          <xdr:cNvPr id="5" name="1 Imagen" descr="ESCUDO-transp-lema-blanco.png"/>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29.xml><?xml version="1.0" encoding="utf-8"?>
<xdr:wsDr xmlns:xdr="http://schemas.openxmlformats.org/drawingml/2006/spreadsheetDrawing" xmlns:a="http://schemas.openxmlformats.org/drawingml/2006/main">
  <xdr:twoCellAnchor>
    <xdr:from>
      <xdr:col>2</xdr:col>
      <xdr:colOff>533401</xdr:colOff>
      <xdr:row>60</xdr:row>
      <xdr:rowOff>106680</xdr:rowOff>
    </xdr:from>
    <xdr:to>
      <xdr:col>2</xdr:col>
      <xdr:colOff>2019430</xdr:colOff>
      <xdr:row>62</xdr:row>
      <xdr:rowOff>22884</xdr:rowOff>
    </xdr:to>
    <xdr:pic>
      <xdr:nvPicPr>
        <xdr:cNvPr id="2" name="Imagen 1">
          <a:extLst>
            <a:ext uri="{FF2B5EF4-FFF2-40B4-BE49-F238E27FC236}">
              <a16:creationId xmlns:a16="http://schemas.microsoft.com/office/drawing/2014/main" xmlns="" id="{3AC076FA-78F9-4FE1-ACEA-6C8EA5966203}"/>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44981" y="22181820"/>
          <a:ext cx="1486029" cy="281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xdr:cNvGrpSpPr>
          <a:grpSpLocks/>
        </xdr:cNvGrpSpPr>
      </xdr:nvGrpSpPr>
      <xdr:grpSpPr bwMode="auto">
        <a:xfrm>
          <a:off x="0" y="0"/>
          <a:ext cx="5316510" cy="1277615"/>
          <a:chOff x="57150" y="47625"/>
          <a:chExt cx="6316603" cy="1200288"/>
        </a:xfrm>
      </xdr:grpSpPr>
      <xdr:pic>
        <xdr:nvPicPr>
          <xdr:cNvPr id="4" name="1 Imagen" descr="ESCUDO-transp-lema-blanco.png"/>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1209675</xdr:colOff>
      <xdr:row>0</xdr:row>
      <xdr:rowOff>1581150</xdr:rowOff>
    </xdr:to>
    <xdr:pic>
      <xdr:nvPicPr>
        <xdr:cNvPr id="2" name="1 Imagen" descr="ESCUDO-transp-lema-blanco.png"/>
        <xdr:cNvPicPr>
          <a:picLocks noChangeAspect="1"/>
        </xdr:cNvPicPr>
      </xdr:nvPicPr>
      <xdr:blipFill>
        <a:blip xmlns:r="http://schemas.openxmlformats.org/officeDocument/2006/relationships" r:embed="rId1" cstate="print"/>
        <a:srcRect/>
        <a:stretch>
          <a:fillRect/>
        </a:stretch>
      </xdr:blipFill>
      <xdr:spPr bwMode="auto">
        <a:xfrm>
          <a:off x="0" y="0"/>
          <a:ext cx="1209675" cy="1581150"/>
        </a:xfrm>
        <a:prstGeom prst="rect">
          <a:avLst/>
        </a:prstGeom>
        <a:noFill/>
        <a:ln w="9525">
          <a:noFill/>
          <a:miter lim="800000"/>
          <a:headEnd/>
          <a:tailEnd/>
        </a:ln>
      </xdr:spPr>
    </xdr:pic>
    <xdr:clientData/>
  </xdr:twoCellAnchor>
  <xdr:twoCellAnchor>
    <xdr:from>
      <xdr:col>0</xdr:col>
      <xdr:colOff>1266825</xdr:colOff>
      <xdr:row>0</xdr:row>
      <xdr:rowOff>428625</xdr:rowOff>
    </xdr:from>
    <xdr:to>
      <xdr:col>1</xdr:col>
      <xdr:colOff>2924175</xdr:colOff>
      <xdr:row>0</xdr:row>
      <xdr:rowOff>1200150</xdr:rowOff>
    </xdr:to>
    <xdr:sp macro="" textlink="">
      <xdr:nvSpPr>
        <xdr:cNvPr id="3" name="3 CuadroTexto"/>
        <xdr:cNvSpPr txBox="1"/>
      </xdr:nvSpPr>
      <xdr:spPr bwMode="auto">
        <a:xfrm>
          <a:off x="1266825" y="428625"/>
          <a:ext cx="4819650"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2</xdr:col>
      <xdr:colOff>609600</xdr:colOff>
      <xdr:row>80</xdr:row>
      <xdr:rowOff>91440</xdr:rowOff>
    </xdr:from>
    <xdr:to>
      <xdr:col>2</xdr:col>
      <xdr:colOff>2088008</xdr:colOff>
      <xdr:row>81</xdr:row>
      <xdr:rowOff>175283</xdr:rowOff>
    </xdr:to>
    <xdr:pic>
      <xdr:nvPicPr>
        <xdr:cNvPr id="2" name="Imagen 1">
          <a:extLst>
            <a:ext uri="{FF2B5EF4-FFF2-40B4-BE49-F238E27FC236}">
              <a16:creationId xmlns:a16="http://schemas.microsoft.com/office/drawing/2014/main" xmlns="" id="{55BC8F96-95DE-4C57-8941-0D7F63F0973E}"/>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21180" y="43990260"/>
          <a:ext cx="1478408" cy="2667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xdr:cNvGrpSpPr>
          <a:grpSpLocks/>
        </xdr:cNvGrpSpPr>
      </xdr:nvGrpSpPr>
      <xdr:grpSpPr bwMode="auto">
        <a:xfrm>
          <a:off x="0" y="0"/>
          <a:ext cx="5316510" cy="1277615"/>
          <a:chOff x="57150" y="47625"/>
          <a:chExt cx="6316603" cy="1200288"/>
        </a:xfrm>
      </xdr:grpSpPr>
      <xdr:pic>
        <xdr:nvPicPr>
          <xdr:cNvPr id="4" name="1 Imagen" descr="ESCUDO-transp-lema-blanco.png"/>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31.xml><?xml version="1.0" encoding="utf-8"?>
<xdr:wsDr xmlns:xdr="http://schemas.openxmlformats.org/drawingml/2006/spreadsheetDrawing" xmlns:a="http://schemas.openxmlformats.org/drawingml/2006/main">
  <xdr:twoCellAnchor>
    <xdr:from>
      <xdr:col>2</xdr:col>
      <xdr:colOff>137161</xdr:colOff>
      <xdr:row>121</xdr:row>
      <xdr:rowOff>7620</xdr:rowOff>
    </xdr:from>
    <xdr:to>
      <xdr:col>2</xdr:col>
      <xdr:colOff>2222936</xdr:colOff>
      <xdr:row>121</xdr:row>
      <xdr:rowOff>103640</xdr:rowOff>
    </xdr:to>
    <xdr:pic>
      <xdr:nvPicPr>
        <xdr:cNvPr id="2" name="Imagen 1">
          <a:extLst>
            <a:ext uri="{FF2B5EF4-FFF2-40B4-BE49-F238E27FC236}">
              <a16:creationId xmlns:a16="http://schemas.microsoft.com/office/drawing/2014/main" xmlns="" id="{A471313D-4A60-4A21-AEF1-D141F9D191E3}"/>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03961" y="34838640"/>
          <a:ext cx="2085775" cy="96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xdr:cNvGrpSpPr>
          <a:grpSpLocks/>
        </xdr:cNvGrpSpPr>
      </xdr:nvGrpSpPr>
      <xdr:grpSpPr bwMode="auto">
        <a:xfrm>
          <a:off x="0" y="0"/>
          <a:ext cx="5170720" cy="1277615"/>
          <a:chOff x="57150" y="47625"/>
          <a:chExt cx="6316603" cy="1200288"/>
        </a:xfrm>
      </xdr:grpSpPr>
      <xdr:pic>
        <xdr:nvPicPr>
          <xdr:cNvPr id="4" name="1 Imagen" descr="ESCUDO-transp-lema-blanco.png"/>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32.xml><?xml version="1.0" encoding="utf-8"?>
<xdr:wsDr xmlns:xdr="http://schemas.openxmlformats.org/drawingml/2006/spreadsheetDrawing" xmlns:a="http://schemas.openxmlformats.org/drawingml/2006/main">
  <xdr:twoCellAnchor>
    <xdr:from>
      <xdr:col>2</xdr:col>
      <xdr:colOff>0</xdr:colOff>
      <xdr:row>80</xdr:row>
      <xdr:rowOff>0</xdr:rowOff>
    </xdr:from>
    <xdr:to>
      <xdr:col>4</xdr:col>
      <xdr:colOff>83820</xdr:colOff>
      <xdr:row>82</xdr:row>
      <xdr:rowOff>7620</xdr:rowOff>
    </xdr:to>
    <xdr:pic>
      <xdr:nvPicPr>
        <xdr:cNvPr id="2" name="Imagen 1">
          <a:extLst>
            <a:ext uri="{FF2B5EF4-FFF2-40B4-BE49-F238E27FC236}">
              <a16:creationId xmlns:a16="http://schemas.microsoft.com/office/drawing/2014/main" xmlns="" id="{B8C44BFE-EC1D-45D8-BE82-1FC1B02757BF}"/>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92480" y="47343060"/>
          <a:ext cx="1668780" cy="373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89</xdr:row>
      <xdr:rowOff>0</xdr:rowOff>
    </xdr:from>
    <xdr:to>
      <xdr:col>3</xdr:col>
      <xdr:colOff>434340</xdr:colOff>
      <xdr:row>90</xdr:row>
      <xdr:rowOff>106680</xdr:rowOff>
    </xdr:to>
    <xdr:pic>
      <xdr:nvPicPr>
        <xdr:cNvPr id="3" name="Imagen 2">
          <a:extLst>
            <a:ext uri="{FF2B5EF4-FFF2-40B4-BE49-F238E27FC236}">
              <a16:creationId xmlns:a16="http://schemas.microsoft.com/office/drawing/2014/main" xmlns="" id="{4E8B2010-F520-43D8-BB17-EE01D2CD278D}"/>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92480" y="56639460"/>
          <a:ext cx="1226820" cy="2895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418683</xdr:colOff>
      <xdr:row>97</xdr:row>
      <xdr:rowOff>0</xdr:rowOff>
    </xdr:from>
    <xdr:to>
      <xdr:col>2</xdr:col>
      <xdr:colOff>1958056</xdr:colOff>
      <xdr:row>98</xdr:row>
      <xdr:rowOff>97745</xdr:rowOff>
    </xdr:to>
    <xdr:pic>
      <xdr:nvPicPr>
        <xdr:cNvPr id="4" name="Imagen 3">
          <a:extLst>
            <a:ext uri="{FF2B5EF4-FFF2-40B4-BE49-F238E27FC236}">
              <a16:creationId xmlns:a16="http://schemas.microsoft.com/office/drawing/2014/main" xmlns="" id="{BC6E8996-A8E3-4521-8F44-743635C709BF}"/>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41232" y="37480352"/>
          <a:ext cx="1539373" cy="281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5" name="1 Grupo"/>
        <xdr:cNvGrpSpPr>
          <a:grpSpLocks/>
        </xdr:cNvGrpSpPr>
      </xdr:nvGrpSpPr>
      <xdr:grpSpPr bwMode="auto">
        <a:xfrm>
          <a:off x="0" y="0"/>
          <a:ext cx="5326230" cy="1277615"/>
          <a:chOff x="57150" y="47625"/>
          <a:chExt cx="6316603" cy="1200288"/>
        </a:xfrm>
      </xdr:grpSpPr>
      <xdr:pic>
        <xdr:nvPicPr>
          <xdr:cNvPr id="6" name="1 Imagen" descr="ESCUDO-transp-lema-blanco.png"/>
          <xdr:cNvPicPr>
            <a:picLocks noChangeAspect="1"/>
          </xdr:cNvPicPr>
        </xdr:nvPicPr>
        <xdr:blipFill>
          <a:blip xmlns:r="http://schemas.openxmlformats.org/officeDocument/2006/relationships" r:embed="rId4"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7"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33.xml><?xml version="1.0" encoding="utf-8"?>
<xdr:wsDr xmlns:xdr="http://schemas.openxmlformats.org/drawingml/2006/spreadsheetDrawing" xmlns:a="http://schemas.openxmlformats.org/drawingml/2006/main">
  <xdr:twoCellAnchor>
    <xdr:from>
      <xdr:col>2</xdr:col>
      <xdr:colOff>160021</xdr:colOff>
      <xdr:row>91</xdr:row>
      <xdr:rowOff>45720</xdr:rowOff>
    </xdr:from>
    <xdr:to>
      <xdr:col>2</xdr:col>
      <xdr:colOff>2021748</xdr:colOff>
      <xdr:row>91</xdr:row>
      <xdr:rowOff>141740</xdr:rowOff>
    </xdr:to>
    <xdr:pic>
      <xdr:nvPicPr>
        <xdr:cNvPr id="2" name="Imagen 1">
          <a:extLst>
            <a:ext uri="{FF2B5EF4-FFF2-40B4-BE49-F238E27FC236}">
              <a16:creationId xmlns:a16="http://schemas.microsoft.com/office/drawing/2014/main" xmlns="" id="{956CE706-6592-46C5-85D7-B8BF75F6739F}"/>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26821" y="28735020"/>
          <a:ext cx="1861727" cy="96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563880</xdr:colOff>
      <xdr:row>104</xdr:row>
      <xdr:rowOff>60960</xdr:rowOff>
    </xdr:from>
    <xdr:to>
      <xdr:col>3</xdr:col>
      <xdr:colOff>777466</xdr:colOff>
      <xdr:row>105</xdr:row>
      <xdr:rowOff>175286</xdr:rowOff>
    </xdr:to>
    <xdr:pic>
      <xdr:nvPicPr>
        <xdr:cNvPr id="3" name="Imagen 2">
          <a:extLst>
            <a:ext uri="{FF2B5EF4-FFF2-40B4-BE49-F238E27FC236}">
              <a16:creationId xmlns:a16="http://schemas.microsoft.com/office/drawing/2014/main" xmlns="" id="{D000E0A8-E640-4ED7-896D-B3E2804297F6}"/>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30680" y="32590740"/>
          <a:ext cx="2606266" cy="2972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xdr:cNvGrpSpPr>
          <a:grpSpLocks/>
        </xdr:cNvGrpSpPr>
      </xdr:nvGrpSpPr>
      <xdr:grpSpPr bwMode="auto">
        <a:xfrm>
          <a:off x="0" y="0"/>
          <a:ext cx="5252201" cy="1282313"/>
          <a:chOff x="57150" y="47625"/>
          <a:chExt cx="6316603" cy="1200288"/>
        </a:xfrm>
      </xdr:grpSpPr>
      <xdr:pic>
        <xdr:nvPicPr>
          <xdr:cNvPr id="5" name="1 Imagen" descr="ESCUDO-transp-lema-blanco.png"/>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0</xdr:colOff>
      <xdr:row>1</xdr:row>
      <xdr:rowOff>0</xdr:rowOff>
    </xdr:to>
    <xdr:grpSp>
      <xdr:nvGrpSpPr>
        <xdr:cNvPr id="2" name="1 Grupo"/>
        <xdr:cNvGrpSpPr>
          <a:grpSpLocks/>
        </xdr:cNvGrpSpPr>
      </xdr:nvGrpSpPr>
      <xdr:grpSpPr bwMode="auto">
        <a:xfrm>
          <a:off x="0" y="0"/>
          <a:ext cx="6697266" cy="1656953"/>
          <a:chOff x="57150" y="47625"/>
          <a:chExt cx="6181725" cy="1581150"/>
        </a:xfrm>
      </xdr:grpSpPr>
      <xdr:pic>
        <xdr:nvPicPr>
          <xdr:cNvPr id="3" name="1 Imagen" descr="ESCUDO-transp-lema-blanco.png"/>
          <xdr:cNvPicPr>
            <a:picLocks noChangeAspect="1"/>
          </xdr:cNvPicPr>
        </xdr:nvPicPr>
        <xdr:blipFill>
          <a:blip xmlns:r="http://schemas.openxmlformats.org/officeDocument/2006/relationships" r:embed="rId1" cstate="print"/>
          <a:srcRect/>
          <a:stretch>
            <a:fillRect/>
          </a:stretch>
        </xdr:blipFill>
        <xdr:spPr bwMode="auto">
          <a:xfrm>
            <a:off x="57150" y="47625"/>
            <a:ext cx="1209675" cy="1581150"/>
          </a:xfrm>
          <a:prstGeom prst="rect">
            <a:avLst/>
          </a:prstGeom>
          <a:noFill/>
          <a:ln w="9525">
            <a:noFill/>
            <a:miter lim="800000"/>
            <a:headEnd/>
            <a:tailEnd/>
          </a:ln>
        </xdr:spPr>
      </xdr:pic>
      <xdr:sp macro="" textlink="">
        <xdr:nvSpPr>
          <xdr:cNvPr id="4" name="3 CuadroTexto"/>
          <xdr:cNvSpPr txBox="1"/>
        </xdr:nvSpPr>
        <xdr:spPr>
          <a:xfrm>
            <a:off x="1426640" y="495300"/>
            <a:ext cx="4812235"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600075</xdr:colOff>
      <xdr:row>0</xdr:row>
      <xdr:rowOff>1581150</xdr:rowOff>
    </xdr:to>
    <xdr:pic>
      <xdr:nvPicPr>
        <xdr:cNvPr id="2" name="1 Imagen" descr="ESCUDO-transp-lema-blanco.png"/>
        <xdr:cNvPicPr>
          <a:picLocks noChangeAspect="1"/>
        </xdr:cNvPicPr>
      </xdr:nvPicPr>
      <xdr:blipFill>
        <a:blip xmlns:r="http://schemas.openxmlformats.org/officeDocument/2006/relationships" r:embed="rId1" cstate="print"/>
        <a:srcRect/>
        <a:stretch>
          <a:fillRect/>
        </a:stretch>
      </xdr:blipFill>
      <xdr:spPr bwMode="auto">
        <a:xfrm>
          <a:off x="0" y="0"/>
          <a:ext cx="1209675" cy="1581150"/>
        </a:xfrm>
        <a:prstGeom prst="rect">
          <a:avLst/>
        </a:prstGeom>
        <a:noFill/>
        <a:ln w="9525">
          <a:noFill/>
          <a:miter lim="800000"/>
          <a:headEnd/>
          <a:tailEnd/>
        </a:ln>
      </xdr:spPr>
    </xdr:pic>
    <xdr:clientData/>
  </xdr:twoCellAnchor>
  <xdr:twoCellAnchor>
    <xdr:from>
      <xdr:col>1</xdr:col>
      <xdr:colOff>647700</xdr:colOff>
      <xdr:row>0</xdr:row>
      <xdr:rowOff>381000</xdr:rowOff>
    </xdr:from>
    <xdr:to>
      <xdr:col>3</xdr:col>
      <xdr:colOff>885825</xdr:colOff>
      <xdr:row>0</xdr:row>
      <xdr:rowOff>1152525</xdr:rowOff>
    </xdr:to>
    <xdr:sp macro="" textlink="">
      <xdr:nvSpPr>
        <xdr:cNvPr id="3" name="5 CuadroTexto"/>
        <xdr:cNvSpPr txBox="1"/>
      </xdr:nvSpPr>
      <xdr:spPr bwMode="auto">
        <a:xfrm>
          <a:off x="1257300" y="381000"/>
          <a:ext cx="4876800"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clientData/>
  </xdr:twoCellAnchor>
  <xdr:twoCellAnchor>
    <xdr:from>
      <xdr:col>7</xdr:col>
      <xdr:colOff>238125</xdr:colOff>
      <xdr:row>19</xdr:row>
      <xdr:rowOff>33336</xdr:rowOff>
    </xdr:from>
    <xdr:to>
      <xdr:col>17</xdr:col>
      <xdr:colOff>657225</xdr:colOff>
      <xdr:row>43</xdr:row>
      <xdr:rowOff>114299</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1209675</xdr:colOff>
      <xdr:row>0</xdr:row>
      <xdr:rowOff>1581150</xdr:rowOff>
    </xdr:to>
    <xdr:pic>
      <xdr:nvPicPr>
        <xdr:cNvPr id="2" name="1 Imagen" descr="ESCUDO-transp-lema-blanco.png"/>
        <xdr:cNvPicPr>
          <a:picLocks noChangeAspect="1"/>
        </xdr:cNvPicPr>
      </xdr:nvPicPr>
      <xdr:blipFill>
        <a:blip xmlns:r="http://schemas.openxmlformats.org/officeDocument/2006/relationships" r:embed="rId1" cstate="print"/>
        <a:srcRect/>
        <a:stretch>
          <a:fillRect/>
        </a:stretch>
      </xdr:blipFill>
      <xdr:spPr bwMode="auto">
        <a:xfrm>
          <a:off x="0" y="0"/>
          <a:ext cx="1209675" cy="1581150"/>
        </a:xfrm>
        <a:prstGeom prst="rect">
          <a:avLst/>
        </a:prstGeom>
        <a:noFill/>
        <a:ln w="9525">
          <a:noFill/>
          <a:miter lim="800000"/>
          <a:headEnd/>
          <a:tailEnd/>
        </a:ln>
      </xdr:spPr>
    </xdr:pic>
    <xdr:clientData/>
  </xdr:twoCellAnchor>
  <xdr:twoCellAnchor>
    <xdr:from>
      <xdr:col>0</xdr:col>
      <xdr:colOff>1371600</xdr:colOff>
      <xdr:row>0</xdr:row>
      <xdr:rowOff>381000</xdr:rowOff>
    </xdr:from>
    <xdr:to>
      <xdr:col>5</xdr:col>
      <xdr:colOff>323850</xdr:colOff>
      <xdr:row>0</xdr:row>
      <xdr:rowOff>1152525</xdr:rowOff>
    </xdr:to>
    <xdr:sp macro="" textlink="">
      <xdr:nvSpPr>
        <xdr:cNvPr id="3" name="5 CuadroTexto"/>
        <xdr:cNvSpPr txBox="1"/>
      </xdr:nvSpPr>
      <xdr:spPr bwMode="auto">
        <a:xfrm>
          <a:off x="1371600" y="381000"/>
          <a:ext cx="5753100"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clientData/>
  </xdr:twoCellAnchor>
  <xdr:twoCellAnchor>
    <xdr:from>
      <xdr:col>13</xdr:col>
      <xdr:colOff>447675</xdr:colOff>
      <xdr:row>27</xdr:row>
      <xdr:rowOff>33337</xdr:rowOff>
    </xdr:from>
    <xdr:to>
      <xdr:col>18</xdr:col>
      <xdr:colOff>66675</xdr:colOff>
      <xdr:row>41</xdr:row>
      <xdr:rowOff>23812</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839932</xdr:colOff>
      <xdr:row>58</xdr:row>
      <xdr:rowOff>91787</xdr:rowOff>
    </xdr:from>
    <xdr:to>
      <xdr:col>17</xdr:col>
      <xdr:colOff>1065068</xdr:colOff>
      <xdr:row>75</xdr:row>
      <xdr:rowOff>38101</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0</xdr:colOff>
      <xdr:row>167</xdr:row>
      <xdr:rowOff>167640</xdr:rowOff>
    </xdr:from>
    <xdr:to>
      <xdr:col>5</xdr:col>
      <xdr:colOff>84107</xdr:colOff>
      <xdr:row>168</xdr:row>
      <xdr:rowOff>121932</xdr:rowOff>
    </xdr:to>
    <xdr:pic>
      <xdr:nvPicPr>
        <xdr:cNvPr id="2" name="Imagen 1">
          <a:extLst>
            <a:ext uri="{FF2B5EF4-FFF2-40B4-BE49-F238E27FC236}">
              <a16:creationId xmlns:a16="http://schemas.microsoft.com/office/drawing/2014/main" xmlns="" id="{4120DCB2-79C5-4EE7-B4F8-1C282632210D}"/>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11580" y="27637740"/>
          <a:ext cx="3314987" cy="1371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373381</xdr:colOff>
      <xdr:row>202</xdr:row>
      <xdr:rowOff>38100</xdr:rowOff>
    </xdr:from>
    <xdr:to>
      <xdr:col>3</xdr:col>
      <xdr:colOff>1257378</xdr:colOff>
      <xdr:row>203</xdr:row>
      <xdr:rowOff>68598</xdr:rowOff>
    </xdr:to>
    <xdr:pic>
      <xdr:nvPicPr>
        <xdr:cNvPr id="3" name="Imagen 2">
          <a:extLst>
            <a:ext uri="{FF2B5EF4-FFF2-40B4-BE49-F238E27FC236}">
              <a16:creationId xmlns:a16="http://schemas.microsoft.com/office/drawing/2014/main" xmlns="" id="{A0CE5FBE-77D5-458C-B1A6-ED23D52DB3B5}"/>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84961" y="34404300"/>
          <a:ext cx="883997" cy="2133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137161</xdr:colOff>
      <xdr:row>210</xdr:row>
      <xdr:rowOff>38100</xdr:rowOff>
    </xdr:from>
    <xdr:to>
      <xdr:col>3</xdr:col>
      <xdr:colOff>1691776</xdr:colOff>
      <xdr:row>210</xdr:row>
      <xdr:rowOff>335306</xdr:rowOff>
    </xdr:to>
    <xdr:pic>
      <xdr:nvPicPr>
        <xdr:cNvPr id="4" name="Imagen 3">
          <a:extLst>
            <a:ext uri="{FF2B5EF4-FFF2-40B4-BE49-F238E27FC236}">
              <a16:creationId xmlns:a16="http://schemas.microsoft.com/office/drawing/2014/main" xmlns="" id="{65CF6636-2D95-4F24-B8EB-3BD8A5C26764}"/>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48741" y="35684460"/>
          <a:ext cx="1554615" cy="2972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228601</xdr:colOff>
      <xdr:row>102</xdr:row>
      <xdr:rowOff>53340</xdr:rowOff>
    </xdr:from>
    <xdr:to>
      <xdr:col>5</xdr:col>
      <xdr:colOff>312708</xdr:colOff>
      <xdr:row>102</xdr:row>
      <xdr:rowOff>190512</xdr:rowOff>
    </xdr:to>
    <xdr:pic>
      <xdr:nvPicPr>
        <xdr:cNvPr id="5" name="Imagen 4">
          <a:extLst>
            <a:ext uri="{FF2B5EF4-FFF2-40B4-BE49-F238E27FC236}">
              <a16:creationId xmlns:a16="http://schemas.microsoft.com/office/drawing/2014/main" xmlns="" id="{AA523FDF-CB4D-4B2C-A903-EF3B4171341E}"/>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440181" y="13586460"/>
          <a:ext cx="3314987" cy="1371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0</xdr:row>
      <xdr:rowOff>1261675</xdr:rowOff>
    </xdr:to>
    <xdr:grpSp>
      <xdr:nvGrpSpPr>
        <xdr:cNvPr id="6" name="1 Grupo"/>
        <xdr:cNvGrpSpPr>
          <a:grpSpLocks/>
        </xdr:cNvGrpSpPr>
      </xdr:nvGrpSpPr>
      <xdr:grpSpPr bwMode="auto">
        <a:xfrm>
          <a:off x="0" y="0"/>
          <a:ext cx="5462301" cy="1261675"/>
          <a:chOff x="57150" y="47625"/>
          <a:chExt cx="6316603" cy="1200288"/>
        </a:xfrm>
      </xdr:grpSpPr>
      <xdr:pic>
        <xdr:nvPicPr>
          <xdr:cNvPr id="7" name="1 Imagen" descr="ESCUDO-transp-lema-blanco.png"/>
          <xdr:cNvPicPr>
            <a:picLocks noChangeAspect="1"/>
          </xdr:cNvPicPr>
        </xdr:nvPicPr>
        <xdr:blipFill>
          <a:blip xmlns:r="http://schemas.openxmlformats.org/officeDocument/2006/relationships" r:embed="rId4"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8"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601981</xdr:colOff>
      <xdr:row>69</xdr:row>
      <xdr:rowOff>0</xdr:rowOff>
    </xdr:from>
    <xdr:to>
      <xdr:col>3</xdr:col>
      <xdr:colOff>2065148</xdr:colOff>
      <xdr:row>70</xdr:row>
      <xdr:rowOff>83843</xdr:rowOff>
    </xdr:to>
    <xdr:pic>
      <xdr:nvPicPr>
        <xdr:cNvPr id="2" name="Imagen 1">
          <a:extLst>
            <a:ext uri="{FF2B5EF4-FFF2-40B4-BE49-F238E27FC236}">
              <a16:creationId xmlns:a16="http://schemas.microsoft.com/office/drawing/2014/main" xmlns="" id="{6D153BE9-73F9-4684-9801-9F06ED4734A5}"/>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89761" y="16245840"/>
          <a:ext cx="1463167" cy="2667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xdr:cNvGrpSpPr>
          <a:grpSpLocks/>
        </xdr:cNvGrpSpPr>
      </xdr:nvGrpSpPr>
      <xdr:grpSpPr bwMode="auto">
        <a:xfrm>
          <a:off x="0" y="0"/>
          <a:ext cx="5394266" cy="1277615"/>
          <a:chOff x="57150" y="47625"/>
          <a:chExt cx="6316603" cy="1200288"/>
        </a:xfrm>
      </xdr:grpSpPr>
      <xdr:pic>
        <xdr:nvPicPr>
          <xdr:cNvPr id="4" name="1 Imagen" descr="ESCUDO-transp-lema-blanco.png"/>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186612</xdr:colOff>
      <xdr:row>61</xdr:row>
      <xdr:rowOff>124408</xdr:rowOff>
    </xdr:from>
    <xdr:to>
      <xdr:col>2</xdr:col>
      <xdr:colOff>1772319</xdr:colOff>
      <xdr:row>63</xdr:row>
      <xdr:rowOff>23241</xdr:rowOff>
    </xdr:to>
    <xdr:pic>
      <xdr:nvPicPr>
        <xdr:cNvPr id="2" name="Imagen 1">
          <a:extLst>
            <a:ext uri="{FF2B5EF4-FFF2-40B4-BE49-F238E27FC236}">
              <a16:creationId xmlns:a16="http://schemas.microsoft.com/office/drawing/2014/main" xmlns="" id="{25164990-008C-43BC-84EE-F5A704F060BE}"/>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99592" y="19244388"/>
          <a:ext cx="1585707" cy="2720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xdr:cNvGrpSpPr>
          <a:grpSpLocks/>
        </xdr:cNvGrpSpPr>
      </xdr:nvGrpSpPr>
      <xdr:grpSpPr bwMode="auto">
        <a:xfrm>
          <a:off x="0" y="0"/>
          <a:ext cx="5316510" cy="1277615"/>
          <a:chOff x="57150" y="47625"/>
          <a:chExt cx="6316603" cy="1200288"/>
        </a:xfrm>
      </xdr:grpSpPr>
      <xdr:pic>
        <xdr:nvPicPr>
          <xdr:cNvPr id="4" name="1 Imagen" descr="ESCUDO-transp-lema-blanco.png"/>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ficinadeplaneacion@corpoguajira.gov.co"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hyperlink" Target="http://cambioclimatico.minambiente.gov.co/"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6.bin"/><Relationship Id="rId1" Type="http://schemas.openxmlformats.org/officeDocument/2006/relationships/hyperlink" Target="mailto:y.delgado@car.corpoguajira.gov.co" TargetMode="Externa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8.bin"/><Relationship Id="rId1" Type="http://schemas.openxmlformats.org/officeDocument/2006/relationships/hyperlink" Target="mailto:g.fonseca@corpoguajira.gov.co" TargetMode="Externa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1.bin"/><Relationship Id="rId1" Type="http://schemas.openxmlformats.org/officeDocument/2006/relationships/hyperlink" Target="mailto:g.fonseca@corpoguajira.gov.co" TargetMode="Externa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24.bin"/><Relationship Id="rId1" Type="http://schemas.openxmlformats.org/officeDocument/2006/relationships/hyperlink" Target="mailto:j.pacheco@corpoguajira.gov.co"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25.bin"/><Relationship Id="rId1" Type="http://schemas.openxmlformats.org/officeDocument/2006/relationships/hyperlink" Target="mailto:j.pacheco@corpoguajira.gov.co" TargetMode="External"/></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hyperlink" Target="mailto:g.fonseca@corpoguajira.gov.co" TargetMode="External"/><Relationship Id="rId1" Type="http://schemas.openxmlformats.org/officeDocument/2006/relationships/hyperlink" Target="https://www.minambiente.gov.co/index.php/ambientes-y-desarrollos-sostenibles/negocios-verdes-y-sostenibles" TargetMode="External"/><Relationship Id="rId4"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27.xml"/><Relationship Id="rId2" Type="http://schemas.openxmlformats.org/officeDocument/2006/relationships/printerSettings" Target="../printerSettings/printerSettings27.bin"/><Relationship Id="rId1" Type="http://schemas.openxmlformats.org/officeDocument/2006/relationships/hyperlink" Target="mailto:j.palomino@corpoguajira.gov.co" TargetMode="Externa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hyperlink" Target="http://www.sirh.ideam.gov.co/" TargetMode="External"/><Relationship Id="rId1" Type="http://schemas.openxmlformats.org/officeDocument/2006/relationships/hyperlink" Target="http://www.sisaire.gov.co/" TargetMode="External"/><Relationship Id="rId4"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hyperlink" Target="http://www.sirh.ideam.gov.co/" TargetMode="External"/><Relationship Id="rId1" Type="http://schemas.openxmlformats.org/officeDocument/2006/relationships/hyperlink" Target="http://www.sisaire.gov.co/" TargetMode="External"/><Relationship Id="rId4"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5"/>
  <sheetViews>
    <sheetView workbookViewId="0">
      <selection activeCell="C15" sqref="C15"/>
    </sheetView>
  </sheetViews>
  <sheetFormatPr baseColWidth="10" defaultRowHeight="15"/>
  <cols>
    <col min="1" max="1" width="5.85546875" customWidth="1"/>
    <col min="2" max="2" width="44.28515625" customWidth="1"/>
    <col min="3" max="3" width="68.5703125" customWidth="1"/>
    <col min="8" max="8" width="11.42578125" hidden="1" customWidth="1"/>
  </cols>
  <sheetData>
    <row r="1" spans="1:18" s="551" customFormat="1" ht="130.5" customHeight="1" thickBot="1">
      <c r="A1" s="574"/>
      <c r="B1" s="575"/>
      <c r="C1" s="576"/>
      <c r="D1"/>
      <c r="E1"/>
      <c r="F1"/>
      <c r="G1"/>
      <c r="H1"/>
      <c r="I1"/>
      <c r="J1"/>
      <c r="K1"/>
      <c r="L1"/>
      <c r="M1"/>
      <c r="N1"/>
      <c r="O1"/>
      <c r="P1"/>
      <c r="Q1"/>
      <c r="R1"/>
    </row>
    <row r="2" spans="1:18" s="552" customFormat="1" ht="39.75" customHeight="1" thickBot="1">
      <c r="A2" s="1227" t="s">
        <v>1417</v>
      </c>
      <c r="B2" s="1228"/>
      <c r="C2" s="1229"/>
      <c r="D2"/>
      <c r="E2"/>
      <c r="F2"/>
      <c r="G2"/>
      <c r="H2"/>
      <c r="I2"/>
      <c r="J2"/>
      <c r="K2"/>
      <c r="L2"/>
      <c r="M2"/>
      <c r="N2"/>
      <c r="O2"/>
      <c r="P2"/>
      <c r="Q2"/>
      <c r="R2"/>
    </row>
    <row r="4" spans="1:18" ht="15.75" thickBot="1"/>
    <row r="5" spans="1:18" s="564" customFormat="1" ht="23.25" customHeight="1">
      <c r="B5" s="565" t="s">
        <v>1374</v>
      </c>
      <c r="C5" s="566" t="s">
        <v>1393</v>
      </c>
      <c r="H5" s="564" t="s">
        <v>1375</v>
      </c>
    </row>
    <row r="6" spans="1:18" s="564" customFormat="1" ht="23.25" customHeight="1">
      <c r="B6" s="567" t="s">
        <v>1415</v>
      </c>
      <c r="C6" s="568" t="s">
        <v>1408</v>
      </c>
      <c r="H6" s="564" t="s">
        <v>1376</v>
      </c>
    </row>
    <row r="7" spans="1:18" s="564" customFormat="1" ht="23.25" customHeight="1">
      <c r="B7" s="567" t="s">
        <v>1416</v>
      </c>
      <c r="C7" s="568" t="s">
        <v>1679</v>
      </c>
      <c r="H7" s="564" t="s">
        <v>1377</v>
      </c>
    </row>
    <row r="8" spans="1:18" s="564" customFormat="1" ht="23.25" customHeight="1">
      <c r="B8" s="567" t="s">
        <v>45</v>
      </c>
      <c r="C8" s="568" t="s">
        <v>1643</v>
      </c>
      <c r="H8" s="564" t="s">
        <v>1378</v>
      </c>
    </row>
    <row r="9" spans="1:18" s="564" customFormat="1" ht="23.25" customHeight="1">
      <c r="B9" s="567" t="s">
        <v>47</v>
      </c>
      <c r="C9" s="568" t="s">
        <v>1644</v>
      </c>
      <c r="H9" s="564" t="s">
        <v>1379</v>
      </c>
    </row>
    <row r="10" spans="1:18" s="564" customFormat="1" ht="23.25" customHeight="1">
      <c r="B10" s="567" t="s">
        <v>48</v>
      </c>
      <c r="C10" s="1035" t="s">
        <v>1628</v>
      </c>
      <c r="H10" s="564" t="s">
        <v>1380</v>
      </c>
    </row>
    <row r="11" spans="1:18" s="564" customFormat="1" ht="23.25" customHeight="1" thickBot="1">
      <c r="B11" s="569" t="s">
        <v>49</v>
      </c>
      <c r="C11" s="570">
        <v>3145417021</v>
      </c>
      <c r="H11" s="564" t="s">
        <v>1381</v>
      </c>
    </row>
    <row r="12" spans="1:18">
      <c r="H12" t="s">
        <v>1382</v>
      </c>
    </row>
    <row r="13" spans="1:18">
      <c r="H13" t="s">
        <v>1383</v>
      </c>
    </row>
    <row r="14" spans="1:18">
      <c r="H14" t="s">
        <v>1384</v>
      </c>
    </row>
    <row r="15" spans="1:18">
      <c r="H15" t="s">
        <v>1385</v>
      </c>
    </row>
    <row r="16" spans="1:18">
      <c r="H16" t="s">
        <v>1386</v>
      </c>
    </row>
    <row r="17" spans="8:8">
      <c r="H17" t="s">
        <v>1387</v>
      </c>
    </row>
    <row r="18" spans="8:8">
      <c r="H18" t="s">
        <v>1388</v>
      </c>
    </row>
    <row r="19" spans="8:8">
      <c r="H19" t="s">
        <v>1389</v>
      </c>
    </row>
    <row r="20" spans="8:8">
      <c r="H20" t="s">
        <v>1390</v>
      </c>
    </row>
    <row r="21" spans="8:8">
      <c r="H21" t="s">
        <v>1391</v>
      </c>
    </row>
    <row r="22" spans="8:8">
      <c r="H22" t="s">
        <v>1392</v>
      </c>
    </row>
    <row r="23" spans="8:8">
      <c r="H23" t="s">
        <v>1393</v>
      </c>
    </row>
    <row r="24" spans="8:8">
      <c r="H24" t="s">
        <v>1394</v>
      </c>
    </row>
    <row r="25" spans="8:8">
      <c r="H25" t="s">
        <v>1395</v>
      </c>
    </row>
    <row r="26" spans="8:8">
      <c r="H26" t="s">
        <v>1396</v>
      </c>
    </row>
    <row r="27" spans="8:8">
      <c r="H27" t="s">
        <v>1397</v>
      </c>
    </row>
    <row r="28" spans="8:8">
      <c r="H28" t="s">
        <v>1398</v>
      </c>
    </row>
    <row r="29" spans="8:8">
      <c r="H29" t="s">
        <v>1399</v>
      </c>
    </row>
    <row r="30" spans="8:8">
      <c r="H30" t="s">
        <v>1400</v>
      </c>
    </row>
    <row r="31" spans="8:8">
      <c r="H31" t="s">
        <v>1401</v>
      </c>
    </row>
    <row r="32" spans="8:8">
      <c r="H32" t="s">
        <v>1402</v>
      </c>
    </row>
    <row r="33" spans="8:8">
      <c r="H33" t="s">
        <v>1403</v>
      </c>
    </row>
    <row r="34" spans="8:8">
      <c r="H34" t="s">
        <v>1404</v>
      </c>
    </row>
    <row r="35" spans="8:8">
      <c r="H35" t="s">
        <v>1405</v>
      </c>
    </row>
    <row r="36" spans="8:8">
      <c r="H36" t="s">
        <v>1406</v>
      </c>
    </row>
    <row r="38" spans="8:8">
      <c r="H38" t="s">
        <v>1407</v>
      </c>
    </row>
    <row r="39" spans="8:8">
      <c r="H39" t="s">
        <v>1408</v>
      </c>
    </row>
    <row r="40" spans="8:8">
      <c r="H40" t="s">
        <v>1409</v>
      </c>
    </row>
    <row r="41" spans="8:8">
      <c r="H41" t="s">
        <v>1410</v>
      </c>
    </row>
    <row r="42" spans="8:8">
      <c r="H42" t="s">
        <v>1411</v>
      </c>
    </row>
    <row r="43" spans="8:8">
      <c r="H43" t="s">
        <v>1412</v>
      </c>
    </row>
    <row r="44" spans="8:8">
      <c r="H44" t="s">
        <v>1413</v>
      </c>
    </row>
    <row r="45" spans="8:8">
      <c r="H45" t="s">
        <v>1414</v>
      </c>
    </row>
  </sheetData>
  <mergeCells count="1">
    <mergeCell ref="A2:C2"/>
  </mergeCells>
  <dataValidations count="2">
    <dataValidation type="list" allowBlank="1" showInputMessage="1" showErrorMessage="1" prompt="Seleccione la CAR de la cual incorporara la información" sqref="C5">
      <formula1>Lista_CAR</formula1>
    </dataValidation>
    <dataValidation type="list" allowBlank="1" showInputMessage="1" showErrorMessage="1" prompt="Seleccione el perido a reportar" sqref="C6">
      <formula1 xml:space="preserve"> Vigencias</formula1>
    </dataValidation>
  </dataValidations>
  <hyperlinks>
    <hyperlink ref="C10" r:id="rId1"/>
  </hyperlinks>
  <pageMargins left="0.7" right="0.7" top="0.75" bottom="0.75" header="0.3" footer="0.3"/>
  <pageSetup paperSize="0"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5"/>
  <sheetViews>
    <sheetView showGridLines="0" zoomScale="98" zoomScaleNormal="98" workbookViewId="0">
      <selection sqref="A1:XFD1048576"/>
    </sheetView>
  </sheetViews>
  <sheetFormatPr baseColWidth="10" defaultRowHeight="15"/>
  <cols>
    <col min="1" max="1" width="1.85546875" customWidth="1"/>
    <col min="2" max="2" width="12.85546875" customWidth="1"/>
    <col min="3" max="3" width="5" style="88" bestFit="1" customWidth="1"/>
    <col min="4" max="4" width="34.85546875" customWidth="1"/>
    <col min="5" max="5" width="12.140625" customWidth="1"/>
  </cols>
  <sheetData>
    <row r="1" spans="1:21" s="551" customFormat="1" ht="100.5" customHeight="1" thickBot="1">
      <c r="A1" s="1344"/>
      <c r="B1" s="1345"/>
      <c r="C1" s="1345"/>
      <c r="D1" s="1345"/>
      <c r="E1" s="1345"/>
      <c r="F1" s="1345"/>
      <c r="G1" s="1345"/>
      <c r="H1" s="1345"/>
      <c r="I1" s="1345"/>
      <c r="J1" s="1345"/>
      <c r="K1" s="1345"/>
      <c r="L1" s="1345"/>
      <c r="M1" s="1345"/>
      <c r="N1" s="1345"/>
      <c r="O1" s="1345"/>
      <c r="P1" s="1346"/>
      <c r="Q1" s="413"/>
      <c r="R1" s="413"/>
    </row>
    <row r="2" spans="1:21" s="552" customFormat="1" ht="16.5" thickBot="1">
      <c r="A2" s="1352" t="str">
        <f>'Datos Generales'!C5</f>
        <v>Corporación Autónoma Regional de La Guajira – CORPOGUAJIRA</v>
      </c>
      <c r="B2" s="1353"/>
      <c r="C2" s="1353"/>
      <c r="D2" s="1353"/>
      <c r="E2" s="1353"/>
      <c r="F2" s="1353"/>
      <c r="G2" s="1353"/>
      <c r="H2" s="1353"/>
      <c r="I2" s="1353"/>
      <c r="J2" s="1353"/>
      <c r="K2" s="1353"/>
      <c r="L2" s="1353"/>
      <c r="M2" s="1353"/>
      <c r="N2" s="1353"/>
      <c r="O2" s="1353"/>
      <c r="P2" s="1354"/>
      <c r="Q2" s="413"/>
      <c r="R2" s="413"/>
    </row>
    <row r="3" spans="1:21" s="552" customFormat="1" ht="16.5" thickBot="1">
      <c r="A3" s="1347" t="s">
        <v>1419</v>
      </c>
      <c r="B3" s="1348"/>
      <c r="C3" s="1348"/>
      <c r="D3" s="1348"/>
      <c r="E3" s="1348"/>
      <c r="F3" s="1348"/>
      <c r="G3" s="1348"/>
      <c r="H3" s="1348"/>
      <c r="I3" s="1348"/>
      <c r="J3" s="1348"/>
      <c r="K3" s="1348"/>
      <c r="L3" s="1348"/>
      <c r="M3" s="1348"/>
      <c r="N3" s="1348"/>
      <c r="O3" s="1348"/>
      <c r="P3" s="1349"/>
      <c r="Q3" s="413"/>
      <c r="R3" s="413"/>
    </row>
    <row r="4" spans="1:21" s="552" customFormat="1" ht="16.5" thickBot="1">
      <c r="A4" s="1350" t="s">
        <v>1418</v>
      </c>
      <c r="B4" s="1351"/>
      <c r="C4" s="1351"/>
      <c r="D4" s="1351"/>
      <c r="E4" s="571" t="str">
        <f>'Datos Generales'!C6</f>
        <v>2016-II</v>
      </c>
      <c r="F4" s="571"/>
      <c r="G4" s="571"/>
      <c r="H4" s="571"/>
      <c r="I4" s="571"/>
      <c r="J4" s="571"/>
      <c r="K4" s="571"/>
      <c r="L4" s="572"/>
      <c r="M4" s="572"/>
      <c r="N4" s="572"/>
      <c r="O4" s="572"/>
      <c r="P4" s="573"/>
      <c r="Q4" s="413"/>
      <c r="R4" s="413"/>
    </row>
    <row r="5" spans="1:21" s="245" customFormat="1" ht="16.5" customHeight="1" thickBot="1">
      <c r="A5" s="1347" t="s">
        <v>189</v>
      </c>
      <c r="B5" s="1348"/>
      <c r="C5" s="1348"/>
      <c r="D5" s="1348"/>
      <c r="E5" s="1348"/>
      <c r="F5" s="1348"/>
      <c r="G5" s="1348"/>
      <c r="H5" s="1348"/>
      <c r="I5" s="1348"/>
      <c r="J5" s="1348"/>
      <c r="K5" s="1348"/>
      <c r="L5" s="1348"/>
      <c r="M5" s="1348"/>
      <c r="N5" s="1348"/>
      <c r="O5" s="1348"/>
      <c r="P5" s="1349"/>
    </row>
    <row r="6" spans="1:21">
      <c r="A6" s="245"/>
      <c r="B6" s="249" t="s">
        <v>1</v>
      </c>
      <c r="C6" s="250"/>
      <c r="D6" s="248"/>
      <c r="E6" s="259"/>
      <c r="F6" s="248" t="s">
        <v>133</v>
      </c>
      <c r="G6" s="248"/>
      <c r="H6" s="248"/>
      <c r="I6" s="248"/>
      <c r="J6" s="248"/>
      <c r="K6" s="248"/>
    </row>
    <row r="7" spans="1:21" ht="15.75" thickBot="1">
      <c r="A7" s="245"/>
      <c r="B7" s="251"/>
      <c r="C7" s="252"/>
      <c r="D7" s="248"/>
      <c r="E7" s="253"/>
      <c r="F7" s="248" t="s">
        <v>134</v>
      </c>
      <c r="G7" s="248"/>
      <c r="H7" s="248"/>
      <c r="I7" s="248"/>
      <c r="J7" s="248"/>
      <c r="K7" s="248"/>
    </row>
    <row r="8" spans="1:21" ht="15.75" thickBot="1">
      <c r="A8" s="245"/>
      <c r="B8" s="261" t="s">
        <v>1204</v>
      </c>
      <c r="C8" s="262">
        <v>2017</v>
      </c>
      <c r="D8" s="257" t="str">
        <f>+F23</f>
        <v>N.A.</v>
      </c>
      <c r="E8" s="264"/>
      <c r="F8" s="248" t="s">
        <v>135</v>
      </c>
      <c r="G8" s="248"/>
      <c r="H8" s="248"/>
      <c r="I8" s="248"/>
      <c r="J8" s="248"/>
      <c r="K8" s="248"/>
    </row>
    <row r="9" spans="1:21">
      <c r="A9" s="245"/>
      <c r="B9" s="507" t="s">
        <v>1205</v>
      </c>
      <c r="C9" s="304"/>
      <c r="D9" s="248"/>
      <c r="E9" s="248"/>
      <c r="F9" s="248"/>
      <c r="G9" s="248"/>
      <c r="H9" s="248"/>
      <c r="I9" s="248"/>
      <c r="J9" s="248"/>
      <c r="K9" s="248"/>
    </row>
    <row r="10" spans="1:21" s="413" customFormat="1">
      <c r="A10" s="245"/>
      <c r="B10" s="1412" t="s">
        <v>1265</v>
      </c>
      <c r="C10" s="1412"/>
      <c r="D10" s="1412"/>
      <c r="E10" s="513" t="s">
        <v>1262</v>
      </c>
      <c r="F10" s="1419"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xml:space="preserve">      ESCRIBA EL NÚMERO DEL ACUERDO DEL CONSEJO DIRECTIVO EN LA CUAL SE APRUEBA LA AGENDA DE IMPLEMENTACION DEL INDICADOR</v>
      </c>
      <c r="G10" s="1420"/>
      <c r="H10" s="1420"/>
      <c r="I10" s="1420"/>
      <c r="J10" s="1420"/>
      <c r="K10" s="1420"/>
      <c r="L10" s="1420"/>
      <c r="M10" s="1420"/>
      <c r="N10" s="1420"/>
      <c r="O10" s="1420"/>
      <c r="P10" s="1420"/>
      <c r="Q10" s="1420"/>
      <c r="R10" s="1420"/>
      <c r="S10" s="1420"/>
      <c r="T10" s="509"/>
      <c r="U10" s="509"/>
    </row>
    <row r="11" spans="1:21" s="413" customFormat="1" ht="14.45" customHeight="1">
      <c r="A11" s="245"/>
      <c r="B11" s="510"/>
      <c r="C11" s="511"/>
      <c r="D11" s="512" t="str">
        <f>IF(E10="SI APLICA","¿El indicador no se reporta por limitaciones de información disponible? ","")</f>
        <v xml:space="preserve">¿El indicador no se reporta por limitaciones de información disponible? </v>
      </c>
      <c r="E11" s="514" t="s">
        <v>1263</v>
      </c>
      <c r="F11" s="1413" t="s">
        <v>1704</v>
      </c>
      <c r="G11" s="1414"/>
      <c r="H11" s="1414"/>
      <c r="I11" s="1414"/>
      <c r="J11" s="1414"/>
      <c r="K11" s="1414"/>
      <c r="L11" s="1414"/>
      <c r="M11" s="1414"/>
      <c r="N11" s="1414"/>
      <c r="O11" s="1414"/>
      <c r="P11" s="1414"/>
      <c r="Q11" s="1414"/>
      <c r="R11" s="1414"/>
      <c r="S11" s="1414"/>
    </row>
    <row r="12" spans="1:21" s="413" customFormat="1" ht="23.45" customHeight="1">
      <c r="A12" s="245"/>
      <c r="B12" s="507"/>
      <c r="C12" s="304"/>
      <c r="D12" s="512" t="str">
        <f>IF(E11="SI SE REPORTA","¿Qué programas o proyectos del Plan de Acción están asociados al indicador? ","")</f>
        <v/>
      </c>
      <c r="E12" s="1415" t="str">
        <f>'Anexo 1 Matriz Inf Gestión'!E31:H31</f>
        <v>Proyecto 2.1. Administración de la oferta y demanda del recurso hídrico. (Superficiales y subterráneas) (4).</v>
      </c>
      <c r="F12" s="1415"/>
      <c r="G12" s="1415"/>
      <c r="H12" s="1415"/>
      <c r="I12" s="1415"/>
      <c r="J12" s="1415"/>
      <c r="K12" s="1415"/>
      <c r="L12" s="1415"/>
      <c r="M12" s="1415"/>
      <c r="N12" s="1415"/>
      <c r="O12" s="1415"/>
      <c r="P12" s="1415"/>
      <c r="Q12" s="1415"/>
      <c r="R12" s="1415"/>
    </row>
    <row r="13" spans="1:21" s="413" customFormat="1" ht="21.95" customHeight="1">
      <c r="A13" s="245"/>
      <c r="B13" s="507"/>
      <c r="C13" s="304"/>
      <c r="D13" s="512" t="s">
        <v>1267</v>
      </c>
      <c r="E13" s="1416" t="s">
        <v>1706</v>
      </c>
      <c r="F13" s="1417"/>
      <c r="G13" s="1417"/>
      <c r="H13" s="1417"/>
      <c r="I13" s="1417"/>
      <c r="J13" s="1417"/>
      <c r="K13" s="1417"/>
      <c r="L13" s="1417"/>
      <c r="M13" s="1417"/>
      <c r="N13" s="1417"/>
      <c r="O13" s="1417"/>
      <c r="P13" s="1417"/>
      <c r="Q13" s="1417"/>
      <c r="R13" s="1418"/>
    </row>
    <row r="14" spans="1:21" s="413" customFormat="1" ht="6.95" customHeight="1" thickBot="1">
      <c r="A14" s="245"/>
      <c r="B14" s="507"/>
      <c r="C14" s="304"/>
      <c r="D14" s="248"/>
      <c r="E14" s="248"/>
      <c r="F14" s="248"/>
      <c r="G14" s="248"/>
      <c r="H14" s="248"/>
      <c r="I14" s="248"/>
      <c r="J14" s="248"/>
      <c r="K14" s="248"/>
    </row>
    <row r="15" spans="1:21" ht="15.75" thickBot="1">
      <c r="A15" s="245"/>
      <c r="B15" s="1391" t="s">
        <v>2</v>
      </c>
      <c r="C15" s="268"/>
      <c r="D15" s="1373" t="s">
        <v>3</v>
      </c>
      <c r="E15" s="1374"/>
      <c r="F15" s="1374"/>
      <c r="G15" s="1374"/>
      <c r="H15" s="1374"/>
      <c r="I15" s="1374"/>
      <c r="J15" s="1375"/>
      <c r="K15" s="248"/>
    </row>
    <row r="16" spans="1:21" ht="24.75" thickBot="1">
      <c r="A16" s="245"/>
      <c r="B16" s="1392"/>
      <c r="C16" s="272"/>
      <c r="D16" s="273" t="s">
        <v>199</v>
      </c>
      <c r="E16" s="217">
        <v>12</v>
      </c>
      <c r="F16" s="248"/>
      <c r="G16" s="248"/>
      <c r="H16" s="248"/>
      <c r="I16" s="248"/>
      <c r="J16" s="274"/>
      <c r="K16" s="248"/>
    </row>
    <row r="17" spans="1:11" ht="40.5" customHeight="1" thickBot="1">
      <c r="A17" s="245"/>
      <c r="B17" s="1392"/>
      <c r="C17" s="272"/>
      <c r="D17" s="275" t="s">
        <v>200</v>
      </c>
      <c r="E17" s="217">
        <v>7</v>
      </c>
      <c r="F17" s="248"/>
      <c r="G17" s="248"/>
      <c r="H17" s="248"/>
      <c r="I17" s="248"/>
      <c r="J17" s="274"/>
      <c r="K17" s="248"/>
    </row>
    <row r="18" spans="1:11" ht="36.75" thickBot="1">
      <c r="A18" s="245"/>
      <c r="B18" s="1392"/>
      <c r="C18" s="272"/>
      <c r="D18" s="275" t="s">
        <v>201</v>
      </c>
      <c r="E18" s="217">
        <v>1</v>
      </c>
      <c r="F18" s="248"/>
      <c r="G18" s="248"/>
      <c r="H18" s="248"/>
      <c r="I18" s="248"/>
      <c r="J18" s="274"/>
      <c r="K18" s="248"/>
    </row>
    <row r="19" spans="1:11" ht="15.75" thickBot="1">
      <c r="A19" s="245"/>
      <c r="B19" s="1392"/>
      <c r="C19" s="276"/>
      <c r="D19" s="1403"/>
      <c r="E19" s="1404"/>
      <c r="F19" s="1404"/>
      <c r="G19" s="1404"/>
      <c r="H19" s="1404"/>
      <c r="I19" s="1404"/>
      <c r="J19" s="1405"/>
      <c r="K19" s="248"/>
    </row>
    <row r="20" spans="1:11" ht="15.75" thickBot="1">
      <c r="A20" s="245"/>
      <c r="B20" s="1392"/>
      <c r="C20" s="279" t="s">
        <v>24</v>
      </c>
      <c r="D20" s="273" t="s">
        <v>156</v>
      </c>
      <c r="E20" s="280" t="s">
        <v>25</v>
      </c>
      <c r="F20" s="280" t="s">
        <v>26</v>
      </c>
      <c r="G20" s="280" t="s">
        <v>27</v>
      </c>
      <c r="H20" s="280" t="s">
        <v>28</v>
      </c>
      <c r="I20" s="280" t="s">
        <v>157</v>
      </c>
      <c r="J20" s="114"/>
      <c r="K20" s="248"/>
    </row>
    <row r="21" spans="1:11" ht="36.75" thickBot="1">
      <c r="A21" s="245"/>
      <c r="B21" s="1392"/>
      <c r="C21" s="282" t="s">
        <v>158</v>
      </c>
      <c r="D21" s="275" t="s">
        <v>202</v>
      </c>
      <c r="E21" s="217">
        <v>0</v>
      </c>
      <c r="F21" s="217">
        <v>0</v>
      </c>
      <c r="G21" s="217">
        <v>1</v>
      </c>
      <c r="H21" s="217">
        <v>0</v>
      </c>
      <c r="I21" s="283">
        <f>SUM(E21:H21)</f>
        <v>1</v>
      </c>
      <c r="J21" s="115"/>
      <c r="K21" s="248"/>
    </row>
    <row r="22" spans="1:11" ht="36.75" thickBot="1">
      <c r="A22" s="245"/>
      <c r="B22" s="1392"/>
      <c r="C22" s="282" t="s">
        <v>160</v>
      </c>
      <c r="D22" s="275" t="s">
        <v>203</v>
      </c>
      <c r="E22" s="217">
        <v>0</v>
      </c>
      <c r="F22" s="217">
        <v>0</v>
      </c>
      <c r="G22" s="217">
        <v>0</v>
      </c>
      <c r="H22" s="217">
        <v>0</v>
      </c>
      <c r="I22" s="283">
        <f>SUM(E22:H22)</f>
        <v>0</v>
      </c>
      <c r="J22" s="115"/>
      <c r="K22" s="248"/>
    </row>
    <row r="23" spans="1:11" ht="36.75" thickBot="1">
      <c r="A23" s="245"/>
      <c r="B23" s="1393"/>
      <c r="C23" s="282" t="s">
        <v>162</v>
      </c>
      <c r="D23" s="275" t="s">
        <v>204</v>
      </c>
      <c r="E23" s="196" t="str">
        <f>IFERROR(E22/E21,"N.A.")</f>
        <v>N.A.</v>
      </c>
      <c r="F23" s="196" t="str">
        <f t="shared" ref="F23:I23" si="0">IFERROR(F22/F21,"N.A.")</f>
        <v>N.A.</v>
      </c>
      <c r="G23" s="196">
        <f t="shared" si="0"/>
        <v>0</v>
      </c>
      <c r="H23" s="196" t="str">
        <f t="shared" si="0"/>
        <v>N.A.</v>
      </c>
      <c r="I23" s="196">
        <f t="shared" si="0"/>
        <v>0</v>
      </c>
      <c r="J23" s="116"/>
      <c r="K23" s="248"/>
    </row>
    <row r="24" spans="1:11" ht="24" customHeight="1" thickBot="1">
      <c r="A24" s="245"/>
      <c r="B24" s="285" t="s">
        <v>39</v>
      </c>
      <c r="C24" s="286"/>
      <c r="D24" s="1400" t="s">
        <v>205</v>
      </c>
      <c r="E24" s="1401"/>
      <c r="F24" s="1401"/>
      <c r="G24" s="1401"/>
      <c r="H24" s="1401"/>
      <c r="I24" s="1401"/>
      <c r="J24" s="1402"/>
      <c r="K24" s="248"/>
    </row>
    <row r="25" spans="1:11" ht="24.75" thickBot="1">
      <c r="A25" s="245"/>
      <c r="B25" s="285" t="s">
        <v>41</v>
      </c>
      <c r="C25" s="286"/>
      <c r="D25" s="1400" t="s">
        <v>165</v>
      </c>
      <c r="E25" s="1401"/>
      <c r="F25" s="1401"/>
      <c r="G25" s="1401"/>
      <c r="H25" s="1401"/>
      <c r="I25" s="1401"/>
      <c r="J25" s="1402"/>
      <c r="K25" s="248"/>
    </row>
    <row r="26" spans="1:11" ht="15.75" thickBot="1">
      <c r="A26" s="245"/>
      <c r="B26" s="249"/>
      <c r="C26" s="250"/>
      <c r="D26" s="248"/>
      <c r="E26" s="248"/>
      <c r="F26" s="248"/>
      <c r="G26" s="248"/>
      <c r="H26" s="248"/>
      <c r="I26" s="248"/>
      <c r="J26" s="248"/>
      <c r="K26" s="248"/>
    </row>
    <row r="27" spans="1:11" ht="15" customHeight="1" thickBot="1">
      <c r="A27" s="245"/>
      <c r="B27" s="291" t="s">
        <v>43</v>
      </c>
      <c r="C27" s="292"/>
      <c r="D27" s="292"/>
      <c r="E27" s="292"/>
      <c r="F27" s="293"/>
      <c r="G27" s="248"/>
      <c r="H27" s="248"/>
      <c r="I27" s="248"/>
      <c r="J27" s="248"/>
      <c r="K27" s="248"/>
    </row>
    <row r="28" spans="1:11" ht="15.75" thickBot="1">
      <c r="A28" s="245"/>
      <c r="B28" s="1391">
        <v>1</v>
      </c>
      <c r="C28" s="272"/>
      <c r="D28" s="289" t="s">
        <v>44</v>
      </c>
      <c r="E28" s="31" t="s">
        <v>1642</v>
      </c>
      <c r="F28" s="316"/>
      <c r="G28" s="248"/>
      <c r="H28" s="248"/>
      <c r="I28" s="248"/>
      <c r="J28" s="248"/>
      <c r="K28" s="248"/>
    </row>
    <row r="29" spans="1:11" ht="15.75" thickBot="1">
      <c r="A29" s="245"/>
      <c r="B29" s="1392"/>
      <c r="C29" s="272"/>
      <c r="D29" s="275" t="s">
        <v>45</v>
      </c>
      <c r="E29" s="31" t="s">
        <v>1652</v>
      </c>
      <c r="F29" s="316"/>
      <c r="G29" s="248"/>
      <c r="H29" s="248"/>
      <c r="I29" s="248"/>
      <c r="J29" s="248"/>
      <c r="K29" s="248"/>
    </row>
    <row r="30" spans="1:11" ht="15.75" thickBot="1">
      <c r="A30" s="245"/>
      <c r="B30" s="1392"/>
      <c r="C30" s="272"/>
      <c r="D30" s="275" t="s">
        <v>46</v>
      </c>
      <c r="E30" s="31" t="s">
        <v>1653</v>
      </c>
      <c r="F30" s="316"/>
      <c r="G30" s="248"/>
      <c r="H30" s="248"/>
      <c r="I30" s="248"/>
      <c r="J30" s="248"/>
      <c r="K30" s="248"/>
    </row>
    <row r="31" spans="1:11" ht="15.75" thickBot="1">
      <c r="A31" s="245"/>
      <c r="B31" s="1392"/>
      <c r="C31" s="272"/>
      <c r="D31" s="275" t="s">
        <v>47</v>
      </c>
      <c r="E31" s="31" t="s">
        <v>1654</v>
      </c>
      <c r="F31" s="316"/>
      <c r="G31" s="248"/>
      <c r="H31" s="248"/>
      <c r="I31" s="248"/>
      <c r="J31" s="248"/>
      <c r="K31" s="248"/>
    </row>
    <row r="32" spans="1:11" ht="15.75" thickBot="1">
      <c r="A32" s="245"/>
      <c r="B32" s="1392"/>
      <c r="C32" s="272"/>
      <c r="D32" s="275" t="s">
        <v>48</v>
      </c>
      <c r="E32" s="31" t="s">
        <v>1655</v>
      </c>
      <c r="F32" s="316"/>
      <c r="G32" s="248"/>
      <c r="H32" s="248"/>
      <c r="I32" s="248"/>
      <c r="J32" s="248"/>
      <c r="K32" s="248"/>
    </row>
    <row r="33" spans="1:11" ht="15.75" thickBot="1">
      <c r="A33" s="245"/>
      <c r="B33" s="1392"/>
      <c r="C33" s="272"/>
      <c r="D33" s="275" t="s">
        <v>49</v>
      </c>
      <c r="E33" s="31" t="s">
        <v>1657</v>
      </c>
      <c r="F33" s="316"/>
      <c r="G33" s="248"/>
      <c r="H33" s="248"/>
      <c r="I33" s="248"/>
      <c r="J33" s="248"/>
      <c r="K33" s="248"/>
    </row>
    <row r="34" spans="1:11" ht="15.75" thickBot="1">
      <c r="A34" s="245"/>
      <c r="B34" s="1393"/>
      <c r="C34" s="282"/>
      <c r="D34" s="275" t="s">
        <v>50</v>
      </c>
      <c r="E34" s="31" t="s">
        <v>1656</v>
      </c>
      <c r="F34" s="316"/>
      <c r="G34" s="248"/>
      <c r="H34" s="248"/>
      <c r="I34" s="248"/>
      <c r="J34" s="248"/>
      <c r="K34" s="248"/>
    </row>
    <row r="35" spans="1:11" ht="15.75" thickBot="1">
      <c r="A35" s="245"/>
      <c r="B35" s="249"/>
      <c r="C35" s="250"/>
      <c r="D35" s="248"/>
      <c r="E35" s="248"/>
      <c r="F35" s="248"/>
      <c r="G35" s="248"/>
      <c r="H35" s="248"/>
      <c r="I35" s="248"/>
      <c r="J35" s="248"/>
      <c r="K35" s="248"/>
    </row>
    <row r="36" spans="1:11" ht="15" customHeight="1" thickBot="1">
      <c r="A36" s="245"/>
      <c r="B36" s="291" t="s">
        <v>51</v>
      </c>
      <c r="C36" s="292"/>
      <c r="D36" s="292"/>
      <c r="E36" s="292"/>
      <c r="F36" s="293"/>
      <c r="G36" s="248"/>
      <c r="H36" s="248"/>
      <c r="I36" s="248"/>
      <c r="J36" s="248"/>
      <c r="K36" s="248"/>
    </row>
    <row r="37" spans="1:11" ht="15.75" thickBot="1">
      <c r="A37" s="245"/>
      <c r="B37" s="1391">
        <v>1</v>
      </c>
      <c r="C37" s="272"/>
      <c r="D37" s="289" t="s">
        <v>44</v>
      </c>
      <c r="E37" s="302" t="s">
        <v>52</v>
      </c>
      <c r="F37" s="316"/>
      <c r="G37" s="248"/>
      <c r="H37" s="248"/>
      <c r="I37" s="248"/>
      <c r="J37" s="248"/>
      <c r="K37" s="248"/>
    </row>
    <row r="38" spans="1:11" ht="15.75" thickBot="1">
      <c r="A38" s="245"/>
      <c r="B38" s="1392"/>
      <c r="C38" s="272"/>
      <c r="D38" s="275" t="s">
        <v>45</v>
      </c>
      <c r="E38" s="302" t="s">
        <v>166</v>
      </c>
      <c r="F38" s="316"/>
      <c r="G38" s="248"/>
      <c r="H38" s="248"/>
      <c r="I38" s="248"/>
      <c r="J38" s="248"/>
      <c r="K38" s="248"/>
    </row>
    <row r="39" spans="1:11" ht="15.75" thickBot="1">
      <c r="A39" s="245"/>
      <c r="B39" s="1392"/>
      <c r="C39" s="272"/>
      <c r="D39" s="275" t="s">
        <v>46</v>
      </c>
      <c r="E39" s="315"/>
      <c r="F39" s="316"/>
      <c r="G39" s="248"/>
      <c r="H39" s="248"/>
      <c r="I39" s="248"/>
      <c r="J39" s="248"/>
      <c r="K39" s="248"/>
    </row>
    <row r="40" spans="1:11" ht="15.75" thickBot="1">
      <c r="A40" s="245"/>
      <c r="B40" s="1392"/>
      <c r="C40" s="272"/>
      <c r="D40" s="275" t="s">
        <v>47</v>
      </c>
      <c r="E40" s="315"/>
      <c r="F40" s="316"/>
      <c r="G40" s="248"/>
      <c r="H40" s="248"/>
      <c r="I40" s="248"/>
      <c r="J40" s="248"/>
      <c r="K40" s="248"/>
    </row>
    <row r="41" spans="1:11" ht="15.75" thickBot="1">
      <c r="A41" s="245"/>
      <c r="B41" s="1392"/>
      <c r="C41" s="272"/>
      <c r="D41" s="275" t="s">
        <v>48</v>
      </c>
      <c r="E41" s="315"/>
      <c r="F41" s="316"/>
      <c r="G41" s="248"/>
      <c r="H41" s="248"/>
      <c r="I41" s="248"/>
      <c r="J41" s="248"/>
      <c r="K41" s="248"/>
    </row>
    <row r="42" spans="1:11" ht="15.75" thickBot="1">
      <c r="A42" s="245"/>
      <c r="B42" s="1392"/>
      <c r="C42" s="272"/>
      <c r="D42" s="275" t="s">
        <v>49</v>
      </c>
      <c r="E42" s="315"/>
      <c r="F42" s="316"/>
      <c r="G42" s="248"/>
      <c r="H42" s="248"/>
      <c r="I42" s="248"/>
      <c r="J42" s="248"/>
      <c r="K42" s="248"/>
    </row>
    <row r="43" spans="1:11" ht="15.75" thickBot="1">
      <c r="A43" s="245"/>
      <c r="B43" s="1393"/>
      <c r="C43" s="282"/>
      <c r="D43" s="275" t="s">
        <v>50</v>
      </c>
      <c r="E43" s="315"/>
      <c r="F43" s="316"/>
      <c r="G43" s="248"/>
      <c r="H43" s="248"/>
      <c r="I43" s="248"/>
      <c r="J43" s="248"/>
      <c r="K43" s="248"/>
    </row>
    <row r="44" spans="1:11" ht="15.75" thickBot="1">
      <c r="A44" s="245"/>
      <c r="B44" s="249"/>
      <c r="C44" s="250"/>
      <c r="D44" s="248"/>
      <c r="E44" s="248"/>
      <c r="F44" s="248"/>
      <c r="G44" s="248"/>
      <c r="H44" s="248"/>
      <c r="I44" s="248"/>
      <c r="J44" s="248"/>
      <c r="K44" s="248"/>
    </row>
    <row r="45" spans="1:11" ht="15" customHeight="1" thickBot="1">
      <c r="A45" s="245"/>
      <c r="B45" s="291" t="s">
        <v>54</v>
      </c>
      <c r="C45" s="292"/>
      <c r="D45" s="292"/>
      <c r="E45" s="293"/>
      <c r="F45" s="245"/>
      <c r="G45" s="248"/>
      <c r="H45" s="248"/>
      <c r="I45" s="248"/>
      <c r="J45" s="248"/>
      <c r="K45" s="248"/>
    </row>
    <row r="46" spans="1:11" ht="24.75" thickBot="1">
      <c r="A46" s="245"/>
      <c r="B46" s="285" t="s">
        <v>55</v>
      </c>
      <c r="C46" s="275" t="s">
        <v>56</v>
      </c>
      <c r="D46" s="275" t="s">
        <v>57</v>
      </c>
      <c r="E46" s="275" t="s">
        <v>58</v>
      </c>
      <c r="F46" s="248"/>
      <c r="G46" s="248"/>
      <c r="H46" s="248"/>
      <c r="I46" s="248"/>
      <c r="J46" s="248"/>
      <c r="K46" s="245"/>
    </row>
    <row r="47" spans="1:11" ht="72.75" thickBot="1">
      <c r="A47" s="245"/>
      <c r="B47" s="295">
        <v>42401</v>
      </c>
      <c r="C47" s="275">
        <v>0.01</v>
      </c>
      <c r="D47" s="307" t="s">
        <v>206</v>
      </c>
      <c r="E47" s="275"/>
      <c r="F47" s="248"/>
      <c r="G47" s="248"/>
      <c r="H47" s="248"/>
      <c r="I47" s="248"/>
      <c r="J47" s="248"/>
      <c r="K47" s="245"/>
    </row>
    <row r="48" spans="1:11" ht="15.75" thickBot="1">
      <c r="A48" s="245"/>
      <c r="B48" s="308"/>
      <c r="C48" s="309"/>
      <c r="D48" s="248"/>
      <c r="E48" s="248"/>
      <c r="F48" s="248"/>
      <c r="G48" s="248"/>
      <c r="H48" s="248"/>
      <c r="I48" s="248"/>
      <c r="J48" s="248"/>
      <c r="K48" s="248"/>
    </row>
    <row r="49" spans="1:11">
      <c r="A49" s="245"/>
      <c r="B49" s="297" t="s">
        <v>60</v>
      </c>
      <c r="C49" s="298"/>
      <c r="D49" s="248"/>
      <c r="E49" s="248"/>
      <c r="F49" s="248"/>
      <c r="G49" s="248"/>
      <c r="H49" s="248"/>
      <c r="I49" s="248"/>
      <c r="J49" s="248"/>
      <c r="K49" s="248"/>
    </row>
    <row r="50" spans="1:11">
      <c r="A50" s="245"/>
      <c r="B50" s="1430"/>
      <c r="C50" s="1431"/>
      <c r="D50" s="1431"/>
      <c r="E50" s="1432"/>
      <c r="F50" s="248"/>
      <c r="G50" s="248"/>
      <c r="H50" s="248"/>
      <c r="I50" s="248"/>
      <c r="J50" s="248"/>
      <c r="K50" s="248"/>
    </row>
    <row r="51" spans="1:11">
      <c r="A51" s="245"/>
      <c r="B51" s="1433"/>
      <c r="C51" s="1434"/>
      <c r="D51" s="1434"/>
      <c r="E51" s="1435"/>
      <c r="F51" s="248"/>
      <c r="G51" s="248"/>
      <c r="H51" s="248"/>
      <c r="I51" s="248"/>
      <c r="J51" s="248"/>
      <c r="K51" s="248"/>
    </row>
    <row r="52" spans="1:11" ht="15.75" thickBot="1">
      <c r="A52" s="245"/>
      <c r="B52" s="248"/>
      <c r="C52" s="265"/>
      <c r="D52" s="248"/>
      <c r="E52" s="248"/>
      <c r="F52" s="248"/>
      <c r="G52" s="248"/>
      <c r="H52" s="248"/>
      <c r="I52" s="248"/>
      <c r="J52" s="248"/>
      <c r="K52" s="248"/>
    </row>
    <row r="53" spans="1:11" ht="24.75" thickBot="1">
      <c r="A53" s="245"/>
      <c r="B53" s="310" t="s">
        <v>61</v>
      </c>
      <c r="C53" s="311"/>
      <c r="D53" s="248"/>
      <c r="E53" s="248"/>
      <c r="F53" s="248"/>
      <c r="G53" s="248"/>
      <c r="H53" s="248"/>
      <c r="I53" s="248"/>
      <c r="J53" s="248"/>
      <c r="K53" s="248"/>
    </row>
    <row r="54" spans="1:11" ht="15.75" thickBot="1">
      <c r="A54" s="245"/>
      <c r="B54" s="249"/>
      <c r="C54" s="250"/>
      <c r="D54" s="248"/>
      <c r="E54" s="248"/>
      <c r="F54" s="248"/>
      <c r="G54" s="248"/>
      <c r="H54" s="248"/>
      <c r="I54" s="248"/>
      <c r="J54" s="248"/>
      <c r="K54" s="248"/>
    </row>
    <row r="55" spans="1:11" ht="60.75" thickBot="1">
      <c r="A55" s="245"/>
      <c r="B55" s="299" t="s">
        <v>62</v>
      </c>
      <c r="C55" s="279"/>
      <c r="D55" s="273" t="s">
        <v>190</v>
      </c>
      <c r="E55" s="248"/>
      <c r="F55" s="248"/>
      <c r="G55" s="248"/>
      <c r="H55" s="248"/>
      <c r="I55" s="248"/>
      <c r="J55" s="248"/>
      <c r="K55" s="248"/>
    </row>
    <row r="56" spans="1:11">
      <c r="A56" s="245"/>
      <c r="B56" s="1391" t="s">
        <v>64</v>
      </c>
      <c r="C56" s="272"/>
      <c r="D56" s="312" t="s">
        <v>65</v>
      </c>
      <c r="E56" s="248"/>
      <c r="F56" s="248"/>
      <c r="G56" s="248"/>
      <c r="H56" s="248"/>
      <c r="I56" s="248"/>
      <c r="J56" s="248"/>
      <c r="K56" s="248"/>
    </row>
    <row r="57" spans="1:11" ht="60">
      <c r="A57" s="245"/>
      <c r="B57" s="1392"/>
      <c r="C57" s="272"/>
      <c r="D57" s="313" t="s">
        <v>191</v>
      </c>
      <c r="E57" s="248"/>
      <c r="F57" s="248"/>
      <c r="G57" s="248"/>
      <c r="H57" s="248"/>
      <c r="I57" s="248"/>
      <c r="J57" s="248"/>
      <c r="K57" s="248"/>
    </row>
    <row r="58" spans="1:11">
      <c r="A58" s="245"/>
      <c r="B58" s="1392"/>
      <c r="C58" s="272"/>
      <c r="D58" s="312" t="s">
        <v>139</v>
      </c>
      <c r="E58" s="248"/>
      <c r="F58" s="248"/>
      <c r="G58" s="248"/>
      <c r="H58" s="248"/>
      <c r="I58" s="248"/>
      <c r="J58" s="248"/>
      <c r="K58" s="248"/>
    </row>
    <row r="59" spans="1:11" ht="24">
      <c r="A59" s="245"/>
      <c r="B59" s="1392"/>
      <c r="C59" s="272"/>
      <c r="D59" s="313" t="s">
        <v>141</v>
      </c>
      <c r="E59" s="248"/>
      <c r="F59" s="248"/>
      <c r="G59" s="248"/>
      <c r="H59" s="248"/>
      <c r="I59" s="248"/>
      <c r="J59" s="248"/>
      <c r="K59" s="248"/>
    </row>
    <row r="60" spans="1:11">
      <c r="A60" s="245"/>
      <c r="B60" s="1392"/>
      <c r="C60" s="272"/>
      <c r="D60" s="313" t="s">
        <v>171</v>
      </c>
      <c r="E60" s="248"/>
      <c r="F60" s="248"/>
      <c r="G60" s="248"/>
      <c r="H60" s="248"/>
      <c r="I60" s="248"/>
      <c r="J60" s="248"/>
      <c r="K60" s="248"/>
    </row>
    <row r="61" spans="1:11" ht="36">
      <c r="A61" s="245"/>
      <c r="B61" s="1392"/>
      <c r="C61" s="272"/>
      <c r="D61" s="313" t="s">
        <v>145</v>
      </c>
      <c r="E61" s="248"/>
      <c r="F61" s="248"/>
      <c r="G61" s="248"/>
      <c r="H61" s="248"/>
      <c r="I61" s="248"/>
      <c r="J61" s="248"/>
      <c r="K61" s="248"/>
    </row>
    <row r="62" spans="1:11">
      <c r="A62" s="245"/>
      <c r="B62" s="1392"/>
      <c r="C62" s="272"/>
      <c r="D62" s="312" t="s">
        <v>146</v>
      </c>
      <c r="E62" s="248"/>
      <c r="F62" s="248"/>
      <c r="G62" s="248"/>
      <c r="H62" s="248"/>
      <c r="I62" s="248"/>
      <c r="J62" s="248"/>
      <c r="K62" s="248"/>
    </row>
    <row r="63" spans="1:11" ht="24.75" thickBot="1">
      <c r="A63" s="245"/>
      <c r="B63" s="1393"/>
      <c r="C63" s="282"/>
      <c r="D63" s="275" t="s">
        <v>147</v>
      </c>
      <c r="E63" s="248"/>
      <c r="F63" s="248"/>
      <c r="G63" s="248"/>
      <c r="H63" s="248"/>
      <c r="I63" s="248"/>
      <c r="J63" s="248"/>
      <c r="K63" s="248"/>
    </row>
    <row r="64" spans="1:11" ht="24.75" thickBot="1">
      <c r="A64" s="245"/>
      <c r="B64" s="285" t="s">
        <v>77</v>
      </c>
      <c r="C64" s="282"/>
      <c r="D64" s="275"/>
      <c r="E64" s="248"/>
      <c r="F64" s="248"/>
      <c r="G64" s="248"/>
      <c r="H64" s="248"/>
      <c r="I64" s="248"/>
      <c r="J64" s="248"/>
      <c r="K64" s="248"/>
    </row>
    <row r="65" spans="1:11" ht="108">
      <c r="A65" s="245"/>
      <c r="B65" s="1391" t="s">
        <v>78</v>
      </c>
      <c r="C65" s="272"/>
      <c r="D65" s="313" t="s">
        <v>192</v>
      </c>
      <c r="E65" s="248"/>
      <c r="F65" s="248"/>
      <c r="G65" s="248"/>
      <c r="H65" s="248"/>
      <c r="I65" s="248"/>
      <c r="J65" s="248"/>
      <c r="K65" s="248"/>
    </row>
    <row r="66" spans="1:11" ht="240">
      <c r="A66" s="245"/>
      <c r="B66" s="1392"/>
      <c r="C66" s="272"/>
      <c r="D66" s="313" t="s">
        <v>193</v>
      </c>
      <c r="E66" s="248"/>
      <c r="F66" s="248"/>
      <c r="G66" s="248"/>
      <c r="H66" s="248"/>
      <c r="I66" s="248"/>
      <c r="J66" s="248"/>
      <c r="K66" s="248"/>
    </row>
    <row r="67" spans="1:11" ht="48.75" thickBot="1">
      <c r="A67" s="245"/>
      <c r="B67" s="1393"/>
      <c r="C67" s="282"/>
      <c r="D67" s="275" t="s">
        <v>194</v>
      </c>
      <c r="E67" s="248"/>
      <c r="F67" s="248"/>
      <c r="G67" s="248"/>
      <c r="H67" s="248"/>
      <c r="I67" s="248"/>
      <c r="J67" s="248"/>
      <c r="K67" s="248"/>
    </row>
    <row r="68" spans="1:11">
      <c r="A68" s="245"/>
      <c r="B68" s="1391" t="s">
        <v>95</v>
      </c>
      <c r="C68" s="272"/>
      <c r="D68" s="313"/>
      <c r="E68" s="248"/>
      <c r="F68" s="248"/>
      <c r="G68" s="248"/>
      <c r="H68" s="248"/>
      <c r="I68" s="248"/>
      <c r="J68" s="248"/>
      <c r="K68" s="248"/>
    </row>
    <row r="69" spans="1:11">
      <c r="A69" s="245"/>
      <c r="B69" s="1392"/>
      <c r="C69" s="272"/>
      <c r="D69" s="314"/>
      <c r="E69" s="248"/>
      <c r="F69" s="248"/>
      <c r="G69" s="248"/>
      <c r="H69" s="248"/>
      <c r="I69" s="248"/>
      <c r="J69" s="248"/>
      <c r="K69" s="248"/>
    </row>
    <row r="70" spans="1:11">
      <c r="A70" s="245"/>
      <c r="B70" s="1392"/>
      <c r="C70" s="272"/>
      <c r="D70" s="313" t="s">
        <v>96</v>
      </c>
      <c r="E70" s="248"/>
      <c r="F70" s="248"/>
      <c r="G70" s="248"/>
      <c r="H70" s="248"/>
      <c r="I70" s="248"/>
      <c r="J70" s="248"/>
      <c r="K70" s="248"/>
    </row>
    <row r="71" spans="1:11" ht="37.5">
      <c r="A71" s="245"/>
      <c r="B71" s="1392"/>
      <c r="C71" s="272"/>
      <c r="D71" s="313" t="s">
        <v>195</v>
      </c>
      <c r="E71" s="248"/>
      <c r="F71" s="248"/>
      <c r="G71" s="248"/>
      <c r="H71" s="248"/>
      <c r="I71" s="248"/>
      <c r="J71" s="248"/>
      <c r="K71" s="248"/>
    </row>
    <row r="72" spans="1:11" ht="37.5">
      <c r="A72" s="245"/>
      <c r="B72" s="1392"/>
      <c r="C72" s="272"/>
      <c r="D72" s="313" t="s">
        <v>196</v>
      </c>
      <c r="E72" s="248"/>
      <c r="F72" s="248"/>
      <c r="G72" s="248"/>
      <c r="H72" s="248"/>
      <c r="I72" s="248"/>
      <c r="J72" s="248"/>
      <c r="K72" s="248"/>
    </row>
    <row r="73" spans="1:11" ht="37.5">
      <c r="A73" s="245"/>
      <c r="B73" s="1392"/>
      <c r="C73" s="272"/>
      <c r="D73" s="313" t="s">
        <v>197</v>
      </c>
      <c r="E73" s="248"/>
      <c r="F73" s="248"/>
      <c r="G73" s="248"/>
      <c r="H73" s="248"/>
      <c r="I73" s="248"/>
      <c r="J73" s="248"/>
      <c r="K73" s="248"/>
    </row>
    <row r="74" spans="1:11" ht="48.75" thickBot="1">
      <c r="A74" s="245"/>
      <c r="B74" s="1393"/>
      <c r="C74" s="282"/>
      <c r="D74" s="275" t="s">
        <v>198</v>
      </c>
      <c r="E74" s="248"/>
      <c r="F74" s="248"/>
      <c r="G74" s="248"/>
      <c r="H74" s="248"/>
      <c r="I74" s="248"/>
      <c r="J74" s="248"/>
      <c r="K74" s="248"/>
    </row>
    <row r="75" spans="1:11">
      <c r="A75" s="245"/>
      <c r="B75" s="248"/>
      <c r="C75" s="265"/>
      <c r="D75" s="248"/>
      <c r="E75" s="248"/>
      <c r="F75" s="248"/>
      <c r="G75" s="248"/>
      <c r="H75" s="248"/>
      <c r="I75" s="248"/>
      <c r="J75" s="248"/>
      <c r="K75" s="248"/>
    </row>
  </sheetData>
  <sheetProtection sheet="1" objects="1" scenarios="1"/>
  <mergeCells count="21">
    <mergeCell ref="A1:P1"/>
    <mergeCell ref="A2:P2"/>
    <mergeCell ref="A3:P3"/>
    <mergeCell ref="A4:D4"/>
    <mergeCell ref="A5:P5"/>
    <mergeCell ref="B56:B63"/>
    <mergeCell ref="B65:B67"/>
    <mergeCell ref="B68:B74"/>
    <mergeCell ref="B15:B23"/>
    <mergeCell ref="D15:J15"/>
    <mergeCell ref="D19:J19"/>
    <mergeCell ref="D24:J24"/>
    <mergeCell ref="D25:J25"/>
    <mergeCell ref="B28:B34"/>
    <mergeCell ref="B37:B43"/>
    <mergeCell ref="B50:E51"/>
    <mergeCell ref="B10:D10"/>
    <mergeCell ref="F10:S10"/>
    <mergeCell ref="F11:S11"/>
    <mergeCell ref="E12:R12"/>
    <mergeCell ref="E13:R13"/>
  </mergeCells>
  <conditionalFormatting sqref="F10">
    <cfRule type="notContainsBlanks" dxfId="116" priority="4">
      <formula>LEN(TRIM(F10))&gt;0</formula>
    </cfRule>
  </conditionalFormatting>
  <conditionalFormatting sqref="F11:S11">
    <cfRule type="expression" dxfId="115" priority="2">
      <formula>E11="NO SE REPORTA"</formula>
    </cfRule>
    <cfRule type="expression" dxfId="114" priority="3">
      <formula>E10="NO APLICA"</formula>
    </cfRule>
  </conditionalFormatting>
  <conditionalFormatting sqref="E12:R12">
    <cfRule type="expression" dxfId="113" priority="1">
      <formula>E11="SI SE REPORTA"</formula>
    </cfRule>
  </conditionalFormatting>
  <dataValidations count="4">
    <dataValidation type="whole" operator="greaterThanOrEqual" allowBlank="1" showErrorMessage="1" errorTitle="ERROR" error="Escriba un número igual o mayor que 0" promptTitle="ERROR" prompt="Escriba un número igual o mayor que 0" sqref="E16:E18 E21:H22">
      <formula1>0</formula1>
    </dataValidation>
    <dataValidation allowBlank="1" showInputMessage="1" showErrorMessage="1" sqref="I21:I22"/>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8"/>
  <sheetViews>
    <sheetView showGridLines="0" topLeftCell="A16" zoomScale="98" zoomScaleNormal="98" workbookViewId="0">
      <selection activeCell="A16" sqref="A1:XFD1048576"/>
    </sheetView>
  </sheetViews>
  <sheetFormatPr baseColWidth="10" defaultRowHeight="15"/>
  <cols>
    <col min="1" max="1" width="1.85546875" customWidth="1"/>
    <col min="2" max="2" width="12.85546875" customWidth="1"/>
    <col min="3" max="3" width="5" style="88" bestFit="1" customWidth="1"/>
    <col min="4" max="4" width="34.85546875" customWidth="1"/>
    <col min="5" max="5" width="12.140625" customWidth="1"/>
  </cols>
  <sheetData>
    <row r="1" spans="1:21" s="551" customFormat="1" ht="100.5" customHeight="1" thickBot="1">
      <c r="A1" s="1344"/>
      <c r="B1" s="1345"/>
      <c r="C1" s="1345"/>
      <c r="D1" s="1345"/>
      <c r="E1" s="1345"/>
      <c r="F1" s="1345"/>
      <c r="G1" s="1345"/>
      <c r="H1" s="1345"/>
      <c r="I1" s="1345"/>
      <c r="J1" s="1345"/>
      <c r="K1" s="1345"/>
      <c r="L1" s="1345"/>
      <c r="M1" s="1345"/>
      <c r="N1" s="1345"/>
      <c r="O1" s="1345"/>
      <c r="P1" s="1346"/>
      <c r="Q1" s="413"/>
      <c r="R1" s="413"/>
    </row>
    <row r="2" spans="1:21" s="552" customFormat="1" ht="16.5" thickBot="1">
      <c r="A2" s="1352" t="str">
        <f>'Datos Generales'!C5</f>
        <v>Corporación Autónoma Regional de La Guajira – CORPOGUAJIRA</v>
      </c>
      <c r="B2" s="1353"/>
      <c r="C2" s="1353"/>
      <c r="D2" s="1353"/>
      <c r="E2" s="1353"/>
      <c r="F2" s="1353"/>
      <c r="G2" s="1353"/>
      <c r="H2" s="1353"/>
      <c r="I2" s="1353"/>
      <c r="J2" s="1353"/>
      <c r="K2" s="1353"/>
      <c r="L2" s="1353"/>
      <c r="M2" s="1353"/>
      <c r="N2" s="1353"/>
      <c r="O2" s="1353"/>
      <c r="P2" s="1354"/>
      <c r="Q2" s="413"/>
      <c r="R2" s="413"/>
    </row>
    <row r="3" spans="1:21" s="552" customFormat="1" ht="16.5" thickBot="1">
      <c r="A3" s="1347" t="s">
        <v>1419</v>
      </c>
      <c r="B3" s="1348"/>
      <c r="C3" s="1348"/>
      <c r="D3" s="1348"/>
      <c r="E3" s="1348"/>
      <c r="F3" s="1348"/>
      <c r="G3" s="1348"/>
      <c r="H3" s="1348"/>
      <c r="I3" s="1348"/>
      <c r="J3" s="1348"/>
      <c r="K3" s="1348"/>
      <c r="L3" s="1348"/>
      <c r="M3" s="1348"/>
      <c r="N3" s="1348"/>
      <c r="O3" s="1348"/>
      <c r="P3" s="1349"/>
      <c r="Q3" s="413"/>
      <c r="R3" s="413"/>
    </row>
    <row r="4" spans="1:21" s="552" customFormat="1" ht="16.5" thickBot="1">
      <c r="A4" s="1350" t="s">
        <v>1418</v>
      </c>
      <c r="B4" s="1351"/>
      <c r="C4" s="1351"/>
      <c r="D4" s="1351"/>
      <c r="E4" s="571" t="str">
        <f>'Datos Generales'!C6</f>
        <v>2016-II</v>
      </c>
      <c r="F4" s="571"/>
      <c r="G4" s="571"/>
      <c r="H4" s="571"/>
      <c r="I4" s="571"/>
      <c r="J4" s="571"/>
      <c r="K4" s="571"/>
      <c r="L4" s="572"/>
      <c r="M4" s="572"/>
      <c r="N4" s="572"/>
      <c r="O4" s="572"/>
      <c r="P4" s="573"/>
      <c r="Q4" s="413"/>
      <c r="R4" s="413"/>
    </row>
    <row r="5" spans="1:21" s="245" customFormat="1" ht="16.5" customHeight="1" thickBot="1">
      <c r="A5" s="1347" t="s">
        <v>207</v>
      </c>
      <c r="B5" s="1348"/>
      <c r="C5" s="1348"/>
      <c r="D5" s="1348"/>
      <c r="E5" s="1348"/>
      <c r="F5" s="1348"/>
      <c r="G5" s="1348"/>
      <c r="H5" s="1348"/>
      <c r="I5" s="1348"/>
      <c r="J5" s="1348"/>
      <c r="K5" s="1348"/>
      <c r="L5" s="1348"/>
      <c r="M5" s="1348"/>
      <c r="N5" s="1348"/>
      <c r="O5" s="1348"/>
      <c r="P5" s="1349"/>
    </row>
    <row r="6" spans="1:21">
      <c r="A6" s="245"/>
      <c r="B6" s="249" t="s">
        <v>1</v>
      </c>
      <c r="C6" s="250"/>
      <c r="D6" s="248"/>
      <c r="E6" s="259"/>
      <c r="F6" s="248" t="s">
        <v>133</v>
      </c>
      <c r="G6" s="248"/>
      <c r="H6" s="248"/>
      <c r="I6" s="248"/>
      <c r="J6" s="248"/>
      <c r="K6" s="248"/>
    </row>
    <row r="7" spans="1:21" ht="15.75" thickBot="1">
      <c r="A7" s="245"/>
      <c r="B7" s="251"/>
      <c r="C7" s="252"/>
      <c r="D7" s="248"/>
      <c r="E7" s="253"/>
      <c r="F7" s="248" t="s">
        <v>134</v>
      </c>
      <c r="G7" s="248"/>
      <c r="H7" s="248"/>
      <c r="I7" s="248"/>
      <c r="J7" s="248"/>
      <c r="K7" s="248"/>
    </row>
    <row r="8" spans="1:21" ht="15.75" thickBot="1">
      <c r="A8" s="245"/>
      <c r="B8" s="261" t="s">
        <v>1204</v>
      </c>
      <c r="C8" s="262">
        <v>2017</v>
      </c>
      <c r="D8" s="257">
        <f>IF(E10="NO APLICA","NO APLICA",IF(E11="NO SE REPORTA","SIN INFORMACION",+F22))</f>
        <v>0.2857142857142857</v>
      </c>
      <c r="E8" s="264"/>
      <c r="F8" s="248" t="s">
        <v>135</v>
      </c>
      <c r="G8" s="248"/>
      <c r="H8" s="248"/>
      <c r="I8" s="248"/>
      <c r="J8" s="248"/>
      <c r="K8" s="248"/>
    </row>
    <row r="9" spans="1:21">
      <c r="A9" s="245"/>
      <c r="B9" s="507" t="s">
        <v>1205</v>
      </c>
      <c r="C9" s="304"/>
      <c r="D9" s="248"/>
      <c r="E9" s="248"/>
      <c r="F9" s="248"/>
      <c r="G9" s="248"/>
      <c r="H9" s="248"/>
      <c r="I9" s="248"/>
      <c r="J9" s="248"/>
      <c r="K9" s="248"/>
    </row>
    <row r="10" spans="1:21" s="413" customFormat="1">
      <c r="A10" s="245"/>
      <c r="B10" s="1412" t="s">
        <v>1265</v>
      </c>
      <c r="C10" s="1412"/>
      <c r="D10" s="1412"/>
      <c r="E10" s="513" t="s">
        <v>1262</v>
      </c>
      <c r="F10" s="1419"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420"/>
      <c r="H10" s="1420"/>
      <c r="I10" s="1420"/>
      <c r="J10" s="1420"/>
      <c r="K10" s="1420"/>
      <c r="L10" s="1420"/>
      <c r="M10" s="1420"/>
      <c r="N10" s="1420"/>
      <c r="O10" s="1420"/>
      <c r="P10" s="1420"/>
      <c r="Q10" s="1420"/>
      <c r="R10" s="1420"/>
      <c r="S10" s="1420"/>
      <c r="T10" s="509"/>
      <c r="U10" s="509"/>
    </row>
    <row r="11" spans="1:21" s="413" customFormat="1" ht="14.45" customHeight="1">
      <c r="A11" s="245"/>
      <c r="B11" s="510"/>
      <c r="C11" s="511"/>
      <c r="D11" s="512" t="str">
        <f>IF(E10="SI APLICA","¿El indicador no se reporta por limitaciones de información disponible? ","")</f>
        <v xml:space="preserve">¿El indicador no se reporta por limitaciones de información disponible? </v>
      </c>
      <c r="E11" s="514" t="s">
        <v>1264</v>
      </c>
      <c r="F11" s="1413"/>
      <c r="G11" s="1414"/>
      <c r="H11" s="1414"/>
      <c r="I11" s="1414"/>
      <c r="J11" s="1414"/>
      <c r="K11" s="1414"/>
      <c r="L11" s="1414"/>
      <c r="M11" s="1414"/>
      <c r="N11" s="1414"/>
      <c r="O11" s="1414"/>
      <c r="P11" s="1414"/>
      <c r="Q11" s="1414"/>
      <c r="R11" s="1414"/>
      <c r="S11" s="1414"/>
    </row>
    <row r="12" spans="1:21" s="413" customFormat="1" ht="23.45" customHeight="1">
      <c r="A12" s="245"/>
      <c r="B12" s="507"/>
      <c r="C12" s="304"/>
      <c r="D12" s="512" t="str">
        <f>IF(E11="SI SE REPORTA","¿Qué programas o proyectos del Plan de Acción están asociados al indicador? ","")</f>
        <v xml:space="preserve">¿Qué programas o proyectos del Plan de Acción están asociados al indicador? </v>
      </c>
      <c r="E12" s="1415" t="str">
        <f>'Anexo 1 Matriz Inf Gestión'!E80:H80</f>
        <v>Proyecto No. 6.1.  (13). Evaluación, Seguimiento, Monitoreo y Control de la calidad de los recursos naturales y la biodiversidad.</v>
      </c>
      <c r="F12" s="1415"/>
      <c r="G12" s="1415"/>
      <c r="H12" s="1415"/>
      <c r="I12" s="1415"/>
      <c r="J12" s="1415"/>
      <c r="K12" s="1415"/>
      <c r="L12" s="1415"/>
      <c r="M12" s="1415"/>
      <c r="N12" s="1415"/>
      <c r="O12" s="1415"/>
      <c r="P12" s="1415"/>
      <c r="Q12" s="1415"/>
      <c r="R12" s="1415"/>
    </row>
    <row r="13" spans="1:21" s="413" customFormat="1" ht="21.95" customHeight="1">
      <c r="A13" s="245"/>
      <c r="B13" s="507"/>
      <c r="C13" s="304"/>
      <c r="D13" s="512" t="s">
        <v>1267</v>
      </c>
      <c r="E13" s="1416"/>
      <c r="F13" s="1417"/>
      <c r="G13" s="1417"/>
      <c r="H13" s="1417"/>
      <c r="I13" s="1417"/>
      <c r="J13" s="1417"/>
      <c r="K13" s="1417"/>
      <c r="L13" s="1417"/>
      <c r="M13" s="1417"/>
      <c r="N13" s="1417"/>
      <c r="O13" s="1417"/>
      <c r="P13" s="1417"/>
      <c r="Q13" s="1417"/>
      <c r="R13" s="1418"/>
    </row>
    <row r="14" spans="1:21" s="413" customFormat="1" ht="6.95" customHeight="1" thickBot="1">
      <c r="A14" s="245"/>
      <c r="B14" s="507"/>
      <c r="C14" s="304"/>
      <c r="D14" s="248"/>
      <c r="E14" s="248"/>
      <c r="F14" s="248"/>
      <c r="G14" s="248"/>
      <c r="H14" s="248"/>
      <c r="I14" s="248"/>
      <c r="J14" s="248"/>
      <c r="K14" s="248"/>
    </row>
    <row r="15" spans="1:21" ht="15.75" thickBot="1">
      <c r="A15" s="245"/>
      <c r="B15" s="1391" t="s">
        <v>2</v>
      </c>
      <c r="C15" s="268"/>
      <c r="D15" s="1373" t="s">
        <v>3</v>
      </c>
      <c r="E15" s="1374"/>
      <c r="F15" s="1374"/>
      <c r="G15" s="1374"/>
      <c r="H15" s="1374"/>
      <c r="I15" s="1374"/>
      <c r="J15" s="1375"/>
      <c r="K15" s="248"/>
    </row>
    <row r="16" spans="1:21" ht="36.75" thickBot="1">
      <c r="A16" s="245"/>
      <c r="B16" s="1392"/>
      <c r="C16" s="272"/>
      <c r="D16" s="273" t="s">
        <v>221</v>
      </c>
      <c r="E16" s="217">
        <v>7</v>
      </c>
      <c r="F16" s="248"/>
      <c r="G16" s="248"/>
      <c r="H16" s="248"/>
      <c r="I16" s="248"/>
      <c r="J16" s="274"/>
      <c r="K16" s="248"/>
    </row>
    <row r="17" spans="1:11" ht="48.75" thickBot="1">
      <c r="A17" s="245"/>
      <c r="B17" s="1392"/>
      <c r="C17" s="272"/>
      <c r="D17" s="275" t="s">
        <v>222</v>
      </c>
      <c r="E17" s="217">
        <v>7</v>
      </c>
      <c r="F17" s="248"/>
      <c r="G17" s="248"/>
      <c r="H17" s="248"/>
      <c r="I17" s="248"/>
      <c r="J17" s="274"/>
      <c r="K17" s="248"/>
    </row>
    <row r="18" spans="1:11" ht="15.75" thickBot="1">
      <c r="A18" s="245"/>
      <c r="B18" s="1392"/>
      <c r="C18" s="276"/>
      <c r="D18" s="1403"/>
      <c r="E18" s="1404"/>
      <c r="F18" s="1404"/>
      <c r="G18" s="1404"/>
      <c r="H18" s="1404"/>
      <c r="I18" s="1404"/>
      <c r="J18" s="1405"/>
      <c r="K18" s="248"/>
    </row>
    <row r="19" spans="1:11" ht="15.75" thickBot="1">
      <c r="A19" s="245"/>
      <c r="B19" s="1392"/>
      <c r="C19" s="279" t="s">
        <v>24</v>
      </c>
      <c r="D19" s="273" t="s">
        <v>156</v>
      </c>
      <c r="E19" s="317" t="s">
        <v>25</v>
      </c>
      <c r="F19" s="317" t="s">
        <v>26</v>
      </c>
      <c r="G19" s="317" t="s">
        <v>27</v>
      </c>
      <c r="H19" s="317" t="s">
        <v>28</v>
      </c>
      <c r="I19" s="234" t="s">
        <v>60</v>
      </c>
      <c r="J19" s="114"/>
      <c r="K19" s="248"/>
    </row>
    <row r="20" spans="1:11" ht="36.75" thickBot="1">
      <c r="A20" s="245"/>
      <c r="B20" s="1392"/>
      <c r="C20" s="282" t="s">
        <v>158</v>
      </c>
      <c r="D20" s="275" t="s">
        <v>223</v>
      </c>
      <c r="E20" s="217">
        <v>7</v>
      </c>
      <c r="F20" s="217">
        <v>7</v>
      </c>
      <c r="G20" s="217"/>
      <c r="H20" s="217"/>
      <c r="I20" s="31"/>
      <c r="J20" s="115"/>
      <c r="K20" s="248"/>
    </row>
    <row r="21" spans="1:11" ht="36.75" thickBot="1">
      <c r="A21" s="245"/>
      <c r="B21" s="1392"/>
      <c r="C21" s="282" t="s">
        <v>160</v>
      </c>
      <c r="D21" s="275" t="s">
        <v>224</v>
      </c>
      <c r="E21" s="217">
        <v>7</v>
      </c>
      <c r="F21" s="217">
        <v>2</v>
      </c>
      <c r="G21" s="217"/>
      <c r="H21" s="217"/>
      <c r="I21" s="31"/>
      <c r="J21" s="115"/>
      <c r="K21" s="248"/>
    </row>
    <row r="22" spans="1:11" ht="36.75" thickBot="1">
      <c r="A22" s="245"/>
      <c r="B22" s="1393"/>
      <c r="C22" s="282" t="s">
        <v>162</v>
      </c>
      <c r="D22" s="275" t="s">
        <v>225</v>
      </c>
      <c r="E22" s="196">
        <f>IFERROR(E21/E20,"N.A.")</f>
        <v>1</v>
      </c>
      <c r="F22" s="196">
        <f t="shared" ref="F22:H22" si="0">IFERROR(F21/F20,"N.A.")</f>
        <v>0.2857142857142857</v>
      </c>
      <c r="G22" s="196" t="str">
        <f t="shared" si="0"/>
        <v>N.A.</v>
      </c>
      <c r="H22" s="196" t="str">
        <f t="shared" si="0"/>
        <v>N.A.</v>
      </c>
      <c r="I22" s="505"/>
      <c r="J22" s="116"/>
      <c r="K22" s="248"/>
    </row>
    <row r="23" spans="1:11" ht="24" customHeight="1" thickBot="1">
      <c r="A23" s="245"/>
      <c r="B23" s="285" t="s">
        <v>39</v>
      </c>
      <c r="C23" s="286"/>
      <c r="D23" s="1400" t="s">
        <v>226</v>
      </c>
      <c r="E23" s="1401"/>
      <c r="F23" s="1401"/>
      <c r="G23" s="1401"/>
      <c r="H23" s="1401"/>
      <c r="I23" s="1401"/>
      <c r="J23" s="1402"/>
      <c r="K23" s="248"/>
    </row>
    <row r="24" spans="1:11" ht="24.75" thickBot="1">
      <c r="A24" s="245"/>
      <c r="B24" s="285" t="s">
        <v>41</v>
      </c>
      <c r="C24" s="286"/>
      <c r="D24" s="1400" t="s">
        <v>165</v>
      </c>
      <c r="E24" s="1401"/>
      <c r="F24" s="1401"/>
      <c r="G24" s="1401"/>
      <c r="H24" s="1401"/>
      <c r="I24" s="1401"/>
      <c r="J24" s="1402"/>
      <c r="K24" s="248"/>
    </row>
    <row r="25" spans="1:11" ht="15.75" thickBot="1">
      <c r="A25" s="245"/>
      <c r="B25" s="318"/>
      <c r="C25" s="304"/>
      <c r="D25" s="248"/>
      <c r="E25" s="248"/>
      <c r="F25" s="248"/>
      <c r="G25" s="248"/>
      <c r="H25" s="248"/>
      <c r="I25" s="248"/>
      <c r="J25" s="319"/>
      <c r="K25" s="248"/>
    </row>
    <row r="26" spans="1:11" ht="15" customHeight="1" thickBot="1">
      <c r="A26" s="245"/>
      <c r="B26" s="291" t="s">
        <v>43</v>
      </c>
      <c r="C26" s="320"/>
      <c r="D26" s="320"/>
      <c r="E26" s="320"/>
      <c r="F26" s="320"/>
      <c r="G26" s="320"/>
      <c r="H26" s="320"/>
      <c r="I26" s="320"/>
      <c r="J26" s="321"/>
      <c r="K26" s="248"/>
    </row>
    <row r="27" spans="1:11" ht="15.75" thickBot="1">
      <c r="A27" s="245"/>
      <c r="B27" s="1391">
        <v>1</v>
      </c>
      <c r="C27" s="268"/>
      <c r="D27" s="322" t="s">
        <v>44</v>
      </c>
      <c r="E27" s="1436" t="s">
        <v>1642</v>
      </c>
      <c r="F27" s="1437"/>
      <c r="G27" s="245"/>
      <c r="H27" s="245"/>
      <c r="I27" s="316"/>
      <c r="J27" s="323"/>
      <c r="K27" s="248"/>
    </row>
    <row r="28" spans="1:11" ht="15.75" thickBot="1">
      <c r="A28" s="245"/>
      <c r="B28" s="1392"/>
      <c r="C28" s="276"/>
      <c r="D28" s="324" t="s">
        <v>45</v>
      </c>
      <c r="E28" s="1436" t="s">
        <v>1707</v>
      </c>
      <c r="F28" s="1437"/>
      <c r="G28" s="245"/>
      <c r="H28" s="245"/>
      <c r="I28" s="316"/>
      <c r="J28" s="274"/>
      <c r="K28" s="248"/>
    </row>
    <row r="29" spans="1:11" ht="15.75" thickBot="1">
      <c r="A29" s="245"/>
      <c r="B29" s="1392"/>
      <c r="C29" s="276"/>
      <c r="D29" s="324" t="s">
        <v>46</v>
      </c>
      <c r="E29" s="1436" t="s">
        <v>1708</v>
      </c>
      <c r="F29" s="1437"/>
      <c r="G29" s="245"/>
      <c r="H29" s="245"/>
      <c r="I29" s="316"/>
      <c r="J29" s="274"/>
      <c r="K29" s="248"/>
    </row>
    <row r="30" spans="1:11" ht="15.75" thickBot="1">
      <c r="A30" s="245"/>
      <c r="B30" s="1392"/>
      <c r="C30" s="276"/>
      <c r="D30" s="324" t="s">
        <v>47</v>
      </c>
      <c r="E30" s="1436" t="s">
        <v>1647</v>
      </c>
      <c r="F30" s="1437"/>
      <c r="G30" s="245"/>
      <c r="H30" s="245"/>
      <c r="I30" s="316"/>
      <c r="J30" s="274"/>
      <c r="K30" s="248"/>
    </row>
    <row r="31" spans="1:11" ht="15.75" thickBot="1">
      <c r="A31" s="245"/>
      <c r="B31" s="1392"/>
      <c r="C31" s="276"/>
      <c r="D31" s="324" t="s">
        <v>48</v>
      </c>
      <c r="E31" s="1436" t="s">
        <v>1673</v>
      </c>
      <c r="F31" s="1437"/>
      <c r="G31" s="245"/>
      <c r="H31" s="245"/>
      <c r="I31" s="316"/>
      <c r="J31" s="274"/>
      <c r="K31" s="248"/>
    </row>
    <row r="32" spans="1:11" ht="15.75" thickBot="1">
      <c r="A32" s="245"/>
      <c r="B32" s="1392"/>
      <c r="C32" s="276"/>
      <c r="D32" s="324" t="s">
        <v>49</v>
      </c>
      <c r="E32" s="1436" t="s">
        <v>1710</v>
      </c>
      <c r="F32" s="1437"/>
      <c r="G32" s="245"/>
      <c r="H32" s="245"/>
      <c r="I32" s="316"/>
      <c r="J32" s="274"/>
      <c r="K32" s="248"/>
    </row>
    <row r="33" spans="1:11" ht="15.75" thickBot="1">
      <c r="A33" s="245"/>
      <c r="B33" s="1393"/>
      <c r="C33" s="286"/>
      <c r="D33" s="324" t="s">
        <v>50</v>
      </c>
      <c r="E33" s="1436" t="s">
        <v>1685</v>
      </c>
      <c r="F33" s="1437"/>
      <c r="G33" s="245"/>
      <c r="H33" s="245"/>
      <c r="I33" s="325"/>
      <c r="J33" s="326"/>
      <c r="K33" s="248"/>
    </row>
    <row r="34" spans="1:11" ht="15" customHeight="1" thickBot="1">
      <c r="A34" s="245"/>
      <c r="B34" s="291" t="s">
        <v>51</v>
      </c>
      <c r="C34" s="292"/>
      <c r="D34" s="292"/>
      <c r="E34" s="292"/>
      <c r="F34" s="292"/>
      <c r="G34" s="292"/>
      <c r="H34" s="292"/>
      <c r="I34" s="320"/>
      <c r="J34" s="321"/>
      <c r="K34" s="248"/>
    </row>
    <row r="35" spans="1:11" ht="14.45" customHeight="1" thickBot="1">
      <c r="A35" s="245"/>
      <c r="B35" s="1391">
        <v>1</v>
      </c>
      <c r="C35" s="268"/>
      <c r="D35" s="327" t="s">
        <v>44</v>
      </c>
      <c r="E35" s="233" t="s">
        <v>52</v>
      </c>
      <c r="F35" s="234"/>
      <c r="G35" s="245"/>
      <c r="H35" s="245"/>
      <c r="I35" s="316"/>
      <c r="J35" s="323"/>
      <c r="K35" s="248"/>
    </row>
    <row r="36" spans="1:11" ht="15.75" thickBot="1">
      <c r="A36" s="245"/>
      <c r="B36" s="1392"/>
      <c r="C36" s="276"/>
      <c r="D36" s="328" t="s">
        <v>45</v>
      </c>
      <c r="E36" s="233" t="s">
        <v>166</v>
      </c>
      <c r="F36" s="233"/>
      <c r="G36" s="245"/>
      <c r="H36" s="245"/>
      <c r="I36" s="316"/>
      <c r="J36" s="274"/>
      <c r="K36" s="248"/>
    </row>
    <row r="37" spans="1:11" ht="15.75" thickBot="1">
      <c r="A37" s="245"/>
      <c r="B37" s="1392"/>
      <c r="C37" s="276"/>
      <c r="D37" s="328" t="s">
        <v>46</v>
      </c>
      <c r="E37" s="1438"/>
      <c r="F37" s="1439"/>
      <c r="G37" s="245"/>
      <c r="H37" s="245"/>
      <c r="I37" s="316"/>
      <c r="J37" s="274"/>
      <c r="K37" s="248"/>
    </row>
    <row r="38" spans="1:11" ht="15.75" thickBot="1">
      <c r="A38" s="245"/>
      <c r="B38" s="1392"/>
      <c r="C38" s="276"/>
      <c r="D38" s="328" t="s">
        <v>47</v>
      </c>
      <c r="E38" s="1438"/>
      <c r="F38" s="1439"/>
      <c r="G38" s="245"/>
      <c r="H38" s="245"/>
      <c r="I38" s="316"/>
      <c r="J38" s="274"/>
      <c r="K38" s="248"/>
    </row>
    <row r="39" spans="1:11" ht="15.75" thickBot="1">
      <c r="A39" s="245"/>
      <c r="B39" s="1392"/>
      <c r="C39" s="276"/>
      <c r="D39" s="328" t="s">
        <v>48</v>
      </c>
      <c r="E39" s="1438"/>
      <c r="F39" s="1439"/>
      <c r="G39" s="245"/>
      <c r="H39" s="245"/>
      <c r="I39" s="316"/>
      <c r="J39" s="274"/>
      <c r="K39" s="248"/>
    </row>
    <row r="40" spans="1:11" ht="15.75" thickBot="1">
      <c r="A40" s="245"/>
      <c r="B40" s="1392"/>
      <c r="C40" s="276"/>
      <c r="D40" s="328" t="s">
        <v>49</v>
      </c>
      <c r="E40" s="1438"/>
      <c r="F40" s="1439"/>
      <c r="G40" s="245"/>
      <c r="H40" s="245"/>
      <c r="I40" s="316"/>
      <c r="J40" s="274"/>
      <c r="K40" s="248"/>
    </row>
    <row r="41" spans="1:11" ht="15.75" thickBot="1">
      <c r="A41" s="245"/>
      <c r="B41" s="1393"/>
      <c r="C41" s="286"/>
      <c r="D41" s="328" t="s">
        <v>50</v>
      </c>
      <c r="E41" s="1438"/>
      <c r="F41" s="1439"/>
      <c r="G41" s="245"/>
      <c r="H41" s="245"/>
      <c r="I41" s="325"/>
      <c r="J41" s="326"/>
      <c r="K41" s="248"/>
    </row>
    <row r="42" spans="1:11" ht="15.75" thickBot="1">
      <c r="A42" s="245"/>
      <c r="B42" s="329"/>
      <c r="C42" s="330"/>
      <c r="D42" s="331"/>
      <c r="E42" s="331"/>
      <c r="F42" s="331"/>
      <c r="G42" s="320"/>
      <c r="H42" s="320"/>
      <c r="I42" s="320"/>
      <c r="J42" s="321"/>
      <c r="K42" s="248"/>
    </row>
    <row r="43" spans="1:11" ht="15.75" thickBot="1">
      <c r="A43" s="245"/>
      <c r="B43" s="1388" t="s">
        <v>54</v>
      </c>
      <c r="C43" s="1389"/>
      <c r="D43" s="1389"/>
      <c r="E43" s="1389"/>
      <c r="F43" s="1389"/>
      <c r="G43" s="1389"/>
      <c r="H43" s="1389"/>
      <c r="I43" s="1390"/>
      <c r="J43" s="321"/>
      <c r="K43" s="248"/>
    </row>
    <row r="44" spans="1:11" ht="24" customHeight="1" thickBot="1">
      <c r="A44" s="245"/>
      <c r="B44" s="1400" t="s">
        <v>55</v>
      </c>
      <c r="C44" s="1401"/>
      <c r="D44" s="1402"/>
      <c r="E44" s="275" t="s">
        <v>56</v>
      </c>
      <c r="F44" s="1400" t="s">
        <v>57</v>
      </c>
      <c r="G44" s="1402"/>
      <c r="H44" s="1400" t="s">
        <v>58</v>
      </c>
      <c r="I44" s="1402"/>
      <c r="J44" s="281"/>
      <c r="K44" s="248"/>
    </row>
    <row r="45" spans="1:11" ht="108" customHeight="1" thickBot="1">
      <c r="A45" s="245"/>
      <c r="B45" s="1442">
        <v>42401</v>
      </c>
      <c r="C45" s="1443"/>
      <c r="D45" s="1444"/>
      <c r="E45" s="275">
        <v>0.01</v>
      </c>
      <c r="F45" s="1445" t="s">
        <v>227</v>
      </c>
      <c r="G45" s="1446"/>
      <c r="H45" s="1400"/>
      <c r="I45" s="1402"/>
      <c r="J45" s="284"/>
      <c r="K45" s="248"/>
    </row>
    <row r="46" spans="1:11">
      <c r="A46" s="245"/>
      <c r="B46" s="333"/>
      <c r="C46" s="334"/>
      <c r="D46" s="333"/>
      <c r="E46" s="333"/>
      <c r="F46" s="333"/>
      <c r="G46" s="333"/>
      <c r="H46" s="333"/>
      <c r="I46" s="333"/>
      <c r="J46" s="248"/>
      <c r="K46" s="248"/>
    </row>
    <row r="47" spans="1:11" ht="15.75" thickBot="1">
      <c r="A47" s="245"/>
      <c r="B47" s="249"/>
      <c r="C47" s="250"/>
      <c r="D47" s="248"/>
      <c r="E47" s="248"/>
      <c r="F47" s="248"/>
      <c r="G47" s="248"/>
      <c r="H47" s="248"/>
      <c r="I47" s="248"/>
      <c r="J47" s="248"/>
      <c r="K47" s="248"/>
    </row>
    <row r="48" spans="1:11" ht="15.75" thickBot="1">
      <c r="A48" s="245"/>
      <c r="B48" s="335" t="s">
        <v>60</v>
      </c>
      <c r="C48" s="298"/>
      <c r="D48" s="248"/>
      <c r="E48" s="248"/>
      <c r="F48" s="248"/>
      <c r="G48" s="248"/>
      <c r="H48" s="248"/>
      <c r="I48" s="248"/>
      <c r="J48" s="248"/>
      <c r="K48" s="248"/>
    </row>
    <row r="49" spans="1:11">
      <c r="A49" s="245"/>
      <c r="B49" s="1440"/>
      <c r="C49" s="1441"/>
      <c r="D49" s="1441"/>
      <c r="E49" s="1441"/>
      <c r="F49" s="1441"/>
      <c r="G49" s="1441"/>
      <c r="H49" s="1441"/>
      <c r="I49" s="1441"/>
      <c r="J49" s="1441"/>
      <c r="K49" s="248"/>
    </row>
    <row r="50" spans="1:11">
      <c r="A50" s="245"/>
      <c r="B50" s="1440"/>
      <c r="C50" s="1441"/>
      <c r="D50" s="1441"/>
      <c r="E50" s="1441"/>
      <c r="F50" s="1441"/>
      <c r="G50" s="1441"/>
      <c r="H50" s="1441"/>
      <c r="I50" s="1441"/>
      <c r="J50" s="1441"/>
      <c r="K50" s="248"/>
    </row>
    <row r="51" spans="1:11">
      <c r="A51" s="245"/>
      <c r="B51" s="249"/>
      <c r="C51" s="250"/>
      <c r="D51" s="248"/>
      <c r="E51" s="248"/>
      <c r="F51" s="248"/>
      <c r="G51" s="248"/>
      <c r="H51" s="248"/>
      <c r="I51" s="248"/>
      <c r="J51" s="248"/>
      <c r="K51" s="248"/>
    </row>
    <row r="52" spans="1:11" ht="15.75" thickBot="1">
      <c r="A52" s="245"/>
      <c r="B52" s="248"/>
      <c r="C52" s="265"/>
      <c r="D52" s="248"/>
      <c r="E52" s="248"/>
      <c r="F52" s="248"/>
      <c r="G52" s="248"/>
      <c r="H52" s="248"/>
      <c r="I52" s="248"/>
      <c r="J52" s="248"/>
      <c r="K52" s="248"/>
    </row>
    <row r="53" spans="1:11" ht="24.75" thickBot="1">
      <c r="A53" s="245"/>
      <c r="B53" s="310" t="s">
        <v>61</v>
      </c>
      <c r="C53" s="311"/>
      <c r="D53" s="248"/>
      <c r="E53" s="248"/>
      <c r="F53" s="248"/>
      <c r="G53" s="248"/>
      <c r="H53" s="248"/>
      <c r="I53" s="248"/>
      <c r="J53" s="248"/>
      <c r="K53" s="248"/>
    </row>
    <row r="54" spans="1:11" ht="15.75" thickBot="1">
      <c r="A54" s="245"/>
      <c r="B54" s="249"/>
      <c r="C54" s="250"/>
      <c r="D54" s="248"/>
      <c r="E54" s="248"/>
      <c r="F54" s="248"/>
      <c r="G54" s="248"/>
      <c r="H54" s="248"/>
      <c r="I54" s="248"/>
      <c r="J54" s="248"/>
      <c r="K54" s="248"/>
    </row>
    <row r="55" spans="1:11" ht="72.75" thickBot="1">
      <c r="A55" s="245"/>
      <c r="B55" s="299" t="s">
        <v>62</v>
      </c>
      <c r="C55" s="279"/>
      <c r="D55" s="273" t="s">
        <v>208</v>
      </c>
      <c r="E55" s="248"/>
      <c r="F55" s="248"/>
      <c r="G55" s="248"/>
      <c r="H55" s="248"/>
      <c r="I55" s="248"/>
      <c r="J55" s="248"/>
      <c r="K55" s="248"/>
    </row>
    <row r="56" spans="1:11">
      <c r="A56" s="245"/>
      <c r="B56" s="1391" t="s">
        <v>64</v>
      </c>
      <c r="C56" s="272"/>
      <c r="D56" s="312" t="s">
        <v>65</v>
      </c>
      <c r="E56" s="248"/>
      <c r="F56" s="248"/>
      <c r="G56" s="248"/>
      <c r="H56" s="248"/>
      <c r="I56" s="248"/>
      <c r="J56" s="248"/>
      <c r="K56" s="248"/>
    </row>
    <row r="57" spans="1:11" ht="60">
      <c r="A57" s="245"/>
      <c r="B57" s="1392"/>
      <c r="C57" s="272"/>
      <c r="D57" s="313" t="s">
        <v>209</v>
      </c>
      <c r="E57" s="248"/>
      <c r="F57" s="248"/>
      <c r="G57" s="248"/>
      <c r="H57" s="248"/>
      <c r="I57" s="248"/>
      <c r="J57" s="248"/>
      <c r="K57" s="248"/>
    </row>
    <row r="58" spans="1:11">
      <c r="A58" s="245"/>
      <c r="B58" s="1392"/>
      <c r="C58" s="272"/>
      <c r="D58" s="312" t="s">
        <v>139</v>
      </c>
      <c r="E58" s="248"/>
      <c r="F58" s="248"/>
      <c r="G58" s="248"/>
      <c r="H58" s="248"/>
      <c r="I58" s="248"/>
      <c r="J58" s="248"/>
      <c r="K58" s="248"/>
    </row>
    <row r="59" spans="1:11">
      <c r="A59" s="245"/>
      <c r="B59" s="1392"/>
      <c r="C59" s="272"/>
      <c r="D59" s="313" t="s">
        <v>69</v>
      </c>
      <c r="E59" s="248"/>
      <c r="F59" s="248"/>
      <c r="G59" s="248"/>
      <c r="H59" s="248"/>
      <c r="I59" s="248"/>
      <c r="J59" s="248"/>
      <c r="K59" s="248"/>
    </row>
    <row r="60" spans="1:11">
      <c r="A60" s="245"/>
      <c r="B60" s="1392"/>
      <c r="C60" s="272"/>
      <c r="D60" s="313" t="s">
        <v>171</v>
      </c>
      <c r="E60" s="248"/>
      <c r="F60" s="248"/>
      <c r="G60" s="248"/>
      <c r="H60" s="248"/>
      <c r="I60" s="248"/>
      <c r="J60" s="248"/>
      <c r="K60" s="248"/>
    </row>
    <row r="61" spans="1:11">
      <c r="A61" s="245"/>
      <c r="B61" s="1392"/>
      <c r="C61" s="272"/>
      <c r="D61" s="313" t="s">
        <v>210</v>
      </c>
      <c r="E61" s="248"/>
      <c r="F61" s="248"/>
      <c r="G61" s="248"/>
      <c r="H61" s="248"/>
      <c r="I61" s="248"/>
      <c r="J61" s="248"/>
      <c r="K61" s="248"/>
    </row>
    <row r="62" spans="1:11">
      <c r="A62" s="245"/>
      <c r="B62" s="1392"/>
      <c r="C62" s="272"/>
      <c r="D62" s="313" t="s">
        <v>211</v>
      </c>
      <c r="E62" s="248"/>
      <c r="F62" s="248"/>
      <c r="G62" s="248"/>
      <c r="H62" s="248"/>
      <c r="I62" s="248"/>
      <c r="J62" s="248"/>
      <c r="K62" s="248"/>
    </row>
    <row r="63" spans="1:11" ht="24">
      <c r="A63" s="245"/>
      <c r="B63" s="1392"/>
      <c r="C63" s="272"/>
      <c r="D63" s="313" t="s">
        <v>212</v>
      </c>
      <c r="E63" s="248"/>
      <c r="F63" s="248"/>
      <c r="G63" s="248"/>
      <c r="H63" s="248"/>
      <c r="I63" s="248"/>
      <c r="J63" s="248"/>
      <c r="K63" s="248"/>
    </row>
    <row r="64" spans="1:11">
      <c r="A64" s="245"/>
      <c r="B64" s="1392"/>
      <c r="C64" s="272"/>
      <c r="D64" s="312" t="s">
        <v>146</v>
      </c>
      <c r="E64" s="248"/>
      <c r="F64" s="248"/>
      <c r="G64" s="248"/>
      <c r="H64" s="248"/>
      <c r="I64" s="248"/>
      <c r="J64" s="248"/>
      <c r="K64" s="248"/>
    </row>
    <row r="65" spans="1:11" ht="15.75" thickBot="1">
      <c r="A65" s="245"/>
      <c r="B65" s="1393"/>
      <c r="C65" s="282"/>
      <c r="D65" s="307"/>
      <c r="E65" s="248"/>
      <c r="F65" s="248"/>
      <c r="G65" s="248"/>
      <c r="H65" s="248"/>
      <c r="I65" s="248"/>
      <c r="J65" s="248"/>
      <c r="K65" s="248"/>
    </row>
    <row r="66" spans="1:11" ht="24.75" thickBot="1">
      <c r="A66" s="245"/>
      <c r="B66" s="285" t="s">
        <v>77</v>
      </c>
      <c r="C66" s="282"/>
      <c r="D66" s="275"/>
      <c r="E66" s="248"/>
      <c r="F66" s="248"/>
      <c r="G66" s="248"/>
      <c r="H66" s="248"/>
      <c r="I66" s="248"/>
      <c r="J66" s="248"/>
      <c r="K66" s="248"/>
    </row>
    <row r="67" spans="1:11" ht="156">
      <c r="A67" s="245"/>
      <c r="B67" s="1391" t="s">
        <v>78</v>
      </c>
      <c r="C67" s="272"/>
      <c r="D67" s="313" t="s">
        <v>213</v>
      </c>
      <c r="E67" s="248"/>
      <c r="F67" s="248"/>
      <c r="G67" s="248"/>
      <c r="H67" s="248"/>
      <c r="I67" s="248"/>
      <c r="J67" s="248"/>
      <c r="K67" s="248"/>
    </row>
    <row r="68" spans="1:11" ht="132">
      <c r="A68" s="245"/>
      <c r="B68" s="1392"/>
      <c r="C68" s="272"/>
      <c r="D68" s="313" t="s">
        <v>214</v>
      </c>
      <c r="E68" s="248"/>
      <c r="F68" s="248"/>
      <c r="G68" s="248"/>
      <c r="H68" s="248"/>
      <c r="I68" s="248"/>
      <c r="J68" s="248"/>
      <c r="K68" s="248"/>
    </row>
    <row r="69" spans="1:11" ht="216">
      <c r="A69" s="245"/>
      <c r="B69" s="1392"/>
      <c r="C69" s="272"/>
      <c r="D69" s="313" t="s">
        <v>215</v>
      </c>
      <c r="E69" s="248"/>
      <c r="F69" s="248"/>
      <c r="G69" s="248"/>
      <c r="H69" s="248"/>
      <c r="I69" s="248"/>
      <c r="J69" s="248"/>
      <c r="K69" s="248"/>
    </row>
    <row r="70" spans="1:11" ht="72">
      <c r="A70" s="245"/>
      <c r="B70" s="1392"/>
      <c r="C70" s="272"/>
      <c r="D70" s="313" t="s">
        <v>216</v>
      </c>
      <c r="E70" s="248"/>
      <c r="F70" s="248"/>
      <c r="G70" s="248"/>
      <c r="H70" s="248"/>
      <c r="I70" s="248"/>
      <c r="J70" s="248"/>
      <c r="K70" s="248"/>
    </row>
    <row r="71" spans="1:11" ht="15.75" thickBot="1">
      <c r="A71" s="245"/>
      <c r="B71" s="1393"/>
      <c r="C71" s="282"/>
      <c r="D71" s="275"/>
      <c r="E71" s="248"/>
      <c r="F71" s="248"/>
      <c r="G71" s="248"/>
      <c r="H71" s="248"/>
      <c r="I71" s="248"/>
      <c r="J71" s="248"/>
      <c r="K71" s="248"/>
    </row>
    <row r="72" spans="1:11">
      <c r="A72" s="245"/>
      <c r="B72" s="1391" t="s">
        <v>95</v>
      </c>
      <c r="C72" s="272"/>
      <c r="D72" s="313"/>
      <c r="E72" s="248"/>
      <c r="F72" s="248"/>
      <c r="G72" s="248"/>
      <c r="H72" s="248"/>
      <c r="I72" s="248"/>
      <c r="J72" s="248"/>
      <c r="K72" s="248"/>
    </row>
    <row r="73" spans="1:11">
      <c r="A73" s="245"/>
      <c r="B73" s="1392"/>
      <c r="C73" s="272"/>
      <c r="D73" s="314"/>
      <c r="E73" s="248"/>
      <c r="F73" s="248"/>
      <c r="G73" s="248"/>
      <c r="H73" s="248"/>
      <c r="I73" s="248"/>
      <c r="J73" s="248"/>
      <c r="K73" s="248"/>
    </row>
    <row r="74" spans="1:11">
      <c r="A74" s="245"/>
      <c r="B74" s="1392"/>
      <c r="C74" s="272"/>
      <c r="D74" s="313" t="s">
        <v>96</v>
      </c>
      <c r="E74" s="248"/>
      <c r="F74" s="248"/>
      <c r="G74" s="248"/>
      <c r="H74" s="248"/>
      <c r="I74" s="248"/>
      <c r="J74" s="248"/>
      <c r="K74" s="248"/>
    </row>
    <row r="75" spans="1:11" ht="37.5">
      <c r="A75" s="245"/>
      <c r="B75" s="1392"/>
      <c r="C75" s="272"/>
      <c r="D75" s="313" t="s">
        <v>217</v>
      </c>
      <c r="E75" s="248"/>
      <c r="F75" s="248"/>
      <c r="G75" s="248"/>
      <c r="H75" s="248"/>
      <c r="I75" s="248"/>
      <c r="J75" s="248"/>
      <c r="K75" s="248"/>
    </row>
    <row r="76" spans="1:11" ht="37.5">
      <c r="A76" s="245"/>
      <c r="B76" s="1392"/>
      <c r="C76" s="272"/>
      <c r="D76" s="313" t="s">
        <v>218</v>
      </c>
      <c r="E76" s="248"/>
      <c r="F76" s="248"/>
      <c r="G76" s="248"/>
      <c r="H76" s="248"/>
      <c r="I76" s="248"/>
      <c r="J76" s="248"/>
      <c r="K76" s="248"/>
    </row>
    <row r="77" spans="1:11" ht="37.5">
      <c r="A77" s="245"/>
      <c r="B77" s="1392"/>
      <c r="C77" s="272"/>
      <c r="D77" s="313" t="s">
        <v>219</v>
      </c>
      <c r="E77" s="248"/>
      <c r="F77" s="248"/>
      <c r="G77" s="248"/>
      <c r="H77" s="248"/>
      <c r="I77" s="248"/>
      <c r="J77" s="248"/>
      <c r="K77" s="248"/>
    </row>
    <row r="78" spans="1:11" ht="48.75" thickBot="1">
      <c r="A78" s="245"/>
      <c r="B78" s="1393"/>
      <c r="C78" s="282"/>
      <c r="D78" s="275" t="s">
        <v>220</v>
      </c>
      <c r="E78" s="248"/>
      <c r="F78" s="248"/>
      <c r="G78" s="248"/>
      <c r="H78" s="248"/>
      <c r="I78" s="248"/>
      <c r="J78" s="248"/>
      <c r="K78" s="248"/>
    </row>
  </sheetData>
  <sheetProtection sheet="1" objects="1" scenarios="1" insertColumns="0" insertRows="0"/>
  <mergeCells count="40">
    <mergeCell ref="A1:P1"/>
    <mergeCell ref="A2:P2"/>
    <mergeCell ref="A3:P3"/>
    <mergeCell ref="A4:D4"/>
    <mergeCell ref="A5:P5"/>
    <mergeCell ref="B49:J50"/>
    <mergeCell ref="B45:D45"/>
    <mergeCell ref="F45:G45"/>
    <mergeCell ref="H45:I45"/>
    <mergeCell ref="E41:F41"/>
    <mergeCell ref="B43:I43"/>
    <mergeCell ref="B44:D44"/>
    <mergeCell ref="F44:G44"/>
    <mergeCell ref="H44:I44"/>
    <mergeCell ref="E40:F40"/>
    <mergeCell ref="E33:F33"/>
    <mergeCell ref="B35:B41"/>
    <mergeCell ref="E37:F37"/>
    <mergeCell ref="B27:B33"/>
    <mergeCell ref="B56:B65"/>
    <mergeCell ref="B67:B71"/>
    <mergeCell ref="B72:B78"/>
    <mergeCell ref="B15:B22"/>
    <mergeCell ref="D15:J15"/>
    <mergeCell ref="D18:J18"/>
    <mergeCell ref="E30:F30"/>
    <mergeCell ref="E31:F31"/>
    <mergeCell ref="E32:F32"/>
    <mergeCell ref="D23:J23"/>
    <mergeCell ref="D24:J24"/>
    <mergeCell ref="E27:F27"/>
    <mergeCell ref="E28:F28"/>
    <mergeCell ref="E29:F29"/>
    <mergeCell ref="E38:F38"/>
    <mergeCell ref="E39:F39"/>
    <mergeCell ref="B10:D10"/>
    <mergeCell ref="F10:S10"/>
    <mergeCell ref="F11:S11"/>
    <mergeCell ref="E12:R12"/>
    <mergeCell ref="E13:R13"/>
  </mergeCells>
  <conditionalFormatting sqref="F10">
    <cfRule type="notContainsBlanks" dxfId="112" priority="4">
      <formula>LEN(TRIM(F10))&gt;0</formula>
    </cfRule>
  </conditionalFormatting>
  <conditionalFormatting sqref="F11:S11">
    <cfRule type="expression" dxfId="111" priority="2">
      <formula>E11="NO SE REPORTA"</formula>
    </cfRule>
    <cfRule type="expression" dxfId="110" priority="3">
      <formula>E10="NO APLICA"</formula>
    </cfRule>
  </conditionalFormatting>
  <conditionalFormatting sqref="E12:R12">
    <cfRule type="expression" dxfId="109" priority="1">
      <formula>E11="SI SE REPORTA"</formula>
    </cfRule>
  </conditionalFormatting>
  <dataValidations count="3">
    <dataValidation type="whole" operator="greaterThanOrEqual" allowBlank="1" showErrorMessage="1" errorTitle="ERROR" error="Escriba un número igual o mayor que 0" promptTitle="ERROR" prompt="Escriba un número igual o mayor que 0" sqref="E16:E17 E20:H21">
      <formula1>0</formula1>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7"/>
  <sheetViews>
    <sheetView showGridLines="0" topLeftCell="A22" zoomScale="98" zoomScaleNormal="98" workbookViewId="0">
      <selection activeCell="A22" sqref="A1:XFD1048576"/>
    </sheetView>
  </sheetViews>
  <sheetFormatPr baseColWidth="10" defaultRowHeight="15"/>
  <cols>
    <col min="1" max="1" width="1.85546875" customWidth="1"/>
    <col min="2" max="2" width="12.85546875" customWidth="1"/>
    <col min="3" max="3" width="5" style="88" bestFit="1" customWidth="1"/>
    <col min="4" max="4" width="34.85546875" customWidth="1"/>
    <col min="5" max="5" width="12.140625" customWidth="1"/>
  </cols>
  <sheetData>
    <row r="1" spans="1:21" s="551" customFormat="1" ht="100.5" customHeight="1" thickBot="1">
      <c r="A1" s="1344"/>
      <c r="B1" s="1345"/>
      <c r="C1" s="1345"/>
      <c r="D1" s="1345"/>
      <c r="E1" s="1345"/>
      <c r="F1" s="1345"/>
      <c r="G1" s="1345"/>
      <c r="H1" s="1345"/>
      <c r="I1" s="1345"/>
      <c r="J1" s="1345"/>
      <c r="K1" s="1345"/>
      <c r="L1" s="1345"/>
      <c r="M1" s="1345"/>
      <c r="N1" s="1345"/>
      <c r="O1" s="1345"/>
      <c r="P1" s="1346"/>
      <c r="Q1" s="413"/>
      <c r="R1" s="413"/>
    </row>
    <row r="2" spans="1:21" s="552" customFormat="1" ht="16.5" thickBot="1">
      <c r="A2" s="1352" t="str">
        <f>'Datos Generales'!C5</f>
        <v>Corporación Autónoma Regional de La Guajira – CORPOGUAJIRA</v>
      </c>
      <c r="B2" s="1353"/>
      <c r="C2" s="1353"/>
      <c r="D2" s="1353"/>
      <c r="E2" s="1353"/>
      <c r="F2" s="1353"/>
      <c r="G2" s="1353"/>
      <c r="H2" s="1353"/>
      <c r="I2" s="1353"/>
      <c r="J2" s="1353"/>
      <c r="K2" s="1353"/>
      <c r="L2" s="1353"/>
      <c r="M2" s="1353"/>
      <c r="N2" s="1353"/>
      <c r="O2" s="1353"/>
      <c r="P2" s="1354"/>
      <c r="Q2" s="413"/>
      <c r="R2" s="413"/>
    </row>
    <row r="3" spans="1:21" s="552" customFormat="1" ht="16.5" thickBot="1">
      <c r="A3" s="1347" t="s">
        <v>1419</v>
      </c>
      <c r="B3" s="1348"/>
      <c r="C3" s="1348"/>
      <c r="D3" s="1348"/>
      <c r="E3" s="1348"/>
      <c r="F3" s="1348"/>
      <c r="G3" s="1348"/>
      <c r="H3" s="1348"/>
      <c r="I3" s="1348"/>
      <c r="J3" s="1348"/>
      <c r="K3" s="1348"/>
      <c r="L3" s="1348"/>
      <c r="M3" s="1348"/>
      <c r="N3" s="1348"/>
      <c r="O3" s="1348"/>
      <c r="P3" s="1349"/>
      <c r="Q3" s="413"/>
      <c r="R3" s="413"/>
    </row>
    <row r="4" spans="1:21" s="552" customFormat="1" ht="16.5" thickBot="1">
      <c r="A4" s="1350" t="s">
        <v>1418</v>
      </c>
      <c r="B4" s="1351"/>
      <c r="C4" s="1351"/>
      <c r="D4" s="1351"/>
      <c r="E4" s="571" t="str">
        <f>'Datos Generales'!C6</f>
        <v>2016-II</v>
      </c>
      <c r="F4" s="571"/>
      <c r="G4" s="571"/>
      <c r="H4" s="571"/>
      <c r="I4" s="571"/>
      <c r="J4" s="571"/>
      <c r="K4" s="571"/>
      <c r="L4" s="572"/>
      <c r="M4" s="572"/>
      <c r="N4" s="572"/>
      <c r="O4" s="572"/>
      <c r="P4" s="573"/>
      <c r="Q4" s="413"/>
      <c r="R4" s="413"/>
    </row>
    <row r="5" spans="1:21" s="245" customFormat="1" ht="16.5" customHeight="1" thickBot="1">
      <c r="A5" s="1347" t="s">
        <v>228</v>
      </c>
      <c r="B5" s="1348"/>
      <c r="C5" s="1348"/>
      <c r="D5" s="1348"/>
      <c r="E5" s="1348"/>
      <c r="F5" s="1348"/>
      <c r="G5" s="1348"/>
      <c r="H5" s="1348"/>
      <c r="I5" s="1348"/>
      <c r="J5" s="1348"/>
      <c r="K5" s="1348"/>
      <c r="L5" s="1348"/>
      <c r="M5" s="1348"/>
      <c r="N5" s="1348"/>
      <c r="O5" s="1348"/>
      <c r="P5" s="1349"/>
    </row>
    <row r="6" spans="1:21">
      <c r="B6" s="2" t="s">
        <v>1</v>
      </c>
      <c r="C6" s="77"/>
      <c r="D6" s="6"/>
      <c r="E6" s="75"/>
      <c r="F6" s="6" t="s">
        <v>133</v>
      </c>
      <c r="G6" s="6"/>
      <c r="H6" s="6"/>
      <c r="I6" s="6"/>
      <c r="J6" s="6"/>
      <c r="K6" s="6"/>
    </row>
    <row r="7" spans="1:21" ht="15.75" thickBot="1">
      <c r="B7" s="76"/>
      <c r="C7" s="78"/>
      <c r="D7" s="6"/>
      <c r="E7" s="18"/>
      <c r="F7" s="6" t="s">
        <v>134</v>
      </c>
      <c r="G7" s="6"/>
      <c r="H7" s="6"/>
      <c r="I7" s="6"/>
      <c r="J7" s="6"/>
      <c r="K7" s="6"/>
    </row>
    <row r="8" spans="1:21" ht="15.75" thickBot="1">
      <c r="B8" s="178" t="s">
        <v>1204</v>
      </c>
      <c r="C8" s="222">
        <v>2017</v>
      </c>
      <c r="D8" s="226">
        <f>IF(E10="NO APLICA","NO APLICA",IF(E11="NO SE REPORTA","SIN INFORMACION",))+F27</f>
        <v>0.75</v>
      </c>
      <c r="E8" s="223"/>
      <c r="F8" s="6" t="s">
        <v>135</v>
      </c>
      <c r="G8" s="6"/>
      <c r="H8" s="6"/>
      <c r="I8" s="6"/>
      <c r="J8" s="6"/>
      <c r="K8" s="6"/>
    </row>
    <row r="9" spans="1:21">
      <c r="B9" s="507" t="s">
        <v>1205</v>
      </c>
      <c r="C9" s="89"/>
      <c r="D9" s="6"/>
      <c r="E9" s="6"/>
      <c r="F9" s="6"/>
      <c r="G9" s="6"/>
      <c r="H9" s="6"/>
      <c r="I9" s="6"/>
      <c r="J9" s="6"/>
      <c r="K9" s="6"/>
    </row>
    <row r="10" spans="1:21" s="413" customFormat="1">
      <c r="A10" s="245"/>
      <c r="B10" s="1412" t="s">
        <v>1265</v>
      </c>
      <c r="C10" s="1412"/>
      <c r="D10" s="1412"/>
      <c r="E10" s="513" t="s">
        <v>1262</v>
      </c>
      <c r="F10" s="1419"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420"/>
      <c r="H10" s="1420"/>
      <c r="I10" s="1420"/>
      <c r="J10" s="1420"/>
      <c r="K10" s="1420"/>
      <c r="L10" s="1420"/>
      <c r="M10" s="1420"/>
      <c r="N10" s="1420"/>
      <c r="O10" s="1420"/>
      <c r="P10" s="1420"/>
      <c r="Q10" s="1420"/>
      <c r="R10" s="1420"/>
      <c r="S10" s="1420"/>
      <c r="T10" s="509"/>
      <c r="U10" s="509"/>
    </row>
    <row r="11" spans="1:21" s="413" customFormat="1" ht="14.45" customHeight="1">
      <c r="A11" s="245"/>
      <c r="B11" s="510"/>
      <c r="C11" s="511"/>
      <c r="D11" s="512" t="str">
        <f>IF(E10="SI APLICA","¿El indicador no se reporta por limitaciones de información disponible? ","")</f>
        <v xml:space="preserve">¿El indicador no se reporta por limitaciones de información disponible? </v>
      </c>
      <c r="E11" s="514" t="s">
        <v>1264</v>
      </c>
      <c r="F11" s="1413"/>
      <c r="G11" s="1414"/>
      <c r="H11" s="1414"/>
      <c r="I11" s="1414"/>
      <c r="J11" s="1414"/>
      <c r="K11" s="1414"/>
      <c r="L11" s="1414"/>
      <c r="M11" s="1414"/>
      <c r="N11" s="1414"/>
      <c r="O11" s="1414"/>
      <c r="P11" s="1414"/>
      <c r="Q11" s="1414"/>
      <c r="R11" s="1414"/>
      <c r="S11" s="1414"/>
    </row>
    <row r="12" spans="1:21" s="413" customFormat="1" ht="23.45" customHeight="1">
      <c r="A12" s="245"/>
      <c r="B12" s="507"/>
      <c r="C12" s="304"/>
      <c r="D12" s="512" t="str">
        <f>IF(E11="SI SE REPORTA","¿Qué programas o proyectos del Plan de Acción están asociados al indicador? ","")</f>
        <v xml:space="preserve">¿Qué programas o proyectos del Plan de Acción están asociados al indicador? </v>
      </c>
      <c r="E12" s="1415" t="str">
        <f>'Anexo 1 Matriz Inf Gestión'!E49:H49</f>
        <v>Proyecto No 3.1. Ecosistemas estratégicos continentales y marinos (6).</v>
      </c>
      <c r="F12" s="1415"/>
      <c r="G12" s="1415"/>
      <c r="H12" s="1415"/>
      <c r="I12" s="1415"/>
      <c r="J12" s="1415"/>
      <c r="K12" s="1415"/>
      <c r="L12" s="1415"/>
      <c r="M12" s="1415"/>
      <c r="N12" s="1415"/>
      <c r="O12" s="1415"/>
      <c r="P12" s="1415"/>
      <c r="Q12" s="1415"/>
      <c r="R12" s="1415"/>
    </row>
    <row r="13" spans="1:21" s="413" customFormat="1" ht="21.95" customHeight="1">
      <c r="A13" s="245"/>
      <c r="B13" s="507"/>
      <c r="C13" s="304"/>
      <c r="D13" s="512" t="s">
        <v>1267</v>
      </c>
      <c r="E13" s="1416"/>
      <c r="F13" s="1417"/>
      <c r="G13" s="1417"/>
      <c r="H13" s="1417"/>
      <c r="I13" s="1417"/>
      <c r="J13" s="1417"/>
      <c r="K13" s="1417"/>
      <c r="L13" s="1417"/>
      <c r="M13" s="1417"/>
      <c r="N13" s="1417"/>
      <c r="O13" s="1417"/>
      <c r="P13" s="1417"/>
      <c r="Q13" s="1417"/>
      <c r="R13" s="1418"/>
    </row>
    <row r="14" spans="1:21" s="413" customFormat="1" ht="6.95" customHeight="1" thickBot="1">
      <c r="B14" s="507"/>
      <c r="C14" s="89"/>
      <c r="D14" s="6"/>
      <c r="E14" s="6"/>
      <c r="F14" s="6"/>
      <c r="G14" s="6"/>
      <c r="H14" s="6"/>
      <c r="I14" s="6"/>
      <c r="J14" s="6"/>
      <c r="K14" s="6"/>
    </row>
    <row r="15" spans="1:21" ht="15" customHeight="1" thickTop="1">
      <c r="B15" s="1456" t="s">
        <v>2</v>
      </c>
      <c r="C15" s="90"/>
      <c r="D15" s="1458" t="s">
        <v>3</v>
      </c>
      <c r="E15" s="1459"/>
      <c r="F15" s="1459"/>
      <c r="G15" s="1459"/>
      <c r="H15" s="1459"/>
      <c r="I15" s="1459"/>
      <c r="J15" s="1459"/>
      <c r="K15" s="1460"/>
    </row>
    <row r="16" spans="1:21" ht="15.75" thickBot="1">
      <c r="B16" s="1457"/>
      <c r="C16" s="93"/>
      <c r="D16" s="1461" t="s">
        <v>260</v>
      </c>
      <c r="E16" s="1462"/>
      <c r="F16" s="1462"/>
      <c r="G16" s="1462"/>
      <c r="H16" s="1462"/>
      <c r="I16" s="1462"/>
      <c r="J16" s="1462"/>
      <c r="K16" s="1463"/>
    </row>
    <row r="17" spans="2:11" ht="15.75" thickBot="1">
      <c r="B17" s="1457"/>
      <c r="C17" s="99" t="s">
        <v>24</v>
      </c>
      <c r="D17" s="39" t="s">
        <v>261</v>
      </c>
      <c r="E17" s="39" t="s">
        <v>25</v>
      </c>
      <c r="F17" s="39" t="s">
        <v>26</v>
      </c>
      <c r="G17" s="39" t="s">
        <v>27</v>
      </c>
      <c r="H17" s="39" t="s">
        <v>28</v>
      </c>
      <c r="I17" s="234"/>
      <c r="K17" s="22"/>
    </row>
    <row r="18" spans="2:11" ht="15.75" thickBot="1">
      <c r="B18" s="1457"/>
      <c r="C18" s="3" t="s">
        <v>158</v>
      </c>
      <c r="D18" s="40" t="s">
        <v>263</v>
      </c>
      <c r="E18" s="217">
        <v>4</v>
      </c>
      <c r="F18" s="217">
        <v>4</v>
      </c>
      <c r="G18" s="217"/>
      <c r="H18" s="217"/>
      <c r="I18" s="341"/>
      <c r="K18" s="22"/>
    </row>
    <row r="19" spans="2:11" ht="15.75" thickBot="1">
      <c r="B19" s="1457"/>
      <c r="C19" s="3" t="s">
        <v>160</v>
      </c>
      <c r="D19" s="40" t="s">
        <v>264</v>
      </c>
      <c r="E19" s="217">
        <v>4</v>
      </c>
      <c r="F19" s="217">
        <v>2</v>
      </c>
      <c r="G19" s="217"/>
      <c r="H19" s="217"/>
      <c r="I19" s="341"/>
      <c r="K19" s="22"/>
    </row>
    <row r="20" spans="2:11" ht="15.75" thickBot="1">
      <c r="B20" s="1457"/>
      <c r="C20" s="3" t="s">
        <v>162</v>
      </c>
      <c r="D20" s="40" t="s">
        <v>265</v>
      </c>
      <c r="E20" s="217">
        <v>1</v>
      </c>
      <c r="F20" s="217">
        <v>1</v>
      </c>
      <c r="G20" s="217"/>
      <c r="H20" s="217"/>
      <c r="I20" s="341"/>
      <c r="K20" s="22"/>
    </row>
    <row r="21" spans="2:11" ht="15.75" thickBot="1">
      <c r="B21" s="1457"/>
      <c r="C21" s="3" t="s">
        <v>266</v>
      </c>
      <c r="D21" s="40" t="s">
        <v>267</v>
      </c>
      <c r="E21" s="217">
        <v>1</v>
      </c>
      <c r="F21" s="217">
        <v>1</v>
      </c>
      <c r="G21" s="217"/>
      <c r="H21" s="217"/>
      <c r="I21" s="341"/>
      <c r="K21" s="22"/>
    </row>
    <row r="22" spans="2:11" ht="15.75" thickBot="1">
      <c r="B22" s="1457"/>
      <c r="C22" s="3" t="s">
        <v>268</v>
      </c>
      <c r="D22" s="40" t="s">
        <v>269</v>
      </c>
      <c r="E22" s="217">
        <v>0</v>
      </c>
      <c r="F22" s="217">
        <v>0</v>
      </c>
      <c r="G22" s="217"/>
      <c r="H22" s="217"/>
      <c r="I22" s="341"/>
      <c r="K22" s="22"/>
    </row>
    <row r="23" spans="2:11" ht="15.75" thickBot="1">
      <c r="B23" s="1457"/>
      <c r="C23" s="3" t="s">
        <v>270</v>
      </c>
      <c r="D23" s="40" t="s">
        <v>271</v>
      </c>
      <c r="E23" s="217">
        <v>0</v>
      </c>
      <c r="F23" s="217">
        <v>0</v>
      </c>
      <c r="G23" s="217"/>
      <c r="H23" s="217"/>
      <c r="I23" s="341"/>
      <c r="K23" s="22"/>
    </row>
    <row r="24" spans="2:11" ht="15.75" thickBot="1">
      <c r="B24" s="1457"/>
      <c r="C24" s="3" t="s">
        <v>272</v>
      </c>
      <c r="D24" s="40" t="s">
        <v>273</v>
      </c>
      <c r="E24" s="196">
        <f>IFERROR(E19/E18,"N.A.")</f>
        <v>1</v>
      </c>
      <c r="F24" s="196">
        <f>IFERROR(F19/F18,"N.A.")</f>
        <v>0.5</v>
      </c>
      <c r="G24" s="196" t="str">
        <f>IFERROR(G19/G18,"N.A.")</f>
        <v>N.A.</v>
      </c>
      <c r="H24" s="196" t="str">
        <f>IFERROR(H19/H18,"N.A.")</f>
        <v>N.A.</v>
      </c>
      <c r="I24" s="305"/>
      <c r="K24" s="22"/>
    </row>
    <row r="25" spans="2:11" ht="15.75" thickBot="1">
      <c r="B25" s="1457"/>
      <c r="C25" s="3" t="s">
        <v>274</v>
      </c>
      <c r="D25" s="40" t="s">
        <v>275</v>
      </c>
      <c r="E25" s="196">
        <f>IFERROR(E21/E20,"N.A.")</f>
        <v>1</v>
      </c>
      <c r="F25" s="196">
        <f>IFERROR(F21/F20,"N.A.")</f>
        <v>1</v>
      </c>
      <c r="G25" s="196" t="str">
        <f>IFERROR(G21/G20,"N.A.")</f>
        <v>N.A.</v>
      </c>
      <c r="H25" s="196" t="str">
        <f>IFERROR(H21/H20,"N.A.")</f>
        <v>N.A.</v>
      </c>
      <c r="I25" s="305"/>
      <c r="K25" s="22"/>
    </row>
    <row r="26" spans="2:11" ht="15.75" thickBot="1">
      <c r="B26" s="1457"/>
      <c r="C26" s="3" t="s">
        <v>276</v>
      </c>
      <c r="D26" s="40" t="s">
        <v>277</v>
      </c>
      <c r="E26" s="196" t="str">
        <f>IFERROR(E23/E22,"N.A.")</f>
        <v>N.A.</v>
      </c>
      <c r="F26" s="196" t="str">
        <f t="shared" ref="F26:H26" si="0">IFERROR(F23/F22,"N.A.")</f>
        <v>N.A.</v>
      </c>
      <c r="G26" s="196" t="str">
        <f t="shared" si="0"/>
        <v>N.A.</v>
      </c>
      <c r="H26" s="196" t="str">
        <f t="shared" si="0"/>
        <v>N.A.</v>
      </c>
      <c r="I26" s="305"/>
      <c r="K26" s="22"/>
    </row>
    <row r="27" spans="2:11" ht="15.75" thickBot="1">
      <c r="B27" s="338"/>
      <c r="C27" s="131"/>
      <c r="D27" s="339" t="s">
        <v>1218</v>
      </c>
      <c r="E27" s="196">
        <f>IFERROR(AVERAGE(E24:E26),"N.A.")</f>
        <v>1</v>
      </c>
      <c r="F27" s="196">
        <f t="shared" ref="F27:H27" si="1">IFERROR(AVERAGE(F24:F26),"N.A.")</f>
        <v>0.75</v>
      </c>
      <c r="G27" s="196" t="str">
        <f t="shared" si="1"/>
        <v>N.A.</v>
      </c>
      <c r="H27" s="196" t="str">
        <f t="shared" si="1"/>
        <v>N.A.</v>
      </c>
      <c r="I27" s="305"/>
      <c r="K27" s="22"/>
    </row>
    <row r="28" spans="2:11">
      <c r="B28" s="230"/>
      <c r="C28" s="93"/>
      <c r="D28" s="1464"/>
      <c r="E28" s="1465"/>
      <c r="F28" s="1465"/>
      <c r="G28" s="1465"/>
      <c r="H28" s="1465"/>
      <c r="I28" s="1465"/>
      <c r="J28" s="1465"/>
      <c r="K28" s="1466"/>
    </row>
    <row r="29" spans="2:11">
      <c r="B29" s="230"/>
      <c r="C29" s="93"/>
      <c r="D29" s="1461" t="s">
        <v>254</v>
      </c>
      <c r="E29" s="1462"/>
      <c r="F29" s="1462"/>
      <c r="G29" s="1462"/>
      <c r="H29" s="1462"/>
      <c r="I29" s="1462"/>
      <c r="J29" s="1462"/>
      <c r="K29" s="1463"/>
    </row>
    <row r="30" spans="2:11" ht="15.75" thickBot="1">
      <c r="B30" s="230"/>
      <c r="C30" s="93"/>
      <c r="D30" s="1467" t="s">
        <v>255</v>
      </c>
      <c r="E30" s="1468"/>
      <c r="F30" s="1468"/>
      <c r="G30" s="1468"/>
      <c r="H30" s="1468"/>
      <c r="I30" s="1468"/>
      <c r="J30" s="1468"/>
      <c r="K30" s="1469"/>
    </row>
    <row r="31" spans="2:11" ht="24.75" thickBot="1">
      <c r="B31" s="230"/>
      <c r="C31" s="99" t="s">
        <v>24</v>
      </c>
      <c r="D31" s="44" t="s">
        <v>278</v>
      </c>
      <c r="E31" s="44" t="s">
        <v>279</v>
      </c>
      <c r="F31" s="44" t="s">
        <v>280</v>
      </c>
      <c r="G31" s="44" t="s">
        <v>281</v>
      </c>
      <c r="H31" s="44" t="s">
        <v>282</v>
      </c>
      <c r="I31" s="44" t="s">
        <v>283</v>
      </c>
      <c r="J31" s="44" t="s">
        <v>60</v>
      </c>
      <c r="K31" s="117"/>
    </row>
    <row r="32" spans="2:11" s="199" customFormat="1" ht="15.75" thickBot="1">
      <c r="B32" s="227"/>
      <c r="C32" s="232">
        <v>1</v>
      </c>
      <c r="D32" s="31" t="s">
        <v>1712</v>
      </c>
      <c r="E32" s="1043" t="s">
        <v>16</v>
      </c>
      <c r="F32" s="218"/>
      <c r="G32" s="218"/>
      <c r="H32" s="218"/>
      <c r="I32" s="218"/>
      <c r="J32" s="31"/>
      <c r="K32" s="115"/>
    </row>
    <row r="33" spans="2:11" s="199" customFormat="1" ht="15.75" thickBot="1">
      <c r="B33" s="227"/>
      <c r="C33" s="232">
        <v>2</v>
      </c>
      <c r="D33" s="31" t="s">
        <v>1713</v>
      </c>
      <c r="E33" s="1043" t="s">
        <v>16</v>
      </c>
      <c r="F33" s="218"/>
      <c r="G33" s="218"/>
      <c r="H33" s="218"/>
      <c r="I33" s="218"/>
      <c r="J33" s="31"/>
      <c r="K33" s="115"/>
    </row>
    <row r="34" spans="2:11" s="199" customFormat="1" ht="15.75" thickBot="1">
      <c r="B34" s="227"/>
      <c r="C34" s="232">
        <v>3</v>
      </c>
      <c r="D34" s="31" t="s">
        <v>1714</v>
      </c>
      <c r="E34" s="1043" t="s">
        <v>16</v>
      </c>
      <c r="F34" s="218"/>
      <c r="G34" s="218"/>
      <c r="H34" s="218"/>
      <c r="I34" s="218"/>
      <c r="J34" s="31"/>
      <c r="K34" s="115"/>
    </row>
    <row r="35" spans="2:11" s="199" customFormat="1" ht="15.75" thickBot="1">
      <c r="B35" s="227"/>
      <c r="C35" s="232">
        <v>4</v>
      </c>
      <c r="D35" s="30" t="s">
        <v>1769</v>
      </c>
      <c r="E35" s="1043" t="s">
        <v>17</v>
      </c>
      <c r="F35" s="218"/>
      <c r="G35" s="218"/>
      <c r="H35" s="218"/>
      <c r="I35" s="218"/>
      <c r="J35" s="31"/>
      <c r="K35" s="115"/>
    </row>
    <row r="36" spans="2:11" s="199" customFormat="1" ht="36.75" thickBot="1">
      <c r="B36" s="227"/>
      <c r="C36" s="232">
        <v>5</v>
      </c>
      <c r="D36" s="1056" t="s">
        <v>1768</v>
      </c>
      <c r="E36" s="1043" t="s">
        <v>17</v>
      </c>
      <c r="F36" s="218"/>
      <c r="G36" s="218"/>
      <c r="H36" s="218"/>
      <c r="I36" s="218"/>
      <c r="J36" s="31"/>
      <c r="K36" s="115"/>
    </row>
    <row r="37" spans="2:11" s="199" customFormat="1" ht="24.75" thickBot="1">
      <c r="B37" s="227"/>
      <c r="C37" s="232">
        <v>6</v>
      </c>
      <c r="D37" s="1056" t="s">
        <v>1767</v>
      </c>
      <c r="E37" s="1043" t="s">
        <v>17</v>
      </c>
      <c r="F37" s="218"/>
      <c r="G37" s="218"/>
      <c r="H37" s="218"/>
      <c r="I37" s="218"/>
      <c r="J37" s="31"/>
      <c r="K37" s="115"/>
    </row>
    <row r="38" spans="2:11" s="199" customFormat="1" ht="72.75" thickBot="1">
      <c r="B38" s="227"/>
      <c r="C38" s="232">
        <v>7</v>
      </c>
      <c r="D38" s="1056" t="s">
        <v>1770</v>
      </c>
      <c r="E38" s="1043" t="s">
        <v>17</v>
      </c>
      <c r="F38" s="218"/>
      <c r="G38" s="218"/>
      <c r="H38" s="218"/>
      <c r="I38" s="218"/>
      <c r="J38" s="31"/>
      <c r="K38" s="115"/>
    </row>
    <row r="39" spans="2:11" s="199" customFormat="1" ht="36.75" thickBot="1">
      <c r="B39" s="227"/>
      <c r="C39" s="232">
        <v>8</v>
      </c>
      <c r="D39" s="1057" t="s">
        <v>1771</v>
      </c>
      <c r="E39" s="1043" t="s">
        <v>17</v>
      </c>
      <c r="F39" s="218"/>
      <c r="G39" s="218"/>
      <c r="H39" s="218"/>
      <c r="I39" s="218"/>
      <c r="J39" s="31"/>
      <c r="K39" s="115"/>
    </row>
    <row r="40" spans="2:11" s="199" customFormat="1" ht="24.75" thickBot="1">
      <c r="B40" s="227"/>
      <c r="C40" s="232">
        <v>9</v>
      </c>
      <c r="D40" s="1057" t="s">
        <v>1772</v>
      </c>
      <c r="E40" s="1043" t="s">
        <v>17</v>
      </c>
      <c r="F40" s="218"/>
      <c r="G40" s="218"/>
      <c r="H40" s="218"/>
      <c r="I40" s="218"/>
      <c r="J40" s="31"/>
      <c r="K40" s="115"/>
    </row>
    <row r="41" spans="2:11" s="199" customFormat="1" ht="48.75" thickBot="1">
      <c r="B41" s="227"/>
      <c r="C41" s="232">
        <v>10</v>
      </c>
      <c r="D41" s="1057" t="s">
        <v>1773</v>
      </c>
      <c r="E41" s="1043" t="s">
        <v>17</v>
      </c>
      <c r="F41" s="218"/>
      <c r="G41" s="218"/>
      <c r="H41" s="218"/>
      <c r="I41" s="218"/>
      <c r="J41" s="31"/>
      <c r="K41" s="115"/>
    </row>
    <row r="42" spans="2:11" s="199" customFormat="1" ht="60.75" thickBot="1">
      <c r="B42" s="227"/>
      <c r="C42" s="232">
        <v>11</v>
      </c>
      <c r="D42" s="1057" t="s">
        <v>1774</v>
      </c>
      <c r="E42" s="1043" t="s">
        <v>17</v>
      </c>
      <c r="F42" s="218"/>
      <c r="G42" s="218"/>
      <c r="H42" s="218"/>
      <c r="I42" s="218"/>
      <c r="J42" s="31"/>
      <c r="K42" s="115"/>
    </row>
    <row r="43" spans="2:11" s="199" customFormat="1" ht="41.25" customHeight="1" thickBot="1">
      <c r="B43" s="227"/>
      <c r="C43" s="232">
        <v>12</v>
      </c>
      <c r="D43" s="1057" t="s">
        <v>1775</v>
      </c>
      <c r="E43" s="1043" t="s">
        <v>17</v>
      </c>
      <c r="F43" s="218"/>
      <c r="G43" s="218"/>
      <c r="H43" s="218"/>
      <c r="I43" s="218"/>
      <c r="J43" s="31"/>
      <c r="K43" s="115"/>
    </row>
    <row r="44" spans="2:11" s="199" customFormat="1" ht="24.75" thickBot="1">
      <c r="B44" s="227"/>
      <c r="C44" s="232">
        <v>13</v>
      </c>
      <c r="D44" s="1057" t="s">
        <v>1776</v>
      </c>
      <c r="E44" s="1043" t="s">
        <v>17</v>
      </c>
      <c r="F44" s="218"/>
      <c r="G44" s="218"/>
      <c r="H44" s="218"/>
      <c r="I44" s="218"/>
      <c r="J44" s="31"/>
      <c r="K44" s="115"/>
    </row>
    <row r="45" spans="2:11" s="199" customFormat="1" ht="36.75" thickBot="1">
      <c r="B45" s="227"/>
      <c r="C45" s="232">
        <v>14</v>
      </c>
      <c r="D45" s="1057" t="s">
        <v>1777</v>
      </c>
      <c r="E45" s="1043" t="s">
        <v>17</v>
      </c>
      <c r="F45" s="218"/>
      <c r="G45" s="218"/>
      <c r="H45" s="218"/>
      <c r="I45" s="218"/>
      <c r="J45" s="31"/>
      <c r="K45" s="115"/>
    </row>
    <row r="46" spans="2:11" s="199" customFormat="1" ht="36.75" thickBot="1">
      <c r="B46" s="227"/>
      <c r="C46" s="232">
        <v>15</v>
      </c>
      <c r="D46" s="1057" t="s">
        <v>1778</v>
      </c>
      <c r="E46" s="1043" t="s">
        <v>17</v>
      </c>
      <c r="F46" s="218"/>
      <c r="G46" s="218"/>
      <c r="H46" s="218"/>
      <c r="I46" s="218"/>
      <c r="J46" s="31"/>
      <c r="K46" s="115"/>
    </row>
    <row r="47" spans="2:11" s="199" customFormat="1" ht="48.75" thickBot="1">
      <c r="B47" s="227"/>
      <c r="C47" s="232">
        <v>16</v>
      </c>
      <c r="D47" s="1057" t="s">
        <v>1779</v>
      </c>
      <c r="E47" s="1043" t="s">
        <v>17</v>
      </c>
      <c r="F47" s="218"/>
      <c r="G47" s="218"/>
      <c r="H47" s="218"/>
      <c r="I47" s="218"/>
      <c r="J47" s="31"/>
      <c r="K47" s="115"/>
    </row>
    <row r="48" spans="2:11" s="199" customFormat="1" ht="15.75" thickBot="1">
      <c r="B48" s="227"/>
      <c r="C48" s="232">
        <v>17</v>
      </c>
      <c r="D48" s="1057"/>
      <c r="E48" s="167"/>
      <c r="F48" s="218"/>
      <c r="G48" s="218"/>
      <c r="H48" s="218"/>
      <c r="I48" s="218"/>
      <c r="J48" s="31"/>
      <c r="K48" s="115"/>
    </row>
    <row r="49" spans="2:11" s="199" customFormat="1" ht="15.75" thickBot="1">
      <c r="B49" s="227"/>
      <c r="C49" s="232">
        <v>18</v>
      </c>
      <c r="D49" s="1057"/>
      <c r="E49" s="167"/>
      <c r="F49" s="218"/>
      <c r="G49" s="218"/>
      <c r="H49" s="218"/>
      <c r="I49" s="218"/>
      <c r="J49" s="31"/>
      <c r="K49" s="115"/>
    </row>
    <row r="50" spans="2:11" s="199" customFormat="1" ht="15.75" thickBot="1">
      <c r="B50" s="227"/>
      <c r="C50" s="232">
        <v>19</v>
      </c>
      <c r="D50" s="1057"/>
      <c r="E50" s="167"/>
      <c r="F50" s="218"/>
      <c r="G50" s="218"/>
      <c r="H50" s="218"/>
      <c r="I50" s="218"/>
      <c r="J50" s="31"/>
      <c r="K50" s="115"/>
    </row>
    <row r="51" spans="2:11" ht="15.75" thickBot="1">
      <c r="B51" s="230"/>
      <c r="C51" s="3"/>
      <c r="D51" s="41" t="s">
        <v>157</v>
      </c>
      <c r="E51" s="113"/>
      <c r="F51" s="144">
        <f>SUM(F32:F50)</f>
        <v>0</v>
      </c>
      <c r="G51" s="144">
        <f t="shared" ref="G51:I51" si="2">SUM(G32:G50)</f>
        <v>0</v>
      </c>
      <c r="H51" s="144">
        <f t="shared" si="2"/>
        <v>0</v>
      </c>
      <c r="I51" s="144">
        <f t="shared" si="2"/>
        <v>0</v>
      </c>
      <c r="J51" s="31"/>
      <c r="K51" s="119"/>
    </row>
    <row r="52" spans="2:11" ht="15.75" thickBot="1">
      <c r="B52" s="231"/>
      <c r="C52" s="94"/>
      <c r="D52" s="1453" t="s">
        <v>284</v>
      </c>
      <c r="E52" s="1454"/>
      <c r="F52" s="1454"/>
      <c r="G52" s="1454"/>
      <c r="H52" s="1454"/>
      <c r="I52" s="1454"/>
      <c r="J52" s="1454"/>
      <c r="K52" s="1455"/>
    </row>
    <row r="53" spans="2:11" ht="36" customHeight="1" thickBot="1">
      <c r="B53" s="73" t="s">
        <v>39</v>
      </c>
      <c r="C53" s="109"/>
      <c r="D53" s="1453" t="s">
        <v>285</v>
      </c>
      <c r="E53" s="1454"/>
      <c r="F53" s="1454"/>
      <c r="G53" s="1454"/>
      <c r="H53" s="1454"/>
      <c r="I53" s="1454"/>
      <c r="J53" s="1454"/>
      <c r="K53" s="1455"/>
    </row>
    <row r="54" spans="2:11" ht="23.25" thickBot="1">
      <c r="B54" s="73" t="s">
        <v>41</v>
      </c>
      <c r="C54" s="109"/>
      <c r="D54" s="1453" t="s">
        <v>286</v>
      </c>
      <c r="E54" s="1454"/>
      <c r="F54" s="1454"/>
      <c r="G54" s="1454"/>
      <c r="H54" s="1454"/>
      <c r="I54" s="1454"/>
      <c r="J54" s="1454"/>
      <c r="K54" s="1455"/>
    </row>
    <row r="55" spans="2:11" ht="15.75" thickBot="1">
      <c r="B55" s="2"/>
      <c r="C55" s="77"/>
      <c r="D55" s="6"/>
      <c r="E55" s="6"/>
      <c r="F55" s="6"/>
      <c r="G55" s="6"/>
      <c r="H55" s="6"/>
      <c r="I55" s="6"/>
      <c r="J55" s="6"/>
      <c r="K55" s="6"/>
    </row>
    <row r="56" spans="2:11" ht="24" customHeight="1" thickBot="1">
      <c r="B56" s="1450" t="s">
        <v>43</v>
      </c>
      <c r="C56" s="1451"/>
      <c r="D56" s="1451"/>
      <c r="E56" s="1452"/>
      <c r="F56" s="6"/>
      <c r="G56" s="6"/>
      <c r="H56" s="6"/>
      <c r="I56" s="6"/>
      <c r="J56" s="6"/>
      <c r="K56" s="6"/>
    </row>
    <row r="57" spans="2:11" ht="15.75" thickBot="1">
      <c r="B57" s="1447">
        <v>1</v>
      </c>
      <c r="C57" s="95"/>
      <c r="D57" s="49" t="s">
        <v>44</v>
      </c>
      <c r="E57" s="31" t="s">
        <v>1642</v>
      </c>
      <c r="F57" s="6"/>
      <c r="G57" s="6"/>
      <c r="H57" s="6"/>
      <c r="I57" s="6"/>
      <c r="J57" s="6"/>
      <c r="K57" s="6"/>
    </row>
    <row r="58" spans="2:11" ht="15.75" thickBot="1">
      <c r="B58" s="1448"/>
      <c r="C58" s="95"/>
      <c r="D58" s="41" t="s">
        <v>45</v>
      </c>
      <c r="E58" s="31" t="s">
        <v>1792</v>
      </c>
      <c r="F58" s="6"/>
      <c r="G58" s="6"/>
      <c r="H58" s="6"/>
      <c r="I58" s="6"/>
      <c r="J58" s="6"/>
      <c r="K58" s="6"/>
    </row>
    <row r="59" spans="2:11" ht="15.75" thickBot="1">
      <c r="B59" s="1448"/>
      <c r="C59" s="95"/>
      <c r="D59" s="41" t="s">
        <v>46</v>
      </c>
      <c r="E59" s="31" t="s">
        <v>1791</v>
      </c>
      <c r="F59" s="6"/>
      <c r="G59" s="6"/>
      <c r="H59" s="6"/>
      <c r="I59" s="6"/>
      <c r="J59" s="6"/>
      <c r="K59" s="6"/>
    </row>
    <row r="60" spans="2:11" ht="15.75" thickBot="1">
      <c r="B60" s="1448"/>
      <c r="C60" s="95"/>
      <c r="D60" s="41" t="s">
        <v>47</v>
      </c>
      <c r="E60" s="31" t="s">
        <v>1660</v>
      </c>
      <c r="F60" s="6"/>
      <c r="G60" s="6"/>
      <c r="H60" s="6"/>
      <c r="I60" s="6"/>
      <c r="J60" s="6"/>
      <c r="K60" s="6"/>
    </row>
    <row r="61" spans="2:11" ht="15.75" thickBot="1">
      <c r="B61" s="1448"/>
      <c r="C61" s="95"/>
      <c r="D61" s="41" t="s">
        <v>48</v>
      </c>
      <c r="E61" s="31" t="s">
        <v>1793</v>
      </c>
      <c r="F61" s="6"/>
      <c r="G61" s="6"/>
      <c r="H61" s="6"/>
      <c r="I61" s="6"/>
      <c r="J61" s="6"/>
      <c r="K61" s="6"/>
    </row>
    <row r="62" spans="2:11" ht="15.75" thickBot="1">
      <c r="B62" s="1448"/>
      <c r="C62" s="95"/>
      <c r="D62" s="41" t="s">
        <v>49</v>
      </c>
      <c r="E62" s="31" t="s">
        <v>1794</v>
      </c>
      <c r="F62" s="6"/>
      <c r="G62" s="6"/>
      <c r="H62" s="6"/>
      <c r="I62" s="6"/>
      <c r="J62" s="6"/>
      <c r="K62" s="6"/>
    </row>
    <row r="63" spans="2:11" ht="15.75" thickBot="1">
      <c r="B63" s="1449"/>
      <c r="C63" s="3"/>
      <c r="D63" s="41" t="s">
        <v>50</v>
      </c>
      <c r="E63" s="31" t="s">
        <v>1733</v>
      </c>
      <c r="F63" s="6"/>
      <c r="G63" s="6"/>
      <c r="H63" s="6"/>
      <c r="I63" s="6"/>
      <c r="J63" s="6"/>
      <c r="K63" s="6"/>
    </row>
    <row r="64" spans="2:11" ht="15.75" thickBot="1">
      <c r="B64" s="2"/>
      <c r="C64" s="77"/>
      <c r="D64" s="6"/>
      <c r="E64" s="6"/>
      <c r="F64" s="6"/>
      <c r="G64" s="6"/>
      <c r="H64" s="6"/>
      <c r="I64" s="6"/>
      <c r="J64" s="6"/>
      <c r="K64" s="6"/>
    </row>
    <row r="65" spans="2:11" ht="15.75" thickBot="1">
      <c r="B65" s="1450" t="s">
        <v>51</v>
      </c>
      <c r="C65" s="1451"/>
      <c r="D65" s="1451"/>
      <c r="E65" s="1452"/>
      <c r="F65" s="6"/>
      <c r="G65" s="6"/>
      <c r="H65" s="6"/>
      <c r="I65" s="6"/>
      <c r="J65" s="6"/>
      <c r="K65" s="6"/>
    </row>
    <row r="66" spans="2:11" ht="15.75" thickBot="1">
      <c r="B66" s="1447">
        <v>1</v>
      </c>
      <c r="C66" s="95"/>
      <c r="D66" s="49" t="s">
        <v>44</v>
      </c>
      <c r="E66" s="233" t="s">
        <v>52</v>
      </c>
      <c r="F66" s="6"/>
      <c r="G66" s="6"/>
      <c r="H66" s="6"/>
      <c r="I66" s="6"/>
      <c r="J66" s="6"/>
      <c r="K66" s="6"/>
    </row>
    <row r="67" spans="2:11" ht="15.75" thickBot="1">
      <c r="B67" s="1448"/>
      <c r="C67" s="95"/>
      <c r="D67" s="41" t="s">
        <v>45</v>
      </c>
      <c r="E67" s="233" t="s">
        <v>53</v>
      </c>
      <c r="F67" s="6"/>
      <c r="G67" s="6"/>
      <c r="H67" s="6"/>
      <c r="I67" s="6"/>
      <c r="J67" s="6"/>
      <c r="K67" s="6"/>
    </row>
    <row r="68" spans="2:11" ht="15.75" thickBot="1">
      <c r="B68" s="1448"/>
      <c r="C68" s="95"/>
      <c r="D68" s="41" t="s">
        <v>46</v>
      </c>
      <c r="E68" s="303"/>
      <c r="F68" s="6"/>
      <c r="G68" s="6"/>
      <c r="H68" s="6"/>
      <c r="I68" s="6"/>
      <c r="J68" s="6"/>
      <c r="K68" s="6"/>
    </row>
    <row r="69" spans="2:11" ht="15.75" thickBot="1">
      <c r="B69" s="1448"/>
      <c r="C69" s="95"/>
      <c r="D69" s="41" t="s">
        <v>47</v>
      </c>
      <c r="E69" s="303"/>
      <c r="F69" s="6"/>
      <c r="G69" s="6"/>
      <c r="H69" s="6"/>
      <c r="I69" s="6"/>
      <c r="J69" s="6"/>
      <c r="K69" s="6"/>
    </row>
    <row r="70" spans="2:11" ht="15.75" thickBot="1">
      <c r="B70" s="1448"/>
      <c r="C70" s="95"/>
      <c r="D70" s="41" t="s">
        <v>48</v>
      </c>
      <c r="E70" s="303"/>
      <c r="F70" s="6"/>
      <c r="G70" s="6"/>
      <c r="H70" s="6"/>
      <c r="I70" s="6"/>
      <c r="J70" s="6"/>
      <c r="K70" s="6"/>
    </row>
    <row r="71" spans="2:11" ht="15.75" thickBot="1">
      <c r="B71" s="1448"/>
      <c r="C71" s="95"/>
      <c r="D71" s="41" t="s">
        <v>49</v>
      </c>
      <c r="E71" s="303"/>
      <c r="F71" s="6"/>
      <c r="G71" s="6"/>
      <c r="H71" s="6"/>
      <c r="I71" s="6"/>
      <c r="J71" s="6"/>
      <c r="K71" s="6"/>
    </row>
    <row r="72" spans="2:11" ht="15.75" thickBot="1">
      <c r="B72" s="1449"/>
      <c r="C72" s="3"/>
      <c r="D72" s="41" t="s">
        <v>50</v>
      </c>
      <c r="E72" s="303"/>
      <c r="F72" s="6"/>
      <c r="G72" s="6"/>
      <c r="H72" s="6"/>
      <c r="I72" s="6"/>
      <c r="J72" s="6"/>
      <c r="K72" s="6"/>
    </row>
    <row r="73" spans="2:11" ht="15.75" thickBot="1">
      <c r="B73" s="2"/>
      <c r="C73" s="77"/>
      <c r="D73" s="6"/>
      <c r="E73" s="6"/>
      <c r="F73" s="6"/>
      <c r="G73" s="6"/>
      <c r="H73" s="6"/>
      <c r="I73" s="6"/>
      <c r="J73" s="6"/>
      <c r="K73" s="6"/>
    </row>
    <row r="74" spans="2:11" ht="15.75" thickBot="1">
      <c r="B74" s="1450" t="s">
        <v>54</v>
      </c>
      <c r="C74" s="1451"/>
      <c r="D74" s="1451"/>
      <c r="E74" s="1451"/>
      <c r="F74" s="1452"/>
      <c r="G74" s="6"/>
      <c r="H74" s="6"/>
      <c r="I74" s="6"/>
      <c r="J74" s="6"/>
      <c r="K74" s="6"/>
    </row>
    <row r="75" spans="2:11" ht="24.75" thickBot="1">
      <c r="B75" s="48" t="s">
        <v>55</v>
      </c>
      <c r="C75" s="41" t="s">
        <v>56</v>
      </c>
      <c r="D75" s="41" t="s">
        <v>57</v>
      </c>
      <c r="E75" s="41" t="s">
        <v>58</v>
      </c>
      <c r="F75" s="6"/>
      <c r="G75" s="6"/>
      <c r="H75" s="6"/>
      <c r="I75" s="6"/>
      <c r="J75" s="6"/>
    </row>
    <row r="76" spans="2:11" ht="96.75" thickBot="1">
      <c r="B76" s="50">
        <v>42401</v>
      </c>
      <c r="C76" s="41">
        <v>0.01</v>
      </c>
      <c r="D76" s="69" t="s">
        <v>287</v>
      </c>
      <c r="E76" s="41"/>
      <c r="F76" s="6"/>
      <c r="G76" s="6"/>
      <c r="H76" s="6"/>
      <c r="I76" s="6"/>
      <c r="J76" s="6"/>
    </row>
    <row r="77" spans="2:11" ht="15.75" thickBot="1">
      <c r="B77" s="2"/>
      <c r="C77" s="77"/>
      <c r="D77" s="6"/>
      <c r="E77" s="6"/>
      <c r="F77" s="6"/>
      <c r="G77" s="6"/>
      <c r="H77" s="6"/>
      <c r="I77" s="6"/>
      <c r="J77" s="6"/>
      <c r="K77" s="6"/>
    </row>
    <row r="78" spans="2:11" ht="15.75" thickBot="1">
      <c r="B78" s="5" t="s">
        <v>60</v>
      </c>
      <c r="C78" s="97"/>
      <c r="D78" s="6"/>
      <c r="E78" s="6"/>
      <c r="F78" s="6"/>
      <c r="G78" s="6"/>
      <c r="H78" s="6"/>
      <c r="I78" s="6"/>
      <c r="J78" s="6"/>
      <c r="K78" s="6"/>
    </row>
    <row r="79" spans="2:11">
      <c r="B79" s="1440"/>
      <c r="C79" s="1441"/>
      <c r="D79" s="1441"/>
      <c r="E79" s="1441"/>
      <c r="F79" s="1441"/>
      <c r="G79" s="1441"/>
      <c r="H79" s="1441"/>
      <c r="I79" s="1441"/>
      <c r="J79" s="1441"/>
      <c r="K79" s="6"/>
    </row>
    <row r="80" spans="2:11" ht="15.75" thickBot="1">
      <c r="B80" s="1440"/>
      <c r="C80" s="1441"/>
      <c r="D80" s="1441"/>
      <c r="E80" s="1441"/>
      <c r="F80" s="1441"/>
      <c r="G80" s="1441"/>
      <c r="H80" s="1441"/>
      <c r="I80" s="1441"/>
      <c r="J80" s="1441"/>
      <c r="K80" s="6"/>
    </row>
    <row r="81" spans="2:11" ht="15.75" thickBot="1">
      <c r="B81" s="1450" t="s">
        <v>61</v>
      </c>
      <c r="C81" s="1451"/>
      <c r="D81" s="1452"/>
      <c r="E81" s="6"/>
      <c r="F81" s="6"/>
      <c r="G81" s="6"/>
      <c r="H81" s="6"/>
      <c r="I81" s="6"/>
      <c r="J81" s="6"/>
      <c r="K81" s="6"/>
    </row>
    <row r="82" spans="2:11" ht="120.75" thickBot="1">
      <c r="B82" s="48" t="s">
        <v>62</v>
      </c>
      <c r="C82" s="3"/>
      <c r="D82" s="41" t="s">
        <v>229</v>
      </c>
      <c r="E82" s="6"/>
      <c r="F82" s="6"/>
      <c r="G82" s="6"/>
      <c r="H82" s="6"/>
      <c r="I82" s="6"/>
      <c r="J82" s="6"/>
      <c r="K82" s="6"/>
    </row>
    <row r="83" spans="2:11">
      <c r="B83" s="1447" t="s">
        <v>64</v>
      </c>
      <c r="C83" s="95"/>
      <c r="D83" s="54" t="s">
        <v>65</v>
      </c>
      <c r="E83" s="6"/>
      <c r="F83" s="6"/>
      <c r="G83" s="6"/>
      <c r="H83" s="6"/>
      <c r="I83" s="6"/>
      <c r="J83" s="6"/>
      <c r="K83" s="6"/>
    </row>
    <row r="84" spans="2:11" ht="72">
      <c r="B84" s="1448"/>
      <c r="C84" s="95"/>
      <c r="D84" s="47" t="s">
        <v>230</v>
      </c>
      <c r="E84" s="6"/>
      <c r="F84" s="6"/>
      <c r="G84" s="6"/>
      <c r="H84" s="6"/>
      <c r="I84" s="6"/>
      <c r="J84" s="6"/>
      <c r="K84" s="6"/>
    </row>
    <row r="85" spans="2:11" ht="48">
      <c r="B85" s="1448"/>
      <c r="C85" s="95"/>
      <c r="D85" s="47" t="s">
        <v>231</v>
      </c>
      <c r="E85" s="6"/>
      <c r="F85" s="6"/>
      <c r="G85" s="6"/>
      <c r="H85" s="6"/>
      <c r="I85" s="6"/>
      <c r="J85" s="6"/>
      <c r="K85" s="6"/>
    </row>
    <row r="86" spans="2:11">
      <c r="B86" s="1448"/>
      <c r="C86" s="95"/>
      <c r="D86" s="54" t="s">
        <v>232</v>
      </c>
      <c r="E86" s="6"/>
      <c r="F86" s="6"/>
      <c r="G86" s="6"/>
      <c r="H86" s="6"/>
      <c r="I86" s="6"/>
      <c r="J86" s="6"/>
      <c r="K86" s="6"/>
    </row>
    <row r="87" spans="2:11">
      <c r="B87" s="1448"/>
      <c r="C87" s="95"/>
      <c r="D87" s="47" t="s">
        <v>69</v>
      </c>
      <c r="E87" s="6"/>
      <c r="F87" s="6"/>
      <c r="G87" s="6"/>
      <c r="H87" s="6"/>
      <c r="I87" s="6"/>
      <c r="J87" s="6"/>
      <c r="K87" s="6"/>
    </row>
    <row r="88" spans="2:11">
      <c r="B88" s="1448"/>
      <c r="C88" s="95"/>
      <c r="D88" s="47" t="s">
        <v>171</v>
      </c>
      <c r="E88" s="6"/>
      <c r="F88" s="6"/>
      <c r="G88" s="6"/>
      <c r="H88" s="6"/>
      <c r="I88" s="6"/>
      <c r="J88" s="6"/>
      <c r="K88" s="6"/>
    </row>
    <row r="89" spans="2:11" ht="15.75" thickBot="1">
      <c r="B89" s="1449"/>
      <c r="C89" s="3"/>
      <c r="D89" s="41" t="s">
        <v>233</v>
      </c>
      <c r="E89" s="6"/>
      <c r="F89" s="6"/>
      <c r="G89" s="6"/>
      <c r="H89" s="6"/>
      <c r="I89" s="6"/>
      <c r="J89" s="6"/>
      <c r="K89" s="6"/>
    </row>
    <row r="90" spans="2:11" ht="24.75" thickBot="1">
      <c r="B90" s="48" t="s">
        <v>77</v>
      </c>
      <c r="C90" s="3"/>
      <c r="D90" s="41"/>
      <c r="E90" s="6"/>
      <c r="F90" s="6"/>
      <c r="G90" s="6"/>
      <c r="H90" s="6"/>
      <c r="I90" s="6"/>
      <c r="J90" s="6"/>
      <c r="K90" s="6"/>
    </row>
    <row r="91" spans="2:11" ht="156">
      <c r="B91" s="1447" t="s">
        <v>78</v>
      </c>
      <c r="C91" s="95"/>
      <c r="D91" s="47" t="s">
        <v>234</v>
      </c>
      <c r="E91" s="6"/>
      <c r="F91" s="6"/>
      <c r="G91" s="6"/>
      <c r="H91" s="6"/>
      <c r="I91" s="6"/>
      <c r="J91" s="6"/>
      <c r="K91" s="6"/>
    </row>
    <row r="92" spans="2:11" ht="132.75" thickBot="1">
      <c r="B92" s="1449"/>
      <c r="C92" s="3"/>
      <c r="D92" s="41" t="s">
        <v>235</v>
      </c>
      <c r="E92" s="6"/>
      <c r="F92" s="6"/>
      <c r="G92" s="6"/>
      <c r="H92" s="6"/>
      <c r="I92" s="6"/>
      <c r="J92" s="6"/>
      <c r="K92" s="6"/>
    </row>
    <row r="93" spans="2:11" ht="29.45" customHeight="1">
      <c r="B93" s="1447" t="s">
        <v>95</v>
      </c>
      <c r="C93" s="95"/>
      <c r="D93" s="47" t="s">
        <v>96</v>
      </c>
      <c r="E93" s="6"/>
      <c r="F93" s="6"/>
      <c r="G93" s="6"/>
      <c r="H93" s="6"/>
      <c r="I93" s="6"/>
      <c r="J93" s="6"/>
      <c r="K93" s="6"/>
    </row>
    <row r="94" spans="2:11" ht="73.5">
      <c r="B94" s="1448"/>
      <c r="C94" s="95"/>
      <c r="D94" s="47" t="s">
        <v>236</v>
      </c>
      <c r="E94" s="6"/>
      <c r="F94" s="6"/>
      <c r="G94" s="6"/>
      <c r="H94" s="6"/>
      <c r="I94" s="6"/>
      <c r="J94" s="6"/>
      <c r="K94" s="6"/>
    </row>
    <row r="95" spans="2:11" ht="37.5">
      <c r="B95" s="1448"/>
      <c r="C95" s="95"/>
      <c r="D95" s="47" t="s">
        <v>237</v>
      </c>
      <c r="E95" s="6"/>
      <c r="F95" s="6"/>
      <c r="G95" s="6"/>
      <c r="H95" s="6"/>
      <c r="I95" s="6"/>
      <c r="J95" s="6"/>
      <c r="K95" s="6"/>
    </row>
    <row r="96" spans="2:11" ht="37.5">
      <c r="B96" s="1448"/>
      <c r="C96" s="95"/>
      <c r="D96" s="47" t="s">
        <v>238</v>
      </c>
      <c r="E96" s="6"/>
      <c r="F96" s="6"/>
      <c r="G96" s="6"/>
      <c r="H96" s="6"/>
      <c r="I96" s="6"/>
      <c r="J96" s="6"/>
      <c r="K96" s="6"/>
    </row>
    <row r="97" spans="2:11" ht="37.5">
      <c r="B97" s="1448"/>
      <c r="C97" s="95"/>
      <c r="D97" s="47" t="s">
        <v>239</v>
      </c>
      <c r="E97" s="6"/>
      <c r="F97" s="6"/>
      <c r="G97" s="6"/>
      <c r="H97" s="6"/>
      <c r="I97" s="6"/>
      <c r="J97" s="6"/>
      <c r="K97" s="6"/>
    </row>
    <row r="98" spans="2:11">
      <c r="B98" s="1448"/>
      <c r="C98" s="95"/>
      <c r="D98" s="47" t="s">
        <v>240</v>
      </c>
      <c r="E98" s="6"/>
      <c r="F98" s="6"/>
      <c r="G98" s="6"/>
      <c r="H98" s="6"/>
      <c r="I98" s="6"/>
      <c r="J98" s="6"/>
      <c r="K98" s="6"/>
    </row>
    <row r="99" spans="2:11">
      <c r="B99" s="1448"/>
      <c r="C99" s="95"/>
      <c r="D99" s="47" t="s">
        <v>241</v>
      </c>
      <c r="E99" s="6"/>
      <c r="F99" s="6"/>
      <c r="G99" s="6"/>
      <c r="H99" s="6"/>
      <c r="I99" s="6"/>
      <c r="J99" s="6"/>
      <c r="K99" s="6"/>
    </row>
    <row r="100" spans="2:11">
      <c r="B100" s="1448"/>
      <c r="C100" s="95"/>
      <c r="D100" s="47" t="s">
        <v>242</v>
      </c>
      <c r="E100" s="6"/>
      <c r="F100" s="6"/>
      <c r="G100" s="6"/>
      <c r="H100" s="6"/>
      <c r="I100" s="6"/>
      <c r="J100" s="6"/>
      <c r="K100" s="6"/>
    </row>
    <row r="101" spans="2:11">
      <c r="B101" s="1448"/>
      <c r="C101" s="95"/>
      <c r="D101" s="47" t="s">
        <v>104</v>
      </c>
      <c r="E101" s="6"/>
      <c r="F101" s="6"/>
      <c r="G101" s="6"/>
      <c r="H101" s="6"/>
      <c r="I101" s="6"/>
      <c r="J101" s="6"/>
      <c r="K101" s="6"/>
    </row>
    <row r="102" spans="2:11" ht="84">
      <c r="B102" s="1448"/>
      <c r="C102" s="95"/>
      <c r="D102" s="55" t="s">
        <v>243</v>
      </c>
      <c r="E102" s="6"/>
      <c r="F102" s="6"/>
      <c r="G102" s="6"/>
      <c r="H102" s="6"/>
      <c r="I102" s="6"/>
      <c r="J102" s="6"/>
      <c r="K102" s="6"/>
    </row>
    <row r="103" spans="2:11" ht="24">
      <c r="B103" s="1448"/>
      <c r="C103" s="95"/>
      <c r="D103" s="54" t="s">
        <v>244</v>
      </c>
      <c r="E103" s="6"/>
      <c r="F103" s="6"/>
      <c r="G103" s="6"/>
      <c r="H103" s="6"/>
      <c r="I103" s="6"/>
      <c r="J103" s="6"/>
      <c r="K103" s="6"/>
    </row>
    <row r="104" spans="2:11">
      <c r="B104" s="1448"/>
      <c r="C104" s="95"/>
      <c r="D104" s="17"/>
      <c r="E104" s="6"/>
      <c r="F104" s="6"/>
      <c r="G104" s="6"/>
      <c r="H104" s="6"/>
      <c r="I104" s="6"/>
      <c r="J104" s="6"/>
      <c r="K104" s="6"/>
    </row>
    <row r="105" spans="2:11">
      <c r="B105" s="1448"/>
      <c r="C105" s="95"/>
      <c r="D105" s="47" t="s">
        <v>96</v>
      </c>
      <c r="E105" s="6"/>
      <c r="F105" s="6"/>
      <c r="G105" s="6"/>
      <c r="H105" s="6"/>
      <c r="I105" s="6"/>
      <c r="J105" s="6"/>
      <c r="K105" s="6"/>
    </row>
    <row r="106" spans="2:11" ht="37.5">
      <c r="B106" s="1448"/>
      <c r="C106" s="95"/>
      <c r="D106" s="47" t="s">
        <v>237</v>
      </c>
      <c r="E106" s="6"/>
      <c r="F106" s="6"/>
      <c r="G106" s="6"/>
      <c r="H106" s="6"/>
      <c r="I106" s="6"/>
      <c r="J106" s="6"/>
      <c r="K106" s="6"/>
    </row>
    <row r="107" spans="2:11" ht="25.5">
      <c r="B107" s="1448"/>
      <c r="C107" s="95"/>
      <c r="D107" s="47" t="s">
        <v>245</v>
      </c>
      <c r="E107" s="6"/>
      <c r="F107" s="6"/>
      <c r="G107" s="6"/>
      <c r="H107" s="6"/>
      <c r="I107" s="6"/>
      <c r="J107" s="6"/>
      <c r="K107" s="6"/>
    </row>
    <row r="108" spans="2:11">
      <c r="B108" s="1448"/>
      <c r="C108" s="95"/>
      <c r="D108" s="47" t="s">
        <v>246</v>
      </c>
      <c r="E108" s="6"/>
      <c r="F108" s="6"/>
      <c r="G108" s="6"/>
      <c r="H108" s="6"/>
      <c r="I108" s="6"/>
      <c r="J108" s="6"/>
      <c r="K108" s="6"/>
    </row>
    <row r="109" spans="2:11">
      <c r="B109" s="1448"/>
      <c r="C109" s="95"/>
      <c r="D109" s="54" t="s">
        <v>247</v>
      </c>
      <c r="E109" s="6"/>
      <c r="F109" s="6"/>
      <c r="G109" s="6"/>
      <c r="H109" s="6"/>
      <c r="I109" s="6"/>
      <c r="J109" s="6"/>
      <c r="K109" s="6"/>
    </row>
    <row r="110" spans="2:11">
      <c r="B110" s="1448"/>
      <c r="C110" s="95"/>
      <c r="D110" s="17"/>
      <c r="E110" s="6"/>
      <c r="F110" s="6"/>
      <c r="G110" s="6"/>
      <c r="H110" s="6"/>
      <c r="I110" s="6"/>
      <c r="J110" s="6"/>
      <c r="K110" s="6"/>
    </row>
    <row r="111" spans="2:11">
      <c r="B111" s="1448"/>
      <c r="C111" s="95"/>
      <c r="D111" s="47" t="s">
        <v>96</v>
      </c>
      <c r="E111" s="6"/>
      <c r="F111" s="6"/>
      <c r="G111" s="6"/>
      <c r="H111" s="6"/>
      <c r="I111" s="6"/>
      <c r="J111" s="6"/>
      <c r="K111" s="6"/>
    </row>
    <row r="112" spans="2:11" ht="37.5">
      <c r="B112" s="1448"/>
      <c r="C112" s="95"/>
      <c r="D112" s="47" t="s">
        <v>238</v>
      </c>
      <c r="E112" s="6"/>
      <c r="F112" s="6"/>
      <c r="G112" s="6"/>
      <c r="H112" s="6"/>
      <c r="I112" s="6"/>
      <c r="J112" s="6"/>
      <c r="K112" s="6"/>
    </row>
    <row r="113" spans="2:11" ht="25.5">
      <c r="B113" s="1448"/>
      <c r="C113" s="95"/>
      <c r="D113" s="47" t="s">
        <v>248</v>
      </c>
      <c r="E113" s="6"/>
      <c r="F113" s="6"/>
      <c r="G113" s="6"/>
      <c r="H113" s="6"/>
      <c r="I113" s="6"/>
      <c r="J113" s="6"/>
      <c r="K113" s="6"/>
    </row>
    <row r="114" spans="2:11">
      <c r="B114" s="1448"/>
      <c r="C114" s="95"/>
      <c r="D114" s="47" t="s">
        <v>249</v>
      </c>
      <c r="E114" s="6"/>
      <c r="F114" s="6"/>
      <c r="G114" s="6"/>
      <c r="H114" s="6"/>
      <c r="I114" s="6"/>
      <c r="J114" s="6"/>
      <c r="K114" s="6"/>
    </row>
    <row r="115" spans="2:11">
      <c r="B115" s="1448"/>
      <c r="C115" s="95"/>
      <c r="D115" s="54" t="s">
        <v>250</v>
      </c>
      <c r="E115" s="6"/>
      <c r="F115" s="6"/>
      <c r="G115" s="6"/>
      <c r="H115" s="6"/>
      <c r="I115" s="6"/>
      <c r="J115" s="6"/>
      <c r="K115" s="6"/>
    </row>
    <row r="116" spans="2:11">
      <c r="B116" s="1448"/>
      <c r="C116" s="95"/>
      <c r="D116" s="17"/>
      <c r="E116" s="6"/>
      <c r="F116" s="6"/>
      <c r="G116" s="6"/>
      <c r="H116" s="6"/>
      <c r="I116" s="6"/>
      <c r="J116" s="6"/>
      <c r="K116" s="6"/>
    </row>
    <row r="117" spans="2:11">
      <c r="B117" s="1448"/>
      <c r="C117" s="95"/>
      <c r="D117" s="47" t="s">
        <v>96</v>
      </c>
      <c r="E117" s="6"/>
      <c r="F117" s="6"/>
      <c r="G117" s="6"/>
      <c r="H117" s="6"/>
      <c r="I117" s="6"/>
      <c r="J117" s="6"/>
      <c r="K117" s="6"/>
    </row>
    <row r="118" spans="2:11" ht="37.5">
      <c r="B118" s="1448"/>
      <c r="C118" s="95"/>
      <c r="D118" s="47" t="s">
        <v>251</v>
      </c>
      <c r="E118" s="6"/>
      <c r="F118" s="6"/>
      <c r="G118" s="6"/>
      <c r="H118" s="6"/>
      <c r="I118" s="6"/>
      <c r="J118" s="6"/>
      <c r="K118" s="6"/>
    </row>
    <row r="119" spans="2:11" ht="25.5">
      <c r="B119" s="1448"/>
      <c r="C119" s="95"/>
      <c r="D119" s="47" t="s">
        <v>252</v>
      </c>
      <c r="E119" s="6"/>
      <c r="F119" s="6"/>
      <c r="G119" s="6"/>
      <c r="H119" s="6"/>
      <c r="I119" s="6"/>
      <c r="J119" s="6"/>
      <c r="K119" s="6"/>
    </row>
    <row r="120" spans="2:11">
      <c r="B120" s="1448"/>
      <c r="C120" s="95"/>
      <c r="D120" s="47" t="s">
        <v>253</v>
      </c>
      <c r="E120" s="6"/>
      <c r="F120" s="6"/>
      <c r="G120" s="6"/>
      <c r="H120" s="6"/>
      <c r="I120" s="6"/>
      <c r="J120" s="6"/>
      <c r="K120" s="6"/>
    </row>
    <row r="121" spans="2:11">
      <c r="B121" s="1448"/>
      <c r="C121" s="95"/>
      <c r="D121" s="54" t="s">
        <v>254</v>
      </c>
      <c r="E121" s="6"/>
      <c r="F121" s="6"/>
      <c r="G121" s="6"/>
      <c r="H121" s="6"/>
      <c r="I121" s="6"/>
      <c r="J121" s="6"/>
      <c r="K121" s="6"/>
    </row>
    <row r="122" spans="2:11" ht="36">
      <c r="B122" s="1448"/>
      <c r="C122" s="95"/>
      <c r="D122" s="54" t="s">
        <v>255</v>
      </c>
      <c r="E122" s="6"/>
      <c r="F122" s="6"/>
      <c r="G122" s="6"/>
      <c r="H122" s="6"/>
      <c r="I122" s="6"/>
      <c r="J122" s="6"/>
      <c r="K122" s="6"/>
    </row>
    <row r="123" spans="2:11">
      <c r="B123" s="1448"/>
      <c r="C123" s="95"/>
      <c r="D123" s="47" t="s">
        <v>256</v>
      </c>
      <c r="E123" s="6"/>
      <c r="F123" s="6"/>
      <c r="G123" s="6"/>
      <c r="H123" s="6"/>
      <c r="I123" s="6"/>
      <c r="J123" s="6"/>
      <c r="K123" s="6"/>
    </row>
    <row r="124" spans="2:11">
      <c r="B124" s="1448"/>
      <c r="C124" s="95"/>
      <c r="D124" s="47" t="s">
        <v>96</v>
      </c>
      <c r="E124" s="6"/>
      <c r="F124" s="6"/>
      <c r="G124" s="6"/>
      <c r="H124" s="6"/>
      <c r="I124" s="6"/>
      <c r="J124" s="6"/>
      <c r="K124" s="6"/>
    </row>
    <row r="125" spans="2:11" ht="49.5">
      <c r="B125" s="1448"/>
      <c r="C125" s="95"/>
      <c r="D125" s="47" t="s">
        <v>257</v>
      </c>
      <c r="E125" s="6"/>
      <c r="F125" s="6"/>
      <c r="G125" s="6"/>
      <c r="H125" s="6"/>
      <c r="I125" s="6"/>
      <c r="J125" s="6"/>
      <c r="K125" s="6"/>
    </row>
    <row r="126" spans="2:11" ht="49.5">
      <c r="B126" s="1448"/>
      <c r="C126" s="95"/>
      <c r="D126" s="47" t="s">
        <v>258</v>
      </c>
      <c r="E126" s="6"/>
      <c r="F126" s="6"/>
      <c r="G126" s="6"/>
      <c r="H126" s="6"/>
      <c r="I126" s="6"/>
      <c r="J126" s="6"/>
      <c r="K126" s="6"/>
    </row>
    <row r="127" spans="2:11" ht="50.25" thickBot="1">
      <c r="B127" s="1449"/>
      <c r="C127" s="3"/>
      <c r="D127" s="41" t="s">
        <v>259</v>
      </c>
      <c r="E127" s="6"/>
      <c r="F127" s="6"/>
      <c r="G127" s="6"/>
      <c r="H127" s="6"/>
      <c r="I127" s="6"/>
      <c r="J127" s="6"/>
      <c r="K127" s="6"/>
    </row>
  </sheetData>
  <sheetProtection sheet="1" objects="1" scenarios="1" insertRows="0"/>
  <mergeCells count="29">
    <mergeCell ref="A1:P1"/>
    <mergeCell ref="A2:P2"/>
    <mergeCell ref="A3:P3"/>
    <mergeCell ref="A4:D4"/>
    <mergeCell ref="A5:P5"/>
    <mergeCell ref="B79:J80"/>
    <mergeCell ref="B57:B63"/>
    <mergeCell ref="B65:E65"/>
    <mergeCell ref="D29:K29"/>
    <mergeCell ref="D30:K30"/>
    <mergeCell ref="D53:K53"/>
    <mergeCell ref="D54:K54"/>
    <mergeCell ref="B56:E56"/>
    <mergeCell ref="B93:B127"/>
    <mergeCell ref="B66:B72"/>
    <mergeCell ref="B74:F74"/>
    <mergeCell ref="B10:D10"/>
    <mergeCell ref="F10:S10"/>
    <mergeCell ref="F11:S11"/>
    <mergeCell ref="E12:R12"/>
    <mergeCell ref="E13:R13"/>
    <mergeCell ref="D52:K52"/>
    <mergeCell ref="B15:B26"/>
    <mergeCell ref="B81:D81"/>
    <mergeCell ref="B83:B89"/>
    <mergeCell ref="B91:B92"/>
    <mergeCell ref="D15:K15"/>
    <mergeCell ref="D16:K16"/>
    <mergeCell ref="D28:K28"/>
  </mergeCells>
  <conditionalFormatting sqref="F10">
    <cfRule type="notContainsBlanks" dxfId="108" priority="4">
      <formula>LEN(TRIM(F10))&gt;0</formula>
    </cfRule>
  </conditionalFormatting>
  <conditionalFormatting sqref="F11:S11">
    <cfRule type="expression" dxfId="107" priority="2">
      <formula>E11="NO SE REPORTA"</formula>
    </cfRule>
    <cfRule type="expression" dxfId="106" priority="3">
      <formula>E10="NO APLICA"</formula>
    </cfRule>
  </conditionalFormatting>
  <conditionalFormatting sqref="E12:R12">
    <cfRule type="expression" dxfId="105" priority="1">
      <formula>E11="SI SE REPORTA"</formula>
    </cfRule>
  </conditionalFormatting>
  <dataValidations count="5">
    <dataValidation type="whole" operator="greaterThanOrEqual" allowBlank="1" showErrorMessage="1" errorTitle="ERROR" error="Escriba un número igual o mayor que 0" promptTitle="ERROR" prompt="Escriba un número igual o mayor que 0" sqref="E18:H23">
      <formula1>0</formula1>
    </dataValidation>
    <dataValidation type="whole" operator="greaterThanOrEqual" allowBlank="1" showInputMessage="1" showErrorMessage="1" errorTitle="ERROR" error="Valor en PESOS (sin centavos)" sqref="F32:I50">
      <formula1>0</formula1>
    </dataValidation>
    <dataValidation type="textLength" allowBlank="1" showInputMessage="1" showErrorMessage="1" errorTitle="ERROR" error="Escriba POMCA, PMM o PMA" promptTitle="ESCRIBA" prompt="POMCA, PMA o PMM" sqref="E32:E50">
      <formula1>1</formula1>
      <formula2>5</formula2>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1"/>
  <sheetViews>
    <sheetView showGridLines="0" zoomScale="98" zoomScaleNormal="98" workbookViewId="0">
      <selection activeCell="L20" sqref="L20"/>
    </sheetView>
  </sheetViews>
  <sheetFormatPr baseColWidth="10" defaultRowHeight="15"/>
  <cols>
    <col min="1" max="1" width="1.85546875" customWidth="1"/>
    <col min="2" max="2" width="12.85546875" customWidth="1"/>
    <col min="3" max="3" width="5" style="88" bestFit="1" customWidth="1"/>
    <col min="4" max="4" width="34.85546875" customWidth="1"/>
    <col min="5" max="5" width="12.140625" customWidth="1"/>
  </cols>
  <sheetData>
    <row r="1" spans="1:21" s="551" customFormat="1" ht="100.5" customHeight="1" thickBot="1">
      <c r="A1" s="1344"/>
      <c r="B1" s="1345"/>
      <c r="C1" s="1345"/>
      <c r="D1" s="1345"/>
      <c r="E1" s="1345"/>
      <c r="F1" s="1345"/>
      <c r="G1" s="1345"/>
      <c r="H1" s="1345"/>
      <c r="I1" s="1345"/>
      <c r="J1" s="1345"/>
      <c r="K1" s="1345"/>
      <c r="L1" s="1345"/>
      <c r="M1" s="1345"/>
      <c r="N1" s="1345"/>
      <c r="O1" s="1345"/>
      <c r="P1" s="1346"/>
      <c r="Q1" s="413"/>
      <c r="R1" s="413"/>
    </row>
    <row r="2" spans="1:21" s="552" customFormat="1" ht="16.5" thickBot="1">
      <c r="A2" s="1352" t="str">
        <f>'Datos Generales'!C5</f>
        <v>Corporación Autónoma Regional de La Guajira – CORPOGUAJIRA</v>
      </c>
      <c r="B2" s="1353"/>
      <c r="C2" s="1353"/>
      <c r="D2" s="1353"/>
      <c r="E2" s="1353"/>
      <c r="F2" s="1353"/>
      <c r="G2" s="1353"/>
      <c r="H2" s="1353"/>
      <c r="I2" s="1353"/>
      <c r="J2" s="1353"/>
      <c r="K2" s="1353"/>
      <c r="L2" s="1353"/>
      <c r="M2" s="1353"/>
      <c r="N2" s="1353"/>
      <c r="O2" s="1353"/>
      <c r="P2" s="1354"/>
      <c r="Q2" s="413"/>
      <c r="R2" s="413"/>
    </row>
    <row r="3" spans="1:21" s="552" customFormat="1" ht="16.5" thickBot="1">
      <c r="A3" s="1347" t="s">
        <v>1419</v>
      </c>
      <c r="B3" s="1348"/>
      <c r="C3" s="1348"/>
      <c r="D3" s="1348"/>
      <c r="E3" s="1348"/>
      <c r="F3" s="1348"/>
      <c r="G3" s="1348"/>
      <c r="H3" s="1348"/>
      <c r="I3" s="1348"/>
      <c r="J3" s="1348"/>
      <c r="K3" s="1348"/>
      <c r="L3" s="1348"/>
      <c r="M3" s="1348"/>
      <c r="N3" s="1348"/>
      <c r="O3" s="1348"/>
      <c r="P3" s="1349"/>
      <c r="Q3" s="413"/>
      <c r="R3" s="413"/>
    </row>
    <row r="4" spans="1:21" s="552" customFormat="1" ht="16.5" thickBot="1">
      <c r="A4" s="1350" t="s">
        <v>1418</v>
      </c>
      <c r="B4" s="1351"/>
      <c r="C4" s="1351"/>
      <c r="D4" s="1351"/>
      <c r="E4" s="571" t="str">
        <f>'Datos Generales'!C6</f>
        <v>2016-II</v>
      </c>
      <c r="F4" s="571"/>
      <c r="G4" s="571"/>
      <c r="H4" s="571"/>
      <c r="I4" s="571"/>
      <c r="J4" s="571"/>
      <c r="K4" s="571"/>
      <c r="L4" s="572"/>
      <c r="M4" s="572"/>
      <c r="N4" s="572"/>
      <c r="O4" s="572"/>
      <c r="P4" s="573"/>
      <c r="Q4" s="413"/>
      <c r="R4" s="413"/>
    </row>
    <row r="5" spans="1:21" s="245" customFormat="1" ht="16.5" customHeight="1" thickBot="1">
      <c r="A5" s="1347" t="s">
        <v>288</v>
      </c>
      <c r="B5" s="1348"/>
      <c r="C5" s="1348"/>
      <c r="D5" s="1348"/>
      <c r="E5" s="1348"/>
      <c r="F5" s="1348"/>
      <c r="G5" s="1348"/>
      <c r="H5" s="1348"/>
      <c r="I5" s="1348"/>
      <c r="J5" s="1348"/>
      <c r="K5" s="1348"/>
      <c r="L5" s="1348"/>
      <c r="M5" s="1348"/>
      <c r="N5" s="1348"/>
      <c r="O5" s="1348"/>
      <c r="P5" s="1349"/>
    </row>
    <row r="6" spans="1:21">
      <c r="A6" s="245"/>
      <c r="B6" s="249" t="s">
        <v>1</v>
      </c>
      <c r="C6" s="250"/>
      <c r="D6" s="248"/>
      <c r="E6" s="259"/>
      <c r="F6" s="248" t="s">
        <v>133</v>
      </c>
      <c r="G6" s="248"/>
      <c r="H6" s="248"/>
      <c r="I6" s="248"/>
      <c r="J6" s="248"/>
      <c r="K6" s="248"/>
    </row>
    <row r="7" spans="1:21" ht="15.75" thickBot="1">
      <c r="A7" s="245"/>
      <c r="B7" s="251"/>
      <c r="C7" s="252"/>
      <c r="D7" s="248"/>
      <c r="E7" s="253"/>
      <c r="F7" s="248" t="s">
        <v>134</v>
      </c>
      <c r="G7" s="248"/>
      <c r="H7" s="248"/>
      <c r="I7" s="248"/>
      <c r="J7" s="248"/>
      <c r="K7" s="248"/>
    </row>
    <row r="8" spans="1:21" ht="15.75" thickBot="1">
      <c r="A8" s="245"/>
      <c r="B8" s="261" t="s">
        <v>1204</v>
      </c>
      <c r="C8" s="262">
        <v>2017</v>
      </c>
      <c r="D8" s="257">
        <f>IF(E10="NO APLICA","NO APLICA",IF(E11="NO SE REPORTA","SIN INFORMACION",+F19))</f>
        <v>0.875</v>
      </c>
      <c r="E8" s="264"/>
      <c r="F8" s="248" t="s">
        <v>135</v>
      </c>
      <c r="G8" s="248"/>
      <c r="H8" s="248"/>
      <c r="I8" s="248"/>
      <c r="J8" s="248"/>
      <c r="K8" s="248"/>
    </row>
    <row r="9" spans="1:21">
      <c r="A9" s="245"/>
      <c r="B9" s="507" t="s">
        <v>1205</v>
      </c>
      <c r="C9" s="265"/>
      <c r="D9" s="248"/>
      <c r="E9" s="248"/>
      <c r="F9" s="248"/>
      <c r="G9" s="248"/>
      <c r="H9" s="248"/>
      <c r="I9" s="248"/>
      <c r="J9" s="248"/>
      <c r="K9" s="248"/>
    </row>
    <row r="10" spans="1:21" s="413" customFormat="1">
      <c r="A10" s="245"/>
      <c r="B10" s="1412" t="s">
        <v>1265</v>
      </c>
      <c r="C10" s="1412"/>
      <c r="D10" s="1412"/>
      <c r="E10" s="513" t="s">
        <v>1262</v>
      </c>
      <c r="F10" s="1419"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420"/>
      <c r="H10" s="1420"/>
      <c r="I10" s="1420"/>
      <c r="J10" s="1420"/>
      <c r="K10" s="1420"/>
      <c r="L10" s="1420"/>
      <c r="M10" s="1420"/>
      <c r="N10" s="1420"/>
      <c r="O10" s="1420"/>
      <c r="P10" s="1420"/>
      <c r="Q10" s="1420"/>
      <c r="R10" s="1420"/>
      <c r="S10" s="1420"/>
      <c r="T10" s="509"/>
      <c r="U10" s="509"/>
    </row>
    <row r="11" spans="1:21" s="413" customFormat="1" ht="14.45" customHeight="1">
      <c r="A11" s="245"/>
      <c r="B11" s="510"/>
      <c r="C11" s="511"/>
      <c r="D11" s="512" t="str">
        <f>IF(E10="SI APLICA","¿El indicador no se reporta por limitaciones de información disponible? ","")</f>
        <v xml:space="preserve">¿El indicador no se reporta por limitaciones de información disponible? </v>
      </c>
      <c r="E11" s="514" t="s">
        <v>1264</v>
      </c>
      <c r="F11" s="1413"/>
      <c r="G11" s="1414"/>
      <c r="H11" s="1414"/>
      <c r="I11" s="1414"/>
      <c r="J11" s="1414"/>
      <c r="K11" s="1414"/>
      <c r="L11" s="1414"/>
      <c r="M11" s="1414"/>
      <c r="N11" s="1414"/>
      <c r="O11" s="1414"/>
      <c r="P11" s="1414"/>
      <c r="Q11" s="1414"/>
      <c r="R11" s="1414"/>
      <c r="S11" s="1414"/>
    </row>
    <row r="12" spans="1:21" s="413" customFormat="1" ht="23.45" customHeight="1">
      <c r="A12" s="245"/>
      <c r="B12" s="507"/>
      <c r="C12" s="304"/>
      <c r="D12" s="512" t="str">
        <f>IF(E11="SI SE REPORTA","¿Qué programas o proyectos del Plan de Acción están asociados al indicador? ","")</f>
        <v xml:space="preserve">¿Qué programas o proyectos del Plan de Acción están asociados al indicador? </v>
      </c>
      <c r="E12" s="1415" t="str">
        <f>'Anexo 1 Matriz Inf Gestión'!E9:H9</f>
        <v>Proyecto No 1.1.Planificación, Ordenamiento e Información Ambiental Territorial (1)</v>
      </c>
      <c r="F12" s="1415"/>
      <c r="G12" s="1415"/>
      <c r="H12" s="1415"/>
      <c r="I12" s="1415"/>
      <c r="J12" s="1415"/>
      <c r="K12" s="1415"/>
      <c r="L12" s="1415"/>
      <c r="M12" s="1415"/>
      <c r="N12" s="1415"/>
      <c r="O12" s="1415"/>
      <c r="P12" s="1415"/>
      <c r="Q12" s="1415"/>
      <c r="R12" s="1415"/>
    </row>
    <row r="13" spans="1:21" s="413" customFormat="1" ht="21.95" customHeight="1">
      <c r="A13" s="245"/>
      <c r="B13" s="507"/>
      <c r="C13" s="304"/>
      <c r="D13" s="512" t="s">
        <v>1267</v>
      </c>
      <c r="E13" s="1416"/>
      <c r="F13" s="1417"/>
      <c r="G13" s="1417"/>
      <c r="H13" s="1417"/>
      <c r="I13" s="1417"/>
      <c r="J13" s="1417"/>
      <c r="K13" s="1417"/>
      <c r="L13" s="1417"/>
      <c r="M13" s="1417"/>
      <c r="N13" s="1417"/>
      <c r="O13" s="1417"/>
      <c r="P13" s="1417"/>
      <c r="Q13" s="1417"/>
      <c r="R13" s="1418"/>
    </row>
    <row r="14" spans="1:21" s="413" customFormat="1" ht="6.95" customHeight="1" thickBot="1">
      <c r="A14" s="245"/>
      <c r="B14" s="507"/>
      <c r="C14" s="265"/>
      <c r="D14" s="248"/>
      <c r="E14" s="248"/>
      <c r="F14" s="248"/>
      <c r="G14" s="248"/>
      <c r="H14" s="248"/>
      <c r="I14" s="248"/>
      <c r="J14" s="248"/>
      <c r="K14" s="248"/>
    </row>
    <row r="15" spans="1:21" ht="15.6" customHeight="1" thickTop="1" thickBot="1">
      <c r="A15" s="245"/>
      <c r="B15" s="1476" t="s">
        <v>2</v>
      </c>
      <c r="C15" s="268"/>
      <c r="D15" s="1400" t="s">
        <v>3</v>
      </c>
      <c r="E15" s="1401"/>
      <c r="F15" s="1401"/>
      <c r="G15" s="1401"/>
      <c r="H15" s="1401"/>
      <c r="I15" s="1402"/>
      <c r="J15" s="248"/>
      <c r="K15" s="248"/>
    </row>
    <row r="16" spans="1:21" ht="15.75" thickBot="1">
      <c r="A16" s="245"/>
      <c r="B16" s="1368"/>
      <c r="C16" s="272"/>
      <c r="D16" s="273" t="s">
        <v>156</v>
      </c>
      <c r="E16" s="280" t="s">
        <v>25</v>
      </c>
      <c r="F16" s="280" t="s">
        <v>26</v>
      </c>
      <c r="G16" s="280" t="s">
        <v>27</v>
      </c>
      <c r="H16" s="280" t="s">
        <v>28</v>
      </c>
      <c r="I16" s="342"/>
      <c r="J16" s="248"/>
      <c r="K16" s="248"/>
    </row>
    <row r="17" spans="1:11" ht="60.75" thickBot="1">
      <c r="A17" s="245"/>
      <c r="B17" s="1368"/>
      <c r="C17" s="272"/>
      <c r="D17" s="343" t="s">
        <v>313</v>
      </c>
      <c r="E17" s="217">
        <v>16</v>
      </c>
      <c r="F17" s="217">
        <v>16</v>
      </c>
      <c r="G17" s="217"/>
      <c r="H17" s="217"/>
      <c r="I17" s="340"/>
      <c r="J17" s="248"/>
      <c r="K17" s="248"/>
    </row>
    <row r="18" spans="1:11" ht="60.75" thickBot="1">
      <c r="A18" s="245"/>
      <c r="B18" s="1368"/>
      <c r="C18" s="272"/>
      <c r="D18" s="343" t="s">
        <v>314</v>
      </c>
      <c r="E18" s="217">
        <v>11</v>
      </c>
      <c r="F18" s="217">
        <v>14</v>
      </c>
      <c r="G18" s="217"/>
      <c r="H18" s="217"/>
      <c r="I18" s="340"/>
      <c r="J18" s="248"/>
      <c r="K18" s="248"/>
    </row>
    <row r="19" spans="1:11" ht="60.75" thickBot="1">
      <c r="A19" s="245"/>
      <c r="B19" s="1368"/>
      <c r="C19" s="272"/>
      <c r="D19" s="343" t="s">
        <v>315</v>
      </c>
      <c r="E19" s="196">
        <f>IFERROR(E18/E17,"N.A.")</f>
        <v>0.6875</v>
      </c>
      <c r="F19" s="196">
        <f t="shared" ref="F19:H19" si="0">IFERROR(F18/F17,"N.A.")</f>
        <v>0.875</v>
      </c>
      <c r="G19" s="196" t="str">
        <f t="shared" si="0"/>
        <v>N.A.</v>
      </c>
      <c r="H19" s="196" t="str">
        <f t="shared" si="0"/>
        <v>N.A.</v>
      </c>
      <c r="I19" s="305"/>
      <c r="J19" s="248"/>
      <c r="K19" s="248"/>
    </row>
    <row r="20" spans="1:11" ht="15.75" thickBot="1">
      <c r="A20" s="245"/>
      <c r="B20" s="1368"/>
      <c r="C20" s="276"/>
      <c r="D20" s="1373" t="s">
        <v>316</v>
      </c>
      <c r="E20" s="1374"/>
      <c r="F20" s="1374"/>
      <c r="G20" s="1374"/>
      <c r="H20" s="1374"/>
      <c r="I20" s="1375"/>
      <c r="J20" s="248"/>
      <c r="K20" s="248"/>
    </row>
    <row r="21" spans="1:11" ht="21" customHeight="1">
      <c r="A21" s="245"/>
      <c r="B21" s="337"/>
      <c r="C21" s="1470" t="s">
        <v>24</v>
      </c>
      <c r="D21" s="1472" t="s">
        <v>317</v>
      </c>
      <c r="E21" s="1474" t="s">
        <v>321</v>
      </c>
      <c r="F21" s="1474" t="s">
        <v>318</v>
      </c>
      <c r="G21" s="1474" t="s">
        <v>60</v>
      </c>
      <c r="H21" s="245"/>
      <c r="I21" s="274"/>
      <c r="J21" s="248"/>
      <c r="K21" s="248"/>
    </row>
    <row r="22" spans="1:11" ht="15.75" thickBot="1">
      <c r="A22" s="245"/>
      <c r="B22" s="337"/>
      <c r="C22" s="1471"/>
      <c r="D22" s="1473"/>
      <c r="E22" s="1475"/>
      <c r="F22" s="1475"/>
      <c r="G22" s="1475"/>
      <c r="H22" s="245"/>
      <c r="I22" s="274"/>
      <c r="J22" s="248"/>
      <c r="K22" s="248"/>
    </row>
    <row r="23" spans="1:11" s="199" customFormat="1" ht="15.75" thickBot="1">
      <c r="B23" s="227"/>
      <c r="C23" s="232">
        <v>1</v>
      </c>
      <c r="D23" s="31" t="s">
        <v>1649</v>
      </c>
      <c r="E23" s="7"/>
      <c r="F23" s="30"/>
      <c r="G23" s="30"/>
      <c r="I23" s="20"/>
      <c r="J23" s="19"/>
      <c r="K23" s="19"/>
    </row>
    <row r="24" spans="1:11" s="199" customFormat="1" ht="15.75" thickBot="1">
      <c r="B24" s="227"/>
      <c r="C24" s="232">
        <v>2</v>
      </c>
      <c r="D24" s="31" t="s">
        <v>1650</v>
      </c>
      <c r="E24" s="7"/>
      <c r="F24" s="30"/>
      <c r="G24" s="30"/>
      <c r="I24" s="20"/>
      <c r="J24" s="19"/>
      <c r="K24" s="19"/>
    </row>
    <row r="25" spans="1:11" s="199" customFormat="1" ht="15.75" thickBot="1">
      <c r="B25" s="227"/>
      <c r="C25" s="232">
        <v>3</v>
      </c>
      <c r="D25" s="31" t="s">
        <v>1651</v>
      </c>
      <c r="E25" s="7"/>
      <c r="F25" s="30"/>
      <c r="G25" s="30"/>
      <c r="H25" s="350"/>
      <c r="I25" s="20"/>
      <c r="J25" s="19"/>
      <c r="K25" s="19"/>
    </row>
    <row r="26" spans="1:11" s="199" customFormat="1" ht="15.75" thickBot="1">
      <c r="B26" s="227"/>
      <c r="C26" s="232">
        <v>4</v>
      </c>
      <c r="D26" s="31"/>
      <c r="E26" s="7"/>
      <c r="F26" s="30"/>
      <c r="G26" s="30"/>
      <c r="H26" s="350"/>
      <c r="I26" s="20"/>
      <c r="J26" s="19"/>
      <c r="K26" s="19"/>
    </row>
    <row r="27" spans="1:11" s="199" customFormat="1" ht="15.75" thickBot="1">
      <c r="B27" s="227"/>
      <c r="C27" s="232">
        <v>5</v>
      </c>
      <c r="D27" s="31"/>
      <c r="E27" s="7"/>
      <c r="F27" s="30"/>
      <c r="G27" s="30"/>
      <c r="H27" s="350"/>
      <c r="I27" s="20"/>
      <c r="J27" s="19"/>
      <c r="K27" s="19"/>
    </row>
    <row r="28" spans="1:11" s="199" customFormat="1" ht="15.75" thickBot="1">
      <c r="B28" s="227"/>
      <c r="C28" s="232">
        <v>6</v>
      </c>
      <c r="D28" s="31"/>
      <c r="E28" s="7"/>
      <c r="F28" s="30"/>
      <c r="G28" s="30"/>
      <c r="H28" s="350"/>
      <c r="I28" s="20"/>
      <c r="J28" s="19"/>
      <c r="K28" s="19"/>
    </row>
    <row r="29" spans="1:11" s="199" customFormat="1" ht="15.75" thickBot="1">
      <c r="B29" s="227"/>
      <c r="C29" s="232">
        <v>7</v>
      </c>
      <c r="D29" s="31"/>
      <c r="E29" s="7"/>
      <c r="F29" s="30"/>
      <c r="G29" s="30"/>
      <c r="H29" s="350"/>
      <c r="I29" s="20"/>
      <c r="J29" s="19"/>
      <c r="K29" s="19"/>
    </row>
    <row r="30" spans="1:11" s="199" customFormat="1" ht="15.75" thickBot="1">
      <c r="B30" s="227"/>
      <c r="C30" s="232">
        <v>8</v>
      </c>
      <c r="D30" s="31"/>
      <c r="E30" s="7"/>
      <c r="F30" s="30"/>
      <c r="G30" s="30"/>
      <c r="H30" s="350"/>
      <c r="I30" s="20"/>
      <c r="J30" s="19"/>
      <c r="K30" s="19"/>
    </row>
    <row r="31" spans="1:11" s="199" customFormat="1" ht="15.75" thickBot="1">
      <c r="B31" s="227"/>
      <c r="C31" s="232">
        <v>9</v>
      </c>
      <c r="D31" s="31"/>
      <c r="E31" s="7"/>
      <c r="F31" s="30"/>
      <c r="G31" s="30"/>
      <c r="H31" s="350"/>
      <c r="I31" s="20"/>
      <c r="J31" s="19"/>
      <c r="K31" s="19"/>
    </row>
    <row r="32" spans="1:11" s="199" customFormat="1" ht="15.75" thickBot="1">
      <c r="B32" s="227"/>
      <c r="C32" s="232">
        <v>10</v>
      </c>
      <c r="D32" s="31"/>
      <c r="E32" s="7"/>
      <c r="F32" s="30"/>
      <c r="G32" s="30"/>
      <c r="H32" s="350"/>
      <c r="I32" s="20"/>
      <c r="J32" s="19"/>
      <c r="K32" s="19"/>
    </row>
    <row r="33" spans="1:11" s="199" customFormat="1" ht="15.75" thickBot="1">
      <c r="B33" s="227"/>
      <c r="C33" s="232">
        <v>11</v>
      </c>
      <c r="D33" s="31"/>
      <c r="E33" s="7"/>
      <c r="F33" s="30"/>
      <c r="G33" s="30"/>
      <c r="H33" s="350"/>
      <c r="I33" s="20"/>
      <c r="J33" s="19"/>
      <c r="K33" s="19"/>
    </row>
    <row r="34" spans="1:11" s="199" customFormat="1" ht="15.75" thickBot="1">
      <c r="B34" s="227"/>
      <c r="C34" s="232">
        <v>12</v>
      </c>
      <c r="D34" s="31"/>
      <c r="E34" s="7"/>
      <c r="F34" s="30"/>
      <c r="G34" s="30"/>
      <c r="H34" s="350"/>
      <c r="I34" s="20"/>
      <c r="J34" s="19"/>
      <c r="K34" s="19"/>
    </row>
    <row r="35" spans="1:11" s="199" customFormat="1" ht="15.75" thickBot="1">
      <c r="B35" s="227"/>
      <c r="C35" s="232">
        <v>13</v>
      </c>
      <c r="D35" s="31"/>
      <c r="E35" s="7"/>
      <c r="F35" s="30"/>
      <c r="G35" s="30"/>
      <c r="H35" s="350"/>
      <c r="I35" s="20"/>
      <c r="J35" s="19"/>
      <c r="K35" s="19"/>
    </row>
    <row r="36" spans="1:11" s="199" customFormat="1" ht="15.75" thickBot="1">
      <c r="B36" s="227"/>
      <c r="C36" s="232">
        <v>14</v>
      </c>
      <c r="D36" s="31"/>
      <c r="E36" s="7"/>
      <c r="F36" s="30"/>
      <c r="G36" s="30"/>
      <c r="H36" s="350"/>
      <c r="I36" s="20"/>
      <c r="J36" s="19"/>
      <c r="K36" s="19"/>
    </row>
    <row r="37" spans="1:11" s="199" customFormat="1" ht="15.75" thickBot="1">
      <c r="B37" s="227"/>
      <c r="C37" s="232">
        <v>15</v>
      </c>
      <c r="D37" s="31"/>
      <c r="E37" s="7"/>
      <c r="F37" s="30"/>
      <c r="G37" s="30"/>
      <c r="H37" s="350"/>
      <c r="I37" s="20"/>
      <c r="J37" s="19"/>
      <c r="K37" s="19"/>
    </row>
    <row r="38" spans="1:11" s="199" customFormat="1" ht="15.75" thickBot="1">
      <c r="B38" s="227"/>
      <c r="C38" s="232">
        <v>16</v>
      </c>
      <c r="D38" s="31"/>
      <c r="E38" s="7"/>
      <c r="F38" s="30"/>
      <c r="G38" s="30"/>
      <c r="H38" s="350"/>
      <c r="I38" s="20"/>
      <c r="J38" s="19"/>
      <c r="K38" s="19"/>
    </row>
    <row r="39" spans="1:11" s="199" customFormat="1" ht="15.75" thickBot="1">
      <c r="B39" s="227"/>
      <c r="C39" s="232">
        <v>17</v>
      </c>
      <c r="D39" s="31"/>
      <c r="E39" s="7"/>
      <c r="F39" s="30"/>
      <c r="G39" s="30"/>
      <c r="H39" s="350"/>
      <c r="I39" s="20"/>
      <c r="J39" s="19"/>
      <c r="K39" s="19"/>
    </row>
    <row r="40" spans="1:11" s="199" customFormat="1" ht="15.75" thickBot="1">
      <c r="B40" s="227"/>
      <c r="C40" s="232">
        <v>18</v>
      </c>
      <c r="D40" s="31"/>
      <c r="E40" s="7"/>
      <c r="F40" s="30"/>
      <c r="G40" s="30"/>
      <c r="H40" s="350"/>
      <c r="I40" s="20"/>
      <c r="J40" s="19"/>
      <c r="K40" s="19"/>
    </row>
    <row r="41" spans="1:11" s="199" customFormat="1" ht="15.75" thickBot="1">
      <c r="B41" s="227"/>
      <c r="C41" s="232">
        <v>19</v>
      </c>
      <c r="D41" s="31"/>
      <c r="E41" s="7"/>
      <c r="F41" s="30"/>
      <c r="G41" s="30"/>
      <c r="I41" s="20"/>
      <c r="J41" s="19"/>
      <c r="K41" s="19"/>
    </row>
    <row r="42" spans="1:11" s="199" customFormat="1" ht="15.75" thickBot="1">
      <c r="B42" s="228"/>
      <c r="C42" s="232">
        <v>20</v>
      </c>
      <c r="D42" s="31"/>
      <c r="E42" s="7"/>
      <c r="F42" s="30"/>
      <c r="G42" s="30"/>
      <c r="I42" s="202"/>
      <c r="J42" s="19"/>
      <c r="K42" s="19"/>
    </row>
    <row r="43" spans="1:11" ht="36" customHeight="1" thickBot="1">
      <c r="A43" s="245"/>
      <c r="B43" s="285" t="s">
        <v>39</v>
      </c>
      <c r="C43" s="286"/>
      <c r="D43" s="1400" t="s">
        <v>319</v>
      </c>
      <c r="E43" s="1401"/>
      <c r="F43" s="1401"/>
      <c r="G43" s="1401"/>
      <c r="H43" s="1401"/>
      <c r="I43" s="1402"/>
      <c r="J43" s="248"/>
      <c r="K43" s="248"/>
    </row>
    <row r="44" spans="1:11" ht="24.75" thickBot="1">
      <c r="A44" s="245"/>
      <c r="B44" s="285" t="s">
        <v>41</v>
      </c>
      <c r="C44" s="286"/>
      <c r="D44" s="1400" t="s">
        <v>286</v>
      </c>
      <c r="E44" s="1401"/>
      <c r="F44" s="1401"/>
      <c r="G44" s="1401"/>
      <c r="H44" s="1401"/>
      <c r="I44" s="1402"/>
      <c r="J44" s="248"/>
      <c r="K44" s="248"/>
    </row>
    <row r="45" spans="1:11" ht="15.75" thickBot="1">
      <c r="A45" s="245"/>
      <c r="B45" s="249"/>
      <c r="C45" s="250"/>
      <c r="D45" s="248"/>
      <c r="E45" s="248"/>
      <c r="F45" s="248"/>
      <c r="G45" s="248"/>
      <c r="H45" s="248"/>
      <c r="I45" s="248"/>
      <c r="J45" s="248"/>
      <c r="K45" s="248"/>
    </row>
    <row r="46" spans="1:11" ht="24" customHeight="1" thickBot="1">
      <c r="A46" s="245"/>
      <c r="B46" s="1388" t="s">
        <v>43</v>
      </c>
      <c r="C46" s="1389"/>
      <c r="D46" s="1389"/>
      <c r="E46" s="1390"/>
      <c r="F46" s="248"/>
      <c r="G46" s="248"/>
      <c r="H46" s="248"/>
      <c r="I46" s="248"/>
      <c r="J46" s="248"/>
      <c r="K46" s="248"/>
    </row>
    <row r="47" spans="1:11" ht="15.75" thickBot="1">
      <c r="A47" s="245"/>
      <c r="B47" s="1391">
        <v>1</v>
      </c>
      <c r="C47" s="272"/>
      <c r="D47" s="289" t="s">
        <v>44</v>
      </c>
      <c r="E47" s="31" t="s">
        <v>1642</v>
      </c>
      <c r="F47" s="248"/>
      <c r="G47" s="248"/>
      <c r="H47" s="248"/>
      <c r="I47" s="248"/>
      <c r="J47" s="248"/>
      <c r="K47" s="248"/>
    </row>
    <row r="48" spans="1:11" ht="15.75" thickBot="1">
      <c r="A48" s="245"/>
      <c r="B48" s="1392"/>
      <c r="C48" s="272"/>
      <c r="D48" s="275" t="s">
        <v>45</v>
      </c>
      <c r="E48" s="31" t="s">
        <v>1643</v>
      </c>
      <c r="F48" s="248"/>
      <c r="G48" s="248"/>
      <c r="H48" s="248"/>
      <c r="I48" s="248"/>
      <c r="J48" s="248"/>
      <c r="K48" s="248"/>
    </row>
    <row r="49" spans="1:11" ht="15.75" thickBot="1">
      <c r="A49" s="245"/>
      <c r="B49" s="1392"/>
      <c r="C49" s="272"/>
      <c r="D49" s="275" t="s">
        <v>46</v>
      </c>
      <c r="E49" s="31" t="s">
        <v>1682</v>
      </c>
      <c r="F49" s="248"/>
      <c r="G49" s="248"/>
      <c r="H49" s="248"/>
      <c r="I49" s="248"/>
      <c r="J49" s="248"/>
      <c r="K49" s="248"/>
    </row>
    <row r="50" spans="1:11" ht="15.75" thickBot="1">
      <c r="A50" s="245"/>
      <c r="B50" s="1392"/>
      <c r="C50" s="272"/>
      <c r="D50" s="275" t="s">
        <v>47</v>
      </c>
      <c r="E50" s="31" t="s">
        <v>1660</v>
      </c>
      <c r="F50" s="248"/>
      <c r="G50" s="248"/>
      <c r="H50" s="248"/>
      <c r="I50" s="248"/>
      <c r="J50" s="248"/>
      <c r="K50" s="248"/>
    </row>
    <row r="51" spans="1:11" ht="15.75" thickBot="1">
      <c r="A51" s="245"/>
      <c r="B51" s="1392"/>
      <c r="C51" s="272"/>
      <c r="D51" s="275" t="s">
        <v>48</v>
      </c>
      <c r="E51" s="31" t="s">
        <v>1683</v>
      </c>
      <c r="F51" s="248"/>
      <c r="G51" s="248"/>
      <c r="H51" s="248"/>
      <c r="I51" s="248"/>
      <c r="J51" s="248"/>
      <c r="K51" s="248"/>
    </row>
    <row r="52" spans="1:11" ht="15.75" thickBot="1">
      <c r="A52" s="245"/>
      <c r="B52" s="1392"/>
      <c r="C52" s="272"/>
      <c r="D52" s="275" t="s">
        <v>49</v>
      </c>
      <c r="E52" s="31" t="s">
        <v>1725</v>
      </c>
      <c r="F52" s="248"/>
      <c r="G52" s="248"/>
      <c r="H52" s="248"/>
      <c r="I52" s="248"/>
      <c r="J52" s="248"/>
      <c r="K52" s="248"/>
    </row>
    <row r="53" spans="1:11" ht="15.75" thickBot="1">
      <c r="A53" s="245"/>
      <c r="B53" s="1393"/>
      <c r="C53" s="282"/>
      <c r="D53" s="275" t="s">
        <v>50</v>
      </c>
      <c r="E53" s="31" t="s">
        <v>1726</v>
      </c>
      <c r="F53" s="248"/>
      <c r="G53" s="248"/>
      <c r="H53" s="248"/>
      <c r="I53" s="248"/>
      <c r="J53" s="248"/>
      <c r="K53" s="248"/>
    </row>
    <row r="54" spans="1:11" ht="15.75" thickBot="1">
      <c r="A54" s="245"/>
      <c r="B54" s="249"/>
      <c r="C54" s="250"/>
      <c r="D54" s="248"/>
      <c r="E54" s="248"/>
      <c r="F54" s="248"/>
      <c r="G54" s="248"/>
      <c r="H54" s="248"/>
      <c r="I54" s="248"/>
      <c r="J54" s="248"/>
      <c r="K54" s="248"/>
    </row>
    <row r="55" spans="1:11" ht="15.75" thickBot="1">
      <c r="A55" s="245"/>
      <c r="B55" s="1388" t="s">
        <v>51</v>
      </c>
      <c r="C55" s="1389"/>
      <c r="D55" s="1389"/>
      <c r="E55" s="1390"/>
      <c r="F55" s="248"/>
      <c r="G55" s="248"/>
      <c r="H55" s="248"/>
      <c r="I55" s="248"/>
      <c r="J55" s="248"/>
      <c r="K55" s="248"/>
    </row>
    <row r="56" spans="1:11" ht="15.75" thickBot="1">
      <c r="A56" s="245"/>
      <c r="B56" s="1391">
        <v>1</v>
      </c>
      <c r="C56" s="272"/>
      <c r="D56" s="289" t="s">
        <v>44</v>
      </c>
      <c r="E56" s="233" t="s">
        <v>52</v>
      </c>
      <c r="F56" s="248"/>
      <c r="G56" s="248"/>
      <c r="H56" s="248"/>
      <c r="I56" s="248"/>
      <c r="J56" s="248"/>
      <c r="K56" s="248"/>
    </row>
    <row r="57" spans="1:11" ht="15.75" thickBot="1">
      <c r="A57" s="245"/>
      <c r="B57" s="1392"/>
      <c r="C57" s="272"/>
      <c r="D57" s="275" t="s">
        <v>45</v>
      </c>
      <c r="E57" s="233" t="s">
        <v>53</v>
      </c>
      <c r="F57" s="248"/>
      <c r="G57" s="248"/>
      <c r="H57" s="248"/>
      <c r="I57" s="248"/>
      <c r="J57" s="248"/>
      <c r="K57" s="248"/>
    </row>
    <row r="58" spans="1:11" ht="15.75" thickBot="1">
      <c r="A58" s="245"/>
      <c r="B58" s="1392"/>
      <c r="C58" s="272"/>
      <c r="D58" s="275" t="s">
        <v>46</v>
      </c>
      <c r="E58" s="315"/>
      <c r="F58" s="248"/>
      <c r="G58" s="248"/>
      <c r="H58" s="248"/>
      <c r="I58" s="248"/>
      <c r="J58" s="248"/>
      <c r="K58" s="248"/>
    </row>
    <row r="59" spans="1:11" ht="15.75" thickBot="1">
      <c r="A59" s="245"/>
      <c r="B59" s="1392"/>
      <c r="C59" s="272"/>
      <c r="D59" s="275" t="s">
        <v>47</v>
      </c>
      <c r="E59" s="315"/>
      <c r="F59" s="248"/>
      <c r="G59" s="248"/>
      <c r="H59" s="248"/>
      <c r="I59" s="248"/>
      <c r="J59" s="248"/>
      <c r="K59" s="248"/>
    </row>
    <row r="60" spans="1:11" ht="15.75" thickBot="1">
      <c r="A60" s="245"/>
      <c r="B60" s="1392"/>
      <c r="C60" s="272"/>
      <c r="D60" s="275" t="s">
        <v>48</v>
      </c>
      <c r="E60" s="315"/>
      <c r="F60" s="248"/>
      <c r="G60" s="248"/>
      <c r="H60" s="248"/>
      <c r="I60" s="248"/>
      <c r="J60" s="248"/>
      <c r="K60" s="248"/>
    </row>
    <row r="61" spans="1:11" ht="15.75" thickBot="1">
      <c r="A61" s="245"/>
      <c r="B61" s="1392"/>
      <c r="C61" s="272"/>
      <c r="D61" s="275" t="s">
        <v>49</v>
      </c>
      <c r="E61" s="315"/>
      <c r="F61" s="248"/>
      <c r="G61" s="248"/>
      <c r="H61" s="248"/>
      <c r="I61" s="248"/>
      <c r="J61" s="248"/>
      <c r="K61" s="248"/>
    </row>
    <row r="62" spans="1:11" ht="15.75" thickBot="1">
      <c r="A62" s="245"/>
      <c r="B62" s="1393"/>
      <c r="C62" s="282"/>
      <c r="D62" s="275" t="s">
        <v>50</v>
      </c>
      <c r="E62" s="315"/>
      <c r="F62" s="248"/>
      <c r="G62" s="248"/>
      <c r="H62" s="248"/>
      <c r="I62" s="248"/>
      <c r="J62" s="248"/>
      <c r="K62" s="248"/>
    </row>
    <row r="63" spans="1:11" ht="15.75" thickBot="1">
      <c r="A63" s="245"/>
      <c r="B63" s="249"/>
      <c r="C63" s="250"/>
      <c r="D63" s="248"/>
      <c r="E63" s="248"/>
      <c r="F63" s="248"/>
      <c r="G63" s="248"/>
      <c r="H63" s="248"/>
      <c r="I63" s="248"/>
      <c r="J63" s="248"/>
      <c r="K63" s="248"/>
    </row>
    <row r="64" spans="1:11" ht="15" customHeight="1" thickBot="1">
      <c r="A64" s="245"/>
      <c r="B64" s="291" t="s">
        <v>54</v>
      </c>
      <c r="C64" s="292"/>
      <c r="D64" s="292"/>
      <c r="E64" s="293"/>
      <c r="F64" s="245"/>
      <c r="G64" s="248"/>
      <c r="H64" s="248"/>
      <c r="I64" s="248"/>
      <c r="J64" s="248"/>
      <c r="K64" s="248"/>
    </row>
    <row r="65" spans="1:11" ht="24.75" thickBot="1">
      <c r="A65" s="245"/>
      <c r="B65" s="285" t="s">
        <v>55</v>
      </c>
      <c r="C65" s="275" t="s">
        <v>56</v>
      </c>
      <c r="D65" s="275" t="s">
        <v>57</v>
      </c>
      <c r="E65" s="275" t="s">
        <v>58</v>
      </c>
      <c r="F65" s="248"/>
      <c r="G65" s="248"/>
      <c r="H65" s="248"/>
      <c r="I65" s="248"/>
      <c r="J65" s="248"/>
      <c r="K65" s="245"/>
    </row>
    <row r="66" spans="1:11" ht="96.75" thickBot="1">
      <c r="A66" s="245"/>
      <c r="B66" s="295">
        <v>42401</v>
      </c>
      <c r="C66" s="275">
        <v>0.01</v>
      </c>
      <c r="D66" s="307" t="s">
        <v>320</v>
      </c>
      <c r="E66" s="275"/>
      <c r="F66" s="248"/>
      <c r="G66" s="248"/>
      <c r="H66" s="248"/>
      <c r="I66" s="248"/>
      <c r="J66" s="248"/>
      <c r="K66" s="245"/>
    </row>
    <row r="67" spans="1:11" ht="15.75" thickBot="1">
      <c r="A67" s="245"/>
      <c r="B67" s="308"/>
      <c r="C67" s="309"/>
      <c r="D67" s="248"/>
      <c r="E67" s="248"/>
      <c r="F67" s="248"/>
      <c r="G67" s="248"/>
      <c r="H67" s="248"/>
      <c r="I67" s="248"/>
      <c r="J67" s="248"/>
      <c r="K67" s="248"/>
    </row>
    <row r="68" spans="1:11">
      <c r="A68" s="245"/>
      <c r="B68" s="297" t="s">
        <v>60</v>
      </c>
      <c r="C68" s="298"/>
      <c r="D68" s="248"/>
      <c r="E68" s="248"/>
      <c r="F68" s="248"/>
      <c r="G68" s="248"/>
      <c r="H68" s="248"/>
      <c r="I68" s="248"/>
      <c r="J68" s="248"/>
      <c r="K68" s="248"/>
    </row>
    <row r="69" spans="1:11">
      <c r="A69" s="245"/>
      <c r="B69" s="1427"/>
      <c r="C69" s="1428"/>
      <c r="D69" s="1428"/>
      <c r="E69" s="1429"/>
      <c r="F69" s="248"/>
      <c r="G69" s="248"/>
      <c r="H69" s="248"/>
      <c r="I69" s="248"/>
      <c r="J69" s="248"/>
      <c r="K69" s="248"/>
    </row>
    <row r="70" spans="1:11" ht="15.75" thickBot="1">
      <c r="A70" s="245"/>
      <c r="B70" s="248"/>
      <c r="C70" s="265"/>
      <c r="D70" s="248"/>
      <c r="E70" s="248"/>
      <c r="F70" s="248"/>
      <c r="G70" s="248"/>
      <c r="H70" s="248"/>
      <c r="I70" s="248"/>
      <c r="J70" s="248"/>
      <c r="K70" s="248"/>
    </row>
    <row r="71" spans="1:11" ht="15.75" thickBot="1">
      <c r="A71" s="245"/>
      <c r="B71" s="1388" t="s">
        <v>61</v>
      </c>
      <c r="C71" s="1389"/>
      <c r="D71" s="1390"/>
      <c r="E71" s="248"/>
      <c r="F71" s="248"/>
      <c r="G71" s="248"/>
      <c r="H71" s="248"/>
      <c r="I71" s="248"/>
      <c r="J71" s="248"/>
      <c r="K71" s="248"/>
    </row>
    <row r="72" spans="1:11" ht="120.75" thickBot="1">
      <c r="A72" s="245"/>
      <c r="B72" s="285" t="s">
        <v>62</v>
      </c>
      <c r="C72" s="282"/>
      <c r="D72" s="275" t="s">
        <v>289</v>
      </c>
      <c r="E72" s="248"/>
      <c r="F72" s="248"/>
      <c r="G72" s="248"/>
      <c r="H72" s="248"/>
      <c r="I72" s="248"/>
      <c r="J72" s="248"/>
      <c r="K72" s="248"/>
    </row>
    <row r="73" spans="1:11">
      <c r="A73" s="245"/>
      <c r="B73" s="1391" t="s">
        <v>64</v>
      </c>
      <c r="C73" s="272"/>
      <c r="D73" s="312" t="s">
        <v>65</v>
      </c>
      <c r="E73" s="248"/>
      <c r="F73" s="248"/>
      <c r="G73" s="248"/>
      <c r="H73" s="248"/>
      <c r="I73" s="248"/>
      <c r="J73" s="248"/>
      <c r="K73" s="248"/>
    </row>
    <row r="74" spans="1:11" ht="96">
      <c r="A74" s="245"/>
      <c r="B74" s="1392"/>
      <c r="C74" s="272"/>
      <c r="D74" s="313" t="s">
        <v>290</v>
      </c>
      <c r="E74" s="248"/>
      <c r="F74" s="248"/>
      <c r="G74" s="248"/>
      <c r="H74" s="248"/>
      <c r="I74" s="248"/>
      <c r="J74" s="248"/>
      <c r="K74" s="248"/>
    </row>
    <row r="75" spans="1:11" ht="60">
      <c r="A75" s="245"/>
      <c r="B75" s="1392"/>
      <c r="C75" s="272"/>
      <c r="D75" s="313" t="s">
        <v>291</v>
      </c>
      <c r="E75" s="248"/>
      <c r="F75" s="248"/>
      <c r="G75" s="248"/>
      <c r="H75" s="248"/>
      <c r="I75" s="248"/>
      <c r="J75" s="248"/>
      <c r="K75" s="248"/>
    </row>
    <row r="76" spans="1:11">
      <c r="A76" s="245"/>
      <c r="B76" s="1392"/>
      <c r="C76" s="272"/>
      <c r="D76" s="312" t="s">
        <v>68</v>
      </c>
      <c r="E76" s="248"/>
      <c r="F76" s="248"/>
      <c r="G76" s="248"/>
      <c r="H76" s="248"/>
      <c r="I76" s="248"/>
      <c r="J76" s="248"/>
      <c r="K76" s="248"/>
    </row>
    <row r="77" spans="1:11" ht="24">
      <c r="A77" s="245"/>
      <c r="B77" s="1392"/>
      <c r="C77" s="272"/>
      <c r="D77" s="313" t="s">
        <v>292</v>
      </c>
      <c r="E77" s="248"/>
      <c r="F77" s="248"/>
      <c r="G77" s="248"/>
      <c r="H77" s="248"/>
      <c r="I77" s="248"/>
      <c r="J77" s="248"/>
      <c r="K77" s="248"/>
    </row>
    <row r="78" spans="1:11" ht="48">
      <c r="A78" s="245"/>
      <c r="B78" s="1392"/>
      <c r="C78" s="272"/>
      <c r="D78" s="313" t="s">
        <v>293</v>
      </c>
      <c r="E78" s="248"/>
      <c r="F78" s="248"/>
      <c r="G78" s="248"/>
      <c r="H78" s="248"/>
      <c r="I78" s="248"/>
      <c r="J78" s="248"/>
      <c r="K78" s="248"/>
    </row>
    <row r="79" spans="1:11">
      <c r="A79" s="245"/>
      <c r="B79" s="1392"/>
      <c r="C79" s="272"/>
      <c r="D79" s="313" t="s">
        <v>294</v>
      </c>
      <c r="E79" s="248"/>
      <c r="F79" s="248"/>
      <c r="G79" s="248"/>
      <c r="H79" s="248"/>
      <c r="I79" s="248"/>
      <c r="J79" s="248"/>
      <c r="K79" s="248"/>
    </row>
    <row r="80" spans="1:11" ht="36">
      <c r="A80" s="245"/>
      <c r="B80" s="1392"/>
      <c r="C80" s="272"/>
      <c r="D80" s="313" t="s">
        <v>295</v>
      </c>
      <c r="E80" s="248"/>
      <c r="F80" s="248"/>
      <c r="G80" s="248"/>
      <c r="H80" s="248"/>
      <c r="I80" s="248"/>
      <c r="J80" s="248"/>
      <c r="K80" s="248"/>
    </row>
    <row r="81" spans="1:11">
      <c r="A81" s="245"/>
      <c r="B81" s="1392"/>
      <c r="C81" s="272"/>
      <c r="D81" s="312" t="s">
        <v>296</v>
      </c>
      <c r="E81" s="248"/>
      <c r="F81" s="248"/>
      <c r="G81" s="248"/>
      <c r="H81" s="248"/>
      <c r="I81" s="248"/>
      <c r="J81" s="248"/>
      <c r="K81" s="248"/>
    </row>
    <row r="82" spans="1:11">
      <c r="A82" s="245"/>
      <c r="B82" s="1392"/>
      <c r="C82" s="272"/>
      <c r="D82" s="313" t="s">
        <v>297</v>
      </c>
      <c r="E82" s="248"/>
      <c r="F82" s="248"/>
      <c r="G82" s="248"/>
      <c r="H82" s="248"/>
      <c r="I82" s="248"/>
      <c r="J82" s="248"/>
      <c r="K82" s="248"/>
    </row>
    <row r="83" spans="1:11" ht="36">
      <c r="A83" s="245"/>
      <c r="B83" s="1392"/>
      <c r="C83" s="272"/>
      <c r="D83" s="313" t="s">
        <v>298</v>
      </c>
      <c r="E83" s="248"/>
      <c r="F83" s="248"/>
      <c r="G83" s="248"/>
      <c r="H83" s="248"/>
      <c r="I83" s="248"/>
      <c r="J83" s="248"/>
      <c r="K83" s="248"/>
    </row>
    <row r="84" spans="1:11" ht="45.75" thickBot="1">
      <c r="A84" s="245"/>
      <c r="B84" s="1393"/>
      <c r="C84" s="282"/>
      <c r="D84" s="346" t="s">
        <v>299</v>
      </c>
      <c r="E84" s="248"/>
      <c r="F84" s="248"/>
      <c r="G84" s="248"/>
      <c r="H84" s="248"/>
      <c r="I84" s="248"/>
      <c r="J84" s="248"/>
      <c r="K84" s="248"/>
    </row>
    <row r="85" spans="1:11" ht="24.75" thickBot="1">
      <c r="A85" s="245"/>
      <c r="B85" s="285" t="s">
        <v>77</v>
      </c>
      <c r="C85" s="282"/>
      <c r="D85" s="275"/>
      <c r="E85" s="248"/>
      <c r="F85" s="248"/>
      <c r="G85" s="248"/>
      <c r="H85" s="248"/>
      <c r="I85" s="248"/>
      <c r="J85" s="248"/>
      <c r="K85" s="248"/>
    </row>
    <row r="86" spans="1:11" ht="228">
      <c r="A86" s="245"/>
      <c r="B86" s="1391" t="s">
        <v>78</v>
      </c>
      <c r="C86" s="272"/>
      <c r="D86" s="313" t="s">
        <v>300</v>
      </c>
      <c r="E86" s="248"/>
      <c r="F86" s="248"/>
      <c r="G86" s="248"/>
      <c r="H86" s="248"/>
      <c r="I86" s="248"/>
      <c r="J86" s="248"/>
      <c r="K86" s="248"/>
    </row>
    <row r="87" spans="1:11" ht="180">
      <c r="A87" s="245"/>
      <c r="B87" s="1392"/>
      <c r="C87" s="272"/>
      <c r="D87" s="313" t="s">
        <v>301</v>
      </c>
      <c r="E87" s="248"/>
      <c r="F87" s="248"/>
      <c r="G87" s="248"/>
      <c r="H87" s="248"/>
      <c r="I87" s="248"/>
      <c r="J87" s="248"/>
      <c r="K87" s="248"/>
    </row>
    <row r="88" spans="1:11" ht="72">
      <c r="A88" s="245"/>
      <c r="B88" s="1392"/>
      <c r="C88" s="272"/>
      <c r="D88" s="313" t="s">
        <v>302</v>
      </c>
      <c r="E88" s="248"/>
      <c r="F88" s="248"/>
      <c r="G88" s="248"/>
      <c r="H88" s="248"/>
      <c r="I88" s="248"/>
      <c r="J88" s="248"/>
      <c r="K88" s="248"/>
    </row>
    <row r="89" spans="1:11" ht="24">
      <c r="A89" s="245"/>
      <c r="B89" s="1392"/>
      <c r="C89" s="272"/>
      <c r="D89" s="313" t="s">
        <v>303</v>
      </c>
      <c r="E89" s="248"/>
      <c r="F89" s="248"/>
      <c r="G89" s="248"/>
      <c r="H89" s="248"/>
      <c r="I89" s="248"/>
      <c r="J89" s="248"/>
      <c r="K89" s="248"/>
    </row>
    <row r="90" spans="1:11" ht="72">
      <c r="A90" s="245"/>
      <c r="B90" s="1392"/>
      <c r="C90" s="272"/>
      <c r="D90" s="347" t="s">
        <v>304</v>
      </c>
      <c r="E90" s="248"/>
      <c r="F90" s="248"/>
      <c r="G90" s="248"/>
      <c r="H90" s="248"/>
      <c r="I90" s="248"/>
      <c r="J90" s="248"/>
      <c r="K90" s="248"/>
    </row>
    <row r="91" spans="1:11" ht="84">
      <c r="A91" s="245"/>
      <c r="B91" s="1392"/>
      <c r="C91" s="272"/>
      <c r="D91" s="347" t="s">
        <v>305</v>
      </c>
      <c r="E91" s="248"/>
      <c r="F91" s="248"/>
      <c r="G91" s="248"/>
      <c r="H91" s="248"/>
      <c r="I91" s="248"/>
      <c r="J91" s="248"/>
      <c r="K91" s="248"/>
    </row>
    <row r="92" spans="1:11" ht="36">
      <c r="A92" s="245"/>
      <c r="B92" s="1392"/>
      <c r="C92" s="272"/>
      <c r="D92" s="347" t="s">
        <v>306</v>
      </c>
      <c r="E92" s="248"/>
      <c r="F92" s="248"/>
      <c r="G92" s="248"/>
      <c r="H92" s="248"/>
      <c r="I92" s="248"/>
      <c r="J92" s="248"/>
      <c r="K92" s="248"/>
    </row>
    <row r="93" spans="1:11" ht="36">
      <c r="A93" s="245"/>
      <c r="B93" s="1392"/>
      <c r="C93" s="272"/>
      <c r="D93" s="347" t="s">
        <v>307</v>
      </c>
      <c r="E93" s="248"/>
      <c r="F93" s="248"/>
      <c r="G93" s="248"/>
      <c r="H93" s="248"/>
      <c r="I93" s="248"/>
      <c r="J93" s="248"/>
      <c r="K93" s="248"/>
    </row>
    <row r="94" spans="1:11" ht="48">
      <c r="A94" s="245"/>
      <c r="B94" s="1392"/>
      <c r="C94" s="272"/>
      <c r="D94" s="347" t="s">
        <v>308</v>
      </c>
      <c r="E94" s="248"/>
      <c r="F94" s="248"/>
      <c r="G94" s="248"/>
      <c r="H94" s="248"/>
      <c r="I94" s="248"/>
      <c r="J94" s="248"/>
      <c r="K94" s="248"/>
    </row>
    <row r="95" spans="1:11" ht="60.75" thickBot="1">
      <c r="A95" s="245"/>
      <c r="B95" s="1393"/>
      <c r="C95" s="282"/>
      <c r="D95" s="348" t="s">
        <v>309</v>
      </c>
      <c r="E95" s="248"/>
      <c r="F95" s="248"/>
      <c r="G95" s="248"/>
      <c r="H95" s="248"/>
      <c r="I95" s="248"/>
      <c r="J95" s="248"/>
      <c r="K95" s="248"/>
    </row>
    <row r="96" spans="1:11">
      <c r="A96" s="245"/>
      <c r="B96" s="1391" t="s">
        <v>95</v>
      </c>
      <c r="C96" s="272"/>
      <c r="D96" s="313"/>
      <c r="E96" s="248"/>
      <c r="F96" s="248"/>
      <c r="G96" s="248"/>
      <c r="H96" s="248"/>
      <c r="I96" s="248"/>
      <c r="J96" s="248"/>
      <c r="K96" s="248"/>
    </row>
    <row r="97" spans="1:11">
      <c r="A97" s="245"/>
      <c r="B97" s="1392"/>
      <c r="C97" s="272"/>
      <c r="D97" s="314"/>
      <c r="E97" s="248"/>
      <c r="F97" s="248"/>
      <c r="G97" s="248"/>
      <c r="H97" s="248"/>
      <c r="I97" s="248"/>
      <c r="J97" s="248"/>
      <c r="K97" s="248"/>
    </row>
    <row r="98" spans="1:11">
      <c r="A98" s="245"/>
      <c r="B98" s="1392"/>
      <c r="C98" s="272"/>
      <c r="D98" s="313" t="s">
        <v>96</v>
      </c>
      <c r="E98" s="248"/>
      <c r="F98" s="248"/>
      <c r="G98" s="248"/>
      <c r="H98" s="248"/>
      <c r="I98" s="248"/>
      <c r="J98" s="248"/>
      <c r="K98" s="248"/>
    </row>
    <row r="99" spans="1:11" ht="61.5">
      <c r="A99" s="245"/>
      <c r="B99" s="1392"/>
      <c r="C99" s="272"/>
      <c r="D99" s="313" t="s">
        <v>310</v>
      </c>
      <c r="E99" s="248"/>
      <c r="F99" s="248"/>
      <c r="G99" s="248"/>
      <c r="H99" s="248"/>
      <c r="I99" s="248"/>
      <c r="J99" s="248"/>
      <c r="K99" s="248"/>
    </row>
    <row r="100" spans="1:11" ht="61.5">
      <c r="A100" s="245"/>
      <c r="B100" s="1392"/>
      <c r="C100" s="272"/>
      <c r="D100" s="313" t="s">
        <v>311</v>
      </c>
      <c r="E100" s="248"/>
      <c r="F100" s="248"/>
      <c r="G100" s="248"/>
      <c r="H100" s="248"/>
      <c r="I100" s="248"/>
      <c r="J100" s="248"/>
      <c r="K100" s="248"/>
    </row>
    <row r="101" spans="1:11" ht="62.25" thickBot="1">
      <c r="A101" s="245"/>
      <c r="B101" s="1393"/>
      <c r="C101" s="282"/>
      <c r="D101" s="275" t="s">
        <v>312</v>
      </c>
      <c r="E101" s="248"/>
      <c r="F101" s="248"/>
      <c r="G101" s="248"/>
      <c r="H101" s="248"/>
      <c r="I101" s="248"/>
      <c r="J101" s="248"/>
      <c r="K101" s="248"/>
    </row>
  </sheetData>
  <sheetProtection sheet="1" objects="1" scenarios="1"/>
  <mergeCells count="29">
    <mergeCell ref="A1:P1"/>
    <mergeCell ref="A2:P2"/>
    <mergeCell ref="A3:P3"/>
    <mergeCell ref="A4:D4"/>
    <mergeCell ref="A5:P5"/>
    <mergeCell ref="D15:I15"/>
    <mergeCell ref="D20:I20"/>
    <mergeCell ref="D43:I43"/>
    <mergeCell ref="E21:E22"/>
    <mergeCell ref="B15:B20"/>
    <mergeCell ref="F21:F22"/>
    <mergeCell ref="G21:G22"/>
    <mergeCell ref="B71:D71"/>
    <mergeCell ref="B73:B84"/>
    <mergeCell ref="B86:B95"/>
    <mergeCell ref="B96:B101"/>
    <mergeCell ref="C21:C22"/>
    <mergeCell ref="D21:D22"/>
    <mergeCell ref="B56:B62"/>
    <mergeCell ref="B69:E69"/>
    <mergeCell ref="D44:I44"/>
    <mergeCell ref="B46:E46"/>
    <mergeCell ref="B47:B53"/>
    <mergeCell ref="B55:E55"/>
    <mergeCell ref="B10:D10"/>
    <mergeCell ref="F10:S10"/>
    <mergeCell ref="F11:S11"/>
    <mergeCell ref="E12:R12"/>
    <mergeCell ref="E13:R13"/>
  </mergeCells>
  <conditionalFormatting sqref="F10">
    <cfRule type="notContainsBlanks" dxfId="104" priority="4">
      <formula>LEN(TRIM(F10))&gt;0</formula>
    </cfRule>
  </conditionalFormatting>
  <conditionalFormatting sqref="F11:S11">
    <cfRule type="expression" dxfId="103" priority="2">
      <formula>E11="NO SE REPORTA"</formula>
    </cfRule>
    <cfRule type="expression" dxfId="102" priority="3">
      <formula>E10="NO APLICA"</formula>
    </cfRule>
  </conditionalFormatting>
  <conditionalFormatting sqref="E12:R12">
    <cfRule type="expression" dxfId="101" priority="1">
      <formula>E11="SI SE REPORTA"</formula>
    </cfRule>
  </conditionalFormatting>
  <dataValidations count="3">
    <dataValidation type="whole" operator="greaterThanOrEqual" allowBlank="1" showErrorMessage="1" errorTitle="ERROR" error="Escriba un número igual o mayor que 0" promptTitle="ERROR" prompt="Escriba un número igual o mayor que 0" sqref="E17:H18 E23:E42">
      <formula1>0</formula1>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D84" r:id="rId1" display="http://cambioclimatico.minambiente.gov.co/"/>
    <hyperlink ref="B9" location="'ANEXO 3'!A1" display="VOLVER AL INDICE"/>
  </hyperlinks>
  <pageMargins left="0.25" right="0.25" top="0.75" bottom="0.75" header="0.3" footer="0.3"/>
  <pageSetup paperSize="178" orientation="landscape" horizontalDpi="1200" verticalDpi="1200"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showGridLines="0" zoomScale="98" zoomScaleNormal="98" workbookViewId="0">
      <selection sqref="A1:XFD1048576"/>
    </sheetView>
  </sheetViews>
  <sheetFormatPr baseColWidth="10" defaultRowHeight="15"/>
  <cols>
    <col min="1" max="1" width="1.85546875" customWidth="1"/>
    <col min="2" max="2" width="12.85546875" customWidth="1"/>
    <col min="3" max="3" width="5" style="88" bestFit="1" customWidth="1"/>
    <col min="4" max="4" width="34.85546875" customWidth="1"/>
    <col min="5" max="5" width="12.140625" customWidth="1"/>
  </cols>
  <sheetData>
    <row r="1" spans="1:21" s="551" customFormat="1" ht="100.5" customHeight="1" thickBot="1">
      <c r="A1" s="1344"/>
      <c r="B1" s="1345"/>
      <c r="C1" s="1345"/>
      <c r="D1" s="1345"/>
      <c r="E1" s="1345"/>
      <c r="F1" s="1345"/>
      <c r="G1" s="1345"/>
      <c r="H1" s="1345"/>
      <c r="I1" s="1345"/>
      <c r="J1" s="1345"/>
      <c r="K1" s="1345"/>
      <c r="L1" s="1345"/>
      <c r="M1" s="1345"/>
      <c r="N1" s="1345"/>
      <c r="O1" s="1345"/>
      <c r="P1" s="1346"/>
      <c r="Q1" s="413"/>
      <c r="R1" s="413"/>
    </row>
    <row r="2" spans="1:21" s="552" customFormat="1" ht="16.5" thickBot="1">
      <c r="A2" s="1352" t="str">
        <f>'Datos Generales'!C5</f>
        <v>Corporación Autónoma Regional de La Guajira – CORPOGUAJIRA</v>
      </c>
      <c r="B2" s="1353"/>
      <c r="C2" s="1353"/>
      <c r="D2" s="1353"/>
      <c r="E2" s="1353"/>
      <c r="F2" s="1353"/>
      <c r="G2" s="1353"/>
      <c r="H2" s="1353"/>
      <c r="I2" s="1353"/>
      <c r="J2" s="1353"/>
      <c r="K2" s="1353"/>
      <c r="L2" s="1353"/>
      <c r="M2" s="1353"/>
      <c r="N2" s="1353"/>
      <c r="O2" s="1353"/>
      <c r="P2" s="1354"/>
      <c r="Q2" s="413"/>
      <c r="R2" s="413"/>
    </row>
    <row r="3" spans="1:21" s="552" customFormat="1" ht="16.5" thickBot="1">
      <c r="A3" s="1347" t="s">
        <v>1419</v>
      </c>
      <c r="B3" s="1348"/>
      <c r="C3" s="1348"/>
      <c r="D3" s="1348"/>
      <c r="E3" s="1348"/>
      <c r="F3" s="1348"/>
      <c r="G3" s="1348"/>
      <c r="H3" s="1348"/>
      <c r="I3" s="1348"/>
      <c r="J3" s="1348"/>
      <c r="K3" s="1348"/>
      <c r="L3" s="1348"/>
      <c r="M3" s="1348"/>
      <c r="N3" s="1348"/>
      <c r="O3" s="1348"/>
      <c r="P3" s="1349"/>
      <c r="Q3" s="413"/>
      <c r="R3" s="413"/>
    </row>
    <row r="4" spans="1:21" s="552" customFormat="1" ht="16.5" thickBot="1">
      <c r="A4" s="1350" t="s">
        <v>1418</v>
      </c>
      <c r="B4" s="1351"/>
      <c r="C4" s="1351"/>
      <c r="D4" s="1351"/>
      <c r="E4" s="571" t="str">
        <f>'Datos Generales'!C6</f>
        <v>2016-II</v>
      </c>
      <c r="F4" s="571"/>
      <c r="G4" s="571"/>
      <c r="H4" s="571"/>
      <c r="I4" s="571"/>
      <c r="J4" s="571"/>
      <c r="K4" s="571"/>
      <c r="L4" s="572"/>
      <c r="M4" s="572"/>
      <c r="N4" s="572"/>
      <c r="O4" s="572"/>
      <c r="P4" s="573"/>
      <c r="Q4" s="413"/>
      <c r="R4" s="413"/>
    </row>
    <row r="5" spans="1:21" s="245" customFormat="1" ht="16.5" customHeight="1" thickBot="1">
      <c r="A5" s="1347" t="s">
        <v>322</v>
      </c>
      <c r="B5" s="1348"/>
      <c r="C5" s="1348"/>
      <c r="D5" s="1348"/>
      <c r="E5" s="1348"/>
      <c r="F5" s="1348"/>
      <c r="G5" s="1348"/>
      <c r="H5" s="1348"/>
      <c r="I5" s="1348"/>
      <c r="J5" s="1348"/>
      <c r="K5" s="1348"/>
      <c r="L5" s="1348"/>
      <c r="M5" s="1348"/>
      <c r="N5" s="1348"/>
      <c r="O5" s="1348"/>
      <c r="P5" s="1349"/>
    </row>
    <row r="6" spans="1:21">
      <c r="A6" s="245"/>
      <c r="B6" s="249" t="s">
        <v>1</v>
      </c>
      <c r="C6" s="250"/>
      <c r="D6" s="248"/>
      <c r="E6" s="259"/>
      <c r="F6" s="248" t="s">
        <v>133</v>
      </c>
      <c r="G6" s="248"/>
      <c r="H6" s="248"/>
      <c r="I6" s="248"/>
      <c r="J6" s="248"/>
      <c r="K6" s="248"/>
    </row>
    <row r="7" spans="1:21" ht="15.75" thickBot="1">
      <c r="A7" s="245"/>
      <c r="B7" s="251"/>
      <c r="C7" s="252"/>
      <c r="D7" s="248"/>
      <c r="E7" s="253"/>
      <c r="F7" s="248" t="s">
        <v>134</v>
      </c>
      <c r="G7" s="248"/>
      <c r="H7" s="248"/>
      <c r="I7" s="248"/>
      <c r="J7" s="248"/>
      <c r="K7" s="248"/>
    </row>
    <row r="8" spans="1:21" ht="15.75" thickBot="1">
      <c r="A8" s="245"/>
      <c r="B8" s="261" t="s">
        <v>1204</v>
      </c>
      <c r="C8" s="262">
        <v>2017</v>
      </c>
      <c r="D8" s="257">
        <f>IF(E10="NO APLICA","NO APLICA",IF(E11="NO SE REPORTA","SIN INFORMACION",+F19))</f>
        <v>0</v>
      </c>
      <c r="E8" s="264"/>
      <c r="F8" s="248" t="s">
        <v>135</v>
      </c>
      <c r="G8" s="248"/>
      <c r="H8" s="248"/>
      <c r="I8" s="248"/>
      <c r="J8" s="248"/>
      <c r="K8" s="248"/>
    </row>
    <row r="9" spans="1:21">
      <c r="A9" s="245"/>
      <c r="B9" s="507" t="s">
        <v>1205</v>
      </c>
      <c r="C9" s="265"/>
      <c r="D9" s="248"/>
      <c r="E9" s="248"/>
      <c r="F9" s="248"/>
      <c r="G9" s="248"/>
      <c r="H9" s="248"/>
      <c r="I9" s="248"/>
      <c r="J9" s="248"/>
      <c r="K9" s="248"/>
    </row>
    <row r="10" spans="1:21" s="413" customFormat="1">
      <c r="A10" s="245"/>
      <c r="B10" s="1412" t="s">
        <v>1265</v>
      </c>
      <c r="C10" s="1412"/>
      <c r="D10" s="1412"/>
      <c r="E10" s="513" t="s">
        <v>1262</v>
      </c>
      <c r="F10" s="1419"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420"/>
      <c r="H10" s="1420"/>
      <c r="I10" s="1420"/>
      <c r="J10" s="1420"/>
      <c r="K10" s="1420"/>
      <c r="L10" s="1420"/>
      <c r="M10" s="1420"/>
      <c r="N10" s="1420"/>
      <c r="O10" s="1420"/>
      <c r="P10" s="1420"/>
      <c r="Q10" s="1420"/>
      <c r="R10" s="1420"/>
      <c r="S10" s="1420"/>
      <c r="T10" s="509"/>
      <c r="U10" s="509"/>
    </row>
    <row r="11" spans="1:21" s="413" customFormat="1" ht="14.45" customHeight="1">
      <c r="A11" s="245"/>
      <c r="B11" s="510"/>
      <c r="C11" s="511"/>
      <c r="D11" s="512" t="str">
        <f>IF(E10="SI APLICA","¿El indicador no se reporta por limitaciones de información disponible? ","")</f>
        <v xml:space="preserve">¿El indicador no se reporta por limitaciones de información disponible? </v>
      </c>
      <c r="E11" s="514" t="s">
        <v>1264</v>
      </c>
      <c r="F11" s="1413" t="s">
        <v>1728</v>
      </c>
      <c r="G11" s="1414"/>
      <c r="H11" s="1414"/>
      <c r="I11" s="1414"/>
      <c r="J11" s="1414"/>
      <c r="K11" s="1414"/>
      <c r="L11" s="1414"/>
      <c r="M11" s="1414"/>
      <c r="N11" s="1414"/>
      <c r="O11" s="1414"/>
      <c r="P11" s="1414"/>
      <c r="Q11" s="1414"/>
      <c r="R11" s="1414"/>
      <c r="S11" s="1414"/>
    </row>
    <row r="12" spans="1:21" s="413" customFormat="1" ht="23.45" customHeight="1">
      <c r="A12" s="245"/>
      <c r="B12" s="507"/>
      <c r="C12" s="304"/>
      <c r="D12" s="512" t="str">
        <f>IF(E11="SI SE REPORTA","¿Qué programas o proyectos del Plan de Acción están asociados al indicador? ","")</f>
        <v xml:space="preserve">¿Qué programas o proyectos del Plan de Acción están asociados al indicador? </v>
      </c>
      <c r="E12" s="1415" t="str">
        <f>'Anexo 1 Matriz Inf Gestión'!E49:H49</f>
        <v>Proyecto No 3.1. Ecosistemas estratégicos continentales y marinos (6).</v>
      </c>
      <c r="F12" s="1415"/>
      <c r="G12" s="1415"/>
      <c r="H12" s="1415"/>
      <c r="I12" s="1415"/>
      <c r="J12" s="1415"/>
      <c r="K12" s="1415"/>
      <c r="L12" s="1415"/>
      <c r="M12" s="1415"/>
      <c r="N12" s="1415"/>
      <c r="O12" s="1415"/>
      <c r="P12" s="1415"/>
      <c r="Q12" s="1415"/>
      <c r="R12" s="1415"/>
    </row>
    <row r="13" spans="1:21" s="413" customFormat="1" ht="21.95" customHeight="1">
      <c r="A13" s="245"/>
      <c r="B13" s="507"/>
      <c r="C13" s="304"/>
      <c r="D13" s="512" t="s">
        <v>1267</v>
      </c>
      <c r="E13" s="1416"/>
      <c r="F13" s="1417"/>
      <c r="G13" s="1417"/>
      <c r="H13" s="1417"/>
      <c r="I13" s="1417"/>
      <c r="J13" s="1417"/>
      <c r="K13" s="1417"/>
      <c r="L13" s="1417"/>
      <c r="M13" s="1417"/>
      <c r="N13" s="1417"/>
      <c r="O13" s="1417"/>
      <c r="P13" s="1417"/>
      <c r="Q13" s="1417"/>
      <c r="R13" s="1418"/>
    </row>
    <row r="14" spans="1:21" s="413" customFormat="1" ht="6.95" customHeight="1" thickBot="1">
      <c r="A14" s="245"/>
      <c r="B14" s="507"/>
      <c r="C14" s="265"/>
      <c r="D14" s="248"/>
      <c r="E14" s="248"/>
      <c r="F14" s="248"/>
      <c r="G14" s="248"/>
      <c r="H14" s="248"/>
      <c r="I14" s="248"/>
      <c r="J14" s="248"/>
      <c r="K14" s="248"/>
    </row>
    <row r="15" spans="1:21" ht="15.6" customHeight="1" thickTop="1" thickBot="1">
      <c r="A15" s="245"/>
      <c r="B15" s="1476" t="s">
        <v>2</v>
      </c>
      <c r="C15" s="268"/>
      <c r="D15" s="1373" t="s">
        <v>344</v>
      </c>
      <c r="E15" s="1374"/>
      <c r="F15" s="1374"/>
      <c r="G15" s="1374"/>
      <c r="H15" s="1374"/>
      <c r="I15" s="1374"/>
      <c r="J15" s="1374"/>
      <c r="K15" s="1375"/>
    </row>
    <row r="16" spans="1:21" ht="15.75" thickBot="1">
      <c r="A16" s="199"/>
      <c r="B16" s="1368"/>
      <c r="C16" s="279" t="s">
        <v>24</v>
      </c>
      <c r="D16" s="273" t="s">
        <v>1212</v>
      </c>
      <c r="E16" s="273" t="s">
        <v>25</v>
      </c>
      <c r="F16" s="273" t="s">
        <v>26</v>
      </c>
      <c r="G16" s="273" t="s">
        <v>27</v>
      </c>
      <c r="H16" s="273" t="s">
        <v>28</v>
      </c>
      <c r="I16" s="229"/>
      <c r="J16" s="199"/>
      <c r="K16" s="274"/>
    </row>
    <row r="17" spans="1:11" ht="24.75" thickBot="1">
      <c r="A17" s="245"/>
      <c r="B17" s="1368"/>
      <c r="C17" s="282" t="s">
        <v>158</v>
      </c>
      <c r="D17" s="275" t="s">
        <v>345</v>
      </c>
      <c r="E17" s="218">
        <v>0</v>
      </c>
      <c r="F17" s="218">
        <v>50</v>
      </c>
      <c r="G17" s="218">
        <v>50</v>
      </c>
      <c r="H17" s="218">
        <v>50</v>
      </c>
      <c r="I17" s="200"/>
      <c r="J17" s="199"/>
      <c r="K17" s="274"/>
    </row>
    <row r="18" spans="1:11" ht="24.75" thickBot="1">
      <c r="A18" s="245"/>
      <c r="B18" s="1368"/>
      <c r="C18" s="282" t="s">
        <v>160</v>
      </c>
      <c r="D18" s="275" t="s">
        <v>346</v>
      </c>
      <c r="E18" s="218">
        <v>0</v>
      </c>
      <c r="F18" s="218"/>
      <c r="G18" s="218"/>
      <c r="H18" s="218"/>
      <c r="I18" s="200"/>
      <c r="J18" s="199"/>
      <c r="K18" s="274"/>
    </row>
    <row r="19" spans="1:11" ht="24.75" thickBot="1">
      <c r="A19" s="245"/>
      <c r="B19" s="1368"/>
      <c r="C19" s="282" t="s">
        <v>162</v>
      </c>
      <c r="D19" s="275" t="s">
        <v>347</v>
      </c>
      <c r="E19" s="196" t="str">
        <f>IFERROR(E18/E17,"N.A.")</f>
        <v>N.A.</v>
      </c>
      <c r="F19" s="196">
        <f t="shared" ref="F19:H19" si="0">IFERROR(F18/F17,"N.A.")</f>
        <v>0</v>
      </c>
      <c r="G19" s="196">
        <f t="shared" si="0"/>
        <v>0</v>
      </c>
      <c r="H19" s="196">
        <f t="shared" si="0"/>
        <v>0</v>
      </c>
      <c r="I19" s="196"/>
      <c r="J19" s="245"/>
      <c r="K19" s="274"/>
    </row>
    <row r="20" spans="1:11">
      <c r="A20" s="245"/>
      <c r="B20" s="337"/>
      <c r="C20" s="276"/>
      <c r="D20" s="1477" t="s">
        <v>1211</v>
      </c>
      <c r="E20" s="1478"/>
      <c r="F20" s="1478"/>
      <c r="G20" s="1478"/>
      <c r="H20" s="1478"/>
      <c r="I20" s="1478"/>
      <c r="J20" s="1478"/>
      <c r="K20" s="1479"/>
    </row>
    <row r="21" spans="1:11">
      <c r="A21" s="245"/>
      <c r="B21" s="337"/>
      <c r="C21" s="276"/>
      <c r="D21" s="1376" t="s">
        <v>254</v>
      </c>
      <c r="E21" s="1425"/>
      <c r="F21" s="1425"/>
      <c r="G21" s="1425"/>
      <c r="H21" s="1425"/>
      <c r="I21" s="1425"/>
      <c r="J21" s="1425"/>
      <c r="K21" s="1378"/>
    </row>
    <row r="22" spans="1:11">
      <c r="A22" s="245"/>
      <c r="B22" s="337"/>
      <c r="C22" s="276"/>
      <c r="D22" s="1376" t="s">
        <v>341</v>
      </c>
      <c r="E22" s="1425"/>
      <c r="F22" s="1425"/>
      <c r="G22" s="1425"/>
      <c r="H22" s="1425"/>
      <c r="I22" s="1425"/>
      <c r="J22" s="1425"/>
      <c r="K22" s="1378"/>
    </row>
    <row r="23" spans="1:11" ht="15.75" thickBot="1">
      <c r="A23" s="245"/>
      <c r="B23" s="337"/>
      <c r="C23" s="276"/>
      <c r="D23" s="1403" t="s">
        <v>348</v>
      </c>
      <c r="E23" s="1404"/>
      <c r="F23" s="1404"/>
      <c r="G23" s="1404"/>
      <c r="H23" s="1404"/>
      <c r="I23" s="1404"/>
      <c r="J23" s="1404"/>
      <c r="K23" s="1405"/>
    </row>
    <row r="24" spans="1:11" ht="36.75" thickBot="1">
      <c r="A24" s="245"/>
      <c r="B24" s="337"/>
      <c r="C24" s="279" t="s">
        <v>24</v>
      </c>
      <c r="D24" s="273" t="s">
        <v>278</v>
      </c>
      <c r="E24" s="273" t="s">
        <v>349</v>
      </c>
      <c r="F24" s="273" t="s">
        <v>350</v>
      </c>
      <c r="G24" s="273" t="s">
        <v>351</v>
      </c>
      <c r="H24" s="273" t="s">
        <v>352</v>
      </c>
      <c r="I24" s="273" t="s">
        <v>282</v>
      </c>
      <c r="J24" s="273" t="s">
        <v>283</v>
      </c>
      <c r="K24" s="435" t="s">
        <v>60</v>
      </c>
    </row>
    <row r="25" spans="1:11" s="199" customFormat="1" ht="15.75" thickBot="1">
      <c r="B25" s="227"/>
      <c r="C25" s="232">
        <v>1</v>
      </c>
      <c r="D25" s="31"/>
      <c r="E25" s="31"/>
      <c r="F25" s="218"/>
      <c r="G25" s="218"/>
      <c r="H25" s="218"/>
      <c r="I25" s="218"/>
      <c r="J25" s="218"/>
      <c r="K25" s="218"/>
    </row>
    <row r="26" spans="1:11" s="199" customFormat="1" ht="15.75" thickBot="1">
      <c r="B26" s="227"/>
      <c r="C26" s="232">
        <v>2</v>
      </c>
      <c r="D26" s="31"/>
      <c r="E26" s="31"/>
      <c r="F26" s="218"/>
      <c r="G26" s="218"/>
      <c r="H26" s="218"/>
      <c r="I26" s="218"/>
      <c r="J26" s="218"/>
      <c r="K26" s="218"/>
    </row>
    <row r="27" spans="1:11" s="199" customFormat="1" ht="15.75" thickBot="1">
      <c r="B27" s="227"/>
      <c r="C27" s="232">
        <v>3</v>
      </c>
      <c r="D27" s="31"/>
      <c r="E27" s="31"/>
      <c r="F27" s="218"/>
      <c r="G27" s="218"/>
      <c r="H27" s="218"/>
      <c r="I27" s="218"/>
      <c r="J27" s="218"/>
      <c r="K27" s="218"/>
    </row>
    <row r="28" spans="1:11" s="199" customFormat="1" ht="15.75" thickBot="1">
      <c r="B28" s="227"/>
      <c r="C28" s="232">
        <v>4</v>
      </c>
      <c r="D28" s="31"/>
      <c r="E28" s="31"/>
      <c r="F28" s="218"/>
      <c r="G28" s="218"/>
      <c r="H28" s="218"/>
      <c r="I28" s="218"/>
      <c r="J28" s="218"/>
      <c r="K28" s="218"/>
    </row>
    <row r="29" spans="1:11" s="199" customFormat="1" ht="15.75" thickBot="1">
      <c r="B29" s="227"/>
      <c r="C29" s="232">
        <v>5</v>
      </c>
      <c r="D29" s="31"/>
      <c r="E29" s="31"/>
      <c r="F29" s="218"/>
      <c r="G29" s="218"/>
      <c r="H29" s="218"/>
      <c r="I29" s="218"/>
      <c r="J29" s="218"/>
      <c r="K29" s="218"/>
    </row>
    <row r="30" spans="1:11" s="199" customFormat="1" ht="15.75" thickBot="1">
      <c r="B30" s="227"/>
      <c r="C30" s="232">
        <v>6</v>
      </c>
      <c r="D30" s="31"/>
      <c r="E30" s="31"/>
      <c r="F30" s="218"/>
      <c r="G30" s="218"/>
      <c r="H30" s="218"/>
      <c r="I30" s="218"/>
      <c r="J30" s="218"/>
      <c r="K30" s="218"/>
    </row>
    <row r="31" spans="1:11" s="199" customFormat="1" ht="15.75" thickBot="1">
      <c r="B31" s="227"/>
      <c r="C31" s="232">
        <v>7</v>
      </c>
      <c r="D31" s="31"/>
      <c r="E31" s="31"/>
      <c r="F31" s="218"/>
      <c r="G31" s="218"/>
      <c r="H31" s="218"/>
      <c r="I31" s="218"/>
      <c r="J31" s="218"/>
      <c r="K31" s="218"/>
    </row>
    <row r="32" spans="1:11" s="199" customFormat="1" ht="15.75" thickBot="1">
      <c r="B32" s="227"/>
      <c r="C32" s="232">
        <v>8</v>
      </c>
      <c r="D32" s="31"/>
      <c r="E32" s="31"/>
      <c r="F32" s="218"/>
      <c r="G32" s="218"/>
      <c r="H32" s="218"/>
      <c r="I32" s="218"/>
      <c r="J32" s="218"/>
      <c r="K32" s="218"/>
    </row>
    <row r="33" spans="1:11" s="199" customFormat="1" ht="15.75" thickBot="1">
      <c r="B33" s="227"/>
      <c r="C33" s="232">
        <v>9</v>
      </c>
      <c r="D33" s="31"/>
      <c r="E33" s="31"/>
      <c r="F33" s="218"/>
      <c r="G33" s="218"/>
      <c r="H33" s="218"/>
      <c r="I33" s="218"/>
      <c r="J33" s="218"/>
      <c r="K33" s="218"/>
    </row>
    <row r="34" spans="1:11" s="199" customFormat="1" ht="15.75" thickBot="1">
      <c r="B34" s="227"/>
      <c r="C34" s="232">
        <v>10</v>
      </c>
      <c r="D34" s="31"/>
      <c r="E34" s="31"/>
      <c r="F34" s="218"/>
      <c r="G34" s="218"/>
      <c r="H34" s="218"/>
      <c r="I34" s="218"/>
      <c r="J34" s="218"/>
      <c r="K34" s="218"/>
    </row>
    <row r="35" spans="1:11" s="199" customFormat="1" ht="15.75" thickBot="1">
      <c r="B35" s="227"/>
      <c r="C35" s="232">
        <v>11</v>
      </c>
      <c r="D35" s="31"/>
      <c r="E35" s="31"/>
      <c r="F35" s="218"/>
      <c r="G35" s="218"/>
      <c r="H35" s="218"/>
      <c r="I35" s="218"/>
      <c r="J35" s="218"/>
      <c r="K35" s="218"/>
    </row>
    <row r="36" spans="1:11" s="199" customFormat="1" ht="15.75" thickBot="1">
      <c r="B36" s="227"/>
      <c r="C36" s="232">
        <v>12</v>
      </c>
      <c r="D36" s="31"/>
      <c r="E36" s="31"/>
      <c r="F36" s="218"/>
      <c r="G36" s="218"/>
      <c r="H36" s="218"/>
      <c r="I36" s="218"/>
      <c r="J36" s="218"/>
      <c r="K36" s="218"/>
    </row>
    <row r="37" spans="1:11" ht="15.75" thickBot="1">
      <c r="A37" s="245"/>
      <c r="B37" s="285"/>
      <c r="C37" s="282"/>
      <c r="D37" s="275" t="s">
        <v>157</v>
      </c>
      <c r="E37" s="275"/>
      <c r="F37" s="351">
        <f>SUM(F25:F36)</f>
        <v>0</v>
      </c>
      <c r="G37" s="351">
        <f t="shared" ref="G37:J37" si="1">SUM(G25:G36)</f>
        <v>0</v>
      </c>
      <c r="H37" s="351">
        <f t="shared" si="1"/>
        <v>0</v>
      </c>
      <c r="I37" s="351">
        <f t="shared" si="1"/>
        <v>0</v>
      </c>
      <c r="J37" s="351">
        <f t="shared" si="1"/>
        <v>0</v>
      </c>
      <c r="K37" s="352"/>
    </row>
    <row r="38" spans="1:11" ht="24" customHeight="1" thickBot="1">
      <c r="A38" s="245"/>
      <c r="B38" s="353" t="s">
        <v>39</v>
      </c>
      <c r="C38" s="354"/>
      <c r="D38" s="1400" t="s">
        <v>353</v>
      </c>
      <c r="E38" s="1401"/>
      <c r="F38" s="1401"/>
      <c r="G38" s="1401"/>
      <c r="H38" s="1401"/>
      <c r="I38" s="1401"/>
      <c r="J38" s="1401"/>
      <c r="K38" s="1402"/>
    </row>
    <row r="39" spans="1:11" ht="24" customHeight="1" thickBot="1">
      <c r="A39" s="245"/>
      <c r="B39" s="353" t="s">
        <v>41</v>
      </c>
      <c r="C39" s="354"/>
      <c r="D39" s="1400" t="s">
        <v>354</v>
      </c>
      <c r="E39" s="1401"/>
      <c r="F39" s="1401"/>
      <c r="G39" s="1401"/>
      <c r="H39" s="1401"/>
      <c r="I39" s="1401"/>
      <c r="J39" s="1401"/>
      <c r="K39" s="1402"/>
    </row>
    <row r="40" spans="1:11" ht="15.75" thickBot="1">
      <c r="A40" s="245"/>
      <c r="B40" s="249"/>
      <c r="C40" s="250"/>
      <c r="D40" s="248"/>
      <c r="E40" s="248"/>
      <c r="F40" s="248"/>
      <c r="G40" s="248"/>
      <c r="H40" s="248"/>
      <c r="I40" s="248"/>
      <c r="J40" s="248"/>
      <c r="K40" s="248"/>
    </row>
    <row r="41" spans="1:11" ht="24" customHeight="1" thickBot="1">
      <c r="A41" s="245"/>
      <c r="B41" s="1388" t="s">
        <v>43</v>
      </c>
      <c r="C41" s="1389"/>
      <c r="D41" s="1389"/>
      <c r="E41" s="1390"/>
      <c r="F41" s="248"/>
      <c r="G41" s="248"/>
      <c r="H41" s="248"/>
      <c r="I41" s="248"/>
      <c r="J41" s="248"/>
      <c r="K41" s="248"/>
    </row>
    <row r="42" spans="1:11" ht="15.75" thickBot="1">
      <c r="A42" s="245"/>
      <c r="B42" s="1391">
        <v>1</v>
      </c>
      <c r="C42" s="272"/>
      <c r="D42" s="289" t="s">
        <v>44</v>
      </c>
      <c r="E42" s="31" t="s">
        <v>1642</v>
      </c>
      <c r="F42" s="248"/>
      <c r="G42" s="248"/>
      <c r="H42" s="248"/>
      <c r="I42" s="248"/>
      <c r="J42" s="248"/>
      <c r="K42" s="248"/>
    </row>
    <row r="43" spans="1:11" ht="15.75" thickBot="1">
      <c r="A43" s="245"/>
      <c r="B43" s="1392"/>
      <c r="C43" s="272"/>
      <c r="D43" s="275" t="s">
        <v>45</v>
      </c>
      <c r="E43" s="31" t="s">
        <v>1729</v>
      </c>
      <c r="F43" s="248"/>
      <c r="G43" s="248"/>
      <c r="H43" s="248"/>
      <c r="I43" s="248"/>
      <c r="J43" s="248"/>
      <c r="K43" s="248"/>
    </row>
    <row r="44" spans="1:11" ht="15.75" thickBot="1">
      <c r="A44" s="245"/>
      <c r="B44" s="1392"/>
      <c r="C44" s="272"/>
      <c r="D44" s="275" t="s">
        <v>46</v>
      </c>
      <c r="E44" s="31" t="s">
        <v>1730</v>
      </c>
      <c r="F44" s="248"/>
      <c r="G44" s="248"/>
      <c r="H44" s="248"/>
      <c r="I44" s="248"/>
      <c r="J44" s="248"/>
      <c r="K44" s="248"/>
    </row>
    <row r="45" spans="1:11" ht="15.75" thickBot="1">
      <c r="A45" s="245"/>
      <c r="B45" s="1392"/>
      <c r="C45" s="272"/>
      <c r="D45" s="275" t="s">
        <v>47</v>
      </c>
      <c r="E45" s="31" t="s">
        <v>1647</v>
      </c>
      <c r="F45" s="248"/>
      <c r="G45" s="248"/>
      <c r="H45" s="248"/>
      <c r="I45" s="248"/>
      <c r="J45" s="248"/>
      <c r="K45" s="248"/>
    </row>
    <row r="46" spans="1:11" ht="15.75" thickBot="1">
      <c r="A46" s="245"/>
      <c r="B46" s="1392"/>
      <c r="C46" s="272"/>
      <c r="D46" s="275" t="s">
        <v>48</v>
      </c>
      <c r="E46" s="31" t="s">
        <v>1731</v>
      </c>
      <c r="F46" s="248"/>
      <c r="G46" s="248"/>
      <c r="H46" s="248"/>
      <c r="I46" s="248"/>
      <c r="J46" s="248"/>
      <c r="K46" s="248"/>
    </row>
    <row r="47" spans="1:11" ht="15.75" thickBot="1">
      <c r="A47" s="245"/>
      <c r="B47" s="1392"/>
      <c r="C47" s="272"/>
      <c r="D47" s="275" t="s">
        <v>49</v>
      </c>
      <c r="E47" s="31" t="s">
        <v>1759</v>
      </c>
      <c r="F47" s="248"/>
      <c r="G47" s="248"/>
      <c r="H47" s="248"/>
      <c r="I47" s="248"/>
      <c r="J47" s="248"/>
      <c r="K47" s="248"/>
    </row>
    <row r="48" spans="1:11" ht="15.75" thickBot="1">
      <c r="A48" s="245"/>
      <c r="B48" s="1393"/>
      <c r="C48" s="282"/>
      <c r="D48" s="275" t="s">
        <v>50</v>
      </c>
      <c r="E48" s="31" t="s">
        <v>1733</v>
      </c>
      <c r="F48" s="248"/>
      <c r="G48" s="248"/>
      <c r="H48" s="248"/>
      <c r="I48" s="248"/>
      <c r="J48" s="248"/>
      <c r="K48" s="248"/>
    </row>
    <row r="49" spans="1:11" ht="15.75" thickBot="1">
      <c r="A49" s="245"/>
      <c r="B49" s="249"/>
      <c r="C49" s="250"/>
      <c r="D49" s="248"/>
      <c r="E49" s="248"/>
      <c r="F49" s="248"/>
      <c r="G49" s="248"/>
      <c r="H49" s="248"/>
      <c r="I49" s="248"/>
      <c r="J49" s="248"/>
      <c r="K49" s="248"/>
    </row>
    <row r="50" spans="1:11" ht="15.75" thickBot="1">
      <c r="A50" s="245"/>
      <c r="B50" s="1388" t="s">
        <v>51</v>
      </c>
      <c r="C50" s="1389"/>
      <c r="D50" s="1389"/>
      <c r="E50" s="1390"/>
      <c r="F50" s="248"/>
      <c r="G50" s="248"/>
      <c r="H50" s="248"/>
      <c r="I50" s="248"/>
      <c r="J50" s="248"/>
      <c r="K50" s="248"/>
    </row>
    <row r="51" spans="1:11" ht="15.75" thickBot="1">
      <c r="A51" s="245"/>
      <c r="B51" s="1391">
        <v>1</v>
      </c>
      <c r="C51" s="272"/>
      <c r="D51" s="289" t="s">
        <v>44</v>
      </c>
      <c r="E51" s="445" t="s">
        <v>52</v>
      </c>
      <c r="F51" s="248"/>
      <c r="G51" s="248"/>
      <c r="H51" s="248"/>
      <c r="I51" s="248"/>
      <c r="J51" s="248"/>
      <c r="K51" s="248"/>
    </row>
    <row r="52" spans="1:11" ht="15.75" thickBot="1">
      <c r="A52" s="245"/>
      <c r="B52" s="1392"/>
      <c r="C52" s="272"/>
      <c r="D52" s="275" t="s">
        <v>45</v>
      </c>
      <c r="E52" s="445" t="s">
        <v>166</v>
      </c>
      <c r="F52" s="248"/>
      <c r="G52" s="248"/>
      <c r="H52" s="248"/>
      <c r="I52" s="248"/>
      <c r="J52" s="248"/>
      <c r="K52" s="248"/>
    </row>
    <row r="53" spans="1:11" ht="15.75" thickBot="1">
      <c r="A53" s="245"/>
      <c r="B53" s="1392"/>
      <c r="C53" s="272"/>
      <c r="D53" s="275" t="s">
        <v>46</v>
      </c>
      <c r="E53" s="315"/>
      <c r="F53" s="248"/>
      <c r="G53" s="248"/>
      <c r="H53" s="248"/>
      <c r="I53" s="248"/>
      <c r="J53" s="248"/>
      <c r="K53" s="248"/>
    </row>
    <row r="54" spans="1:11" ht="15.75" thickBot="1">
      <c r="A54" s="245"/>
      <c r="B54" s="1392"/>
      <c r="C54" s="272"/>
      <c r="D54" s="275" t="s">
        <v>47</v>
      </c>
      <c r="E54" s="315"/>
      <c r="F54" s="248"/>
      <c r="G54" s="248"/>
      <c r="H54" s="248"/>
      <c r="I54" s="248"/>
      <c r="J54" s="248"/>
      <c r="K54" s="248"/>
    </row>
    <row r="55" spans="1:11" ht="15.75" thickBot="1">
      <c r="A55" s="245"/>
      <c r="B55" s="1392"/>
      <c r="C55" s="272"/>
      <c r="D55" s="275" t="s">
        <v>48</v>
      </c>
      <c r="E55" s="315"/>
      <c r="F55" s="248"/>
      <c r="G55" s="248"/>
      <c r="H55" s="248"/>
      <c r="I55" s="248"/>
      <c r="J55" s="248"/>
      <c r="K55" s="248"/>
    </row>
    <row r="56" spans="1:11" ht="15.75" thickBot="1">
      <c r="A56" s="245"/>
      <c r="B56" s="1392"/>
      <c r="C56" s="272"/>
      <c r="D56" s="275" t="s">
        <v>49</v>
      </c>
      <c r="E56" s="315"/>
      <c r="F56" s="248"/>
      <c r="G56" s="248"/>
      <c r="H56" s="248"/>
      <c r="I56" s="248"/>
      <c r="J56" s="248"/>
      <c r="K56" s="248"/>
    </row>
    <row r="57" spans="1:11" ht="15.75" thickBot="1">
      <c r="A57" s="245"/>
      <c r="B57" s="1393"/>
      <c r="C57" s="282"/>
      <c r="D57" s="275" t="s">
        <v>50</v>
      </c>
      <c r="E57" s="315"/>
      <c r="F57" s="248"/>
      <c r="G57" s="248"/>
      <c r="H57" s="248"/>
      <c r="I57" s="248"/>
      <c r="J57" s="248"/>
      <c r="K57" s="248"/>
    </row>
    <row r="58" spans="1:11" ht="15.75" thickBot="1">
      <c r="A58" s="245"/>
      <c r="B58" s="249"/>
      <c r="C58" s="250"/>
      <c r="D58" s="248"/>
      <c r="E58" s="248"/>
      <c r="F58" s="248"/>
      <c r="G58" s="248"/>
      <c r="H58" s="248"/>
      <c r="I58" s="248"/>
      <c r="J58" s="248"/>
      <c r="K58" s="248"/>
    </row>
    <row r="59" spans="1:11" ht="15" customHeight="1" thickBot="1">
      <c r="A59" s="245"/>
      <c r="B59" s="291" t="s">
        <v>54</v>
      </c>
      <c r="C59" s="292"/>
      <c r="D59" s="292"/>
      <c r="E59" s="293"/>
      <c r="F59" s="245"/>
      <c r="G59" s="248"/>
      <c r="H59" s="248"/>
      <c r="I59" s="248"/>
      <c r="J59" s="248"/>
      <c r="K59" s="248"/>
    </row>
    <row r="60" spans="1:11" ht="24.75" thickBot="1">
      <c r="A60" s="245"/>
      <c r="B60" s="285" t="s">
        <v>55</v>
      </c>
      <c r="C60" s="275" t="s">
        <v>56</v>
      </c>
      <c r="D60" s="275" t="s">
        <v>57</v>
      </c>
      <c r="E60" s="275" t="s">
        <v>58</v>
      </c>
      <c r="F60" s="248"/>
      <c r="G60" s="248"/>
      <c r="H60" s="248"/>
      <c r="I60" s="248"/>
      <c r="J60" s="248"/>
      <c r="K60" s="245"/>
    </row>
    <row r="61" spans="1:11" ht="72.75" thickBot="1">
      <c r="A61" s="245"/>
      <c r="B61" s="295">
        <v>42401</v>
      </c>
      <c r="C61" s="275">
        <v>0.01</v>
      </c>
      <c r="D61" s="296" t="s">
        <v>355</v>
      </c>
      <c r="E61" s="275"/>
      <c r="F61" s="248"/>
      <c r="G61" s="248"/>
      <c r="H61" s="248"/>
      <c r="I61" s="248"/>
      <c r="J61" s="248"/>
      <c r="K61" s="245"/>
    </row>
    <row r="62" spans="1:11" ht="15.75" thickBot="1">
      <c r="A62" s="245"/>
      <c r="B62" s="308"/>
      <c r="C62" s="309"/>
      <c r="D62" s="248"/>
      <c r="E62" s="248"/>
      <c r="F62" s="248"/>
      <c r="G62" s="248"/>
      <c r="H62" s="248"/>
      <c r="I62" s="248"/>
      <c r="J62" s="248"/>
      <c r="K62" s="248"/>
    </row>
    <row r="63" spans="1:11" ht="15.75" thickBot="1">
      <c r="A63" s="245"/>
      <c r="B63" s="335" t="s">
        <v>60</v>
      </c>
      <c r="C63" s="298"/>
      <c r="D63" s="248"/>
      <c r="E63" s="248"/>
      <c r="F63" s="248"/>
      <c r="G63" s="248"/>
      <c r="H63" s="248"/>
      <c r="I63" s="248"/>
      <c r="J63" s="248"/>
      <c r="K63" s="248"/>
    </row>
    <row r="64" spans="1:11">
      <c r="A64" s="245"/>
      <c r="B64" s="1440"/>
      <c r="C64" s="1441"/>
      <c r="D64" s="1441"/>
      <c r="E64" s="1441"/>
      <c r="F64" s="248"/>
      <c r="G64" s="248"/>
      <c r="H64" s="248"/>
      <c r="I64" s="248"/>
      <c r="J64" s="248"/>
      <c r="K64" s="248"/>
    </row>
    <row r="65" spans="1:11">
      <c r="A65" s="245"/>
      <c r="B65" s="1440"/>
      <c r="C65" s="1441"/>
      <c r="D65" s="1441"/>
      <c r="E65" s="1441"/>
      <c r="F65" s="248"/>
      <c r="G65" s="248"/>
      <c r="H65" s="248"/>
      <c r="I65" s="248"/>
      <c r="J65" s="248"/>
      <c r="K65" s="248"/>
    </row>
    <row r="66" spans="1:11" ht="15.75" thickBot="1">
      <c r="A66" s="245"/>
      <c r="B66" s="248"/>
      <c r="C66" s="265"/>
      <c r="D66" s="248"/>
      <c r="E66" s="248"/>
      <c r="F66" s="248"/>
      <c r="G66" s="248"/>
      <c r="H66" s="248"/>
      <c r="I66" s="248"/>
      <c r="J66" s="248"/>
      <c r="K66" s="248"/>
    </row>
    <row r="67" spans="1:11" ht="24.75" thickBot="1">
      <c r="A67" s="245"/>
      <c r="B67" s="310" t="s">
        <v>61</v>
      </c>
      <c r="C67" s="311"/>
      <c r="D67" s="248"/>
      <c r="E67" s="248"/>
      <c r="F67" s="248"/>
      <c r="G67" s="248"/>
      <c r="H67" s="248"/>
      <c r="I67" s="248"/>
      <c r="J67" s="248"/>
      <c r="K67" s="248"/>
    </row>
    <row r="68" spans="1:11" ht="15.75" thickBot="1">
      <c r="A68" s="245"/>
      <c r="B68" s="318"/>
      <c r="C68" s="304"/>
      <c r="D68" s="248"/>
      <c r="E68" s="248"/>
      <c r="F68" s="248"/>
      <c r="G68" s="248"/>
      <c r="H68" s="248"/>
      <c r="I68" s="248"/>
      <c r="J68" s="248"/>
      <c r="K68" s="248"/>
    </row>
    <row r="69" spans="1:11" ht="60.75" thickBot="1">
      <c r="A69" s="245"/>
      <c r="B69" s="299" t="s">
        <v>62</v>
      </c>
      <c r="C69" s="279"/>
      <c r="D69" s="273" t="s">
        <v>323</v>
      </c>
      <c r="E69" s="248"/>
      <c r="F69" s="248"/>
      <c r="G69" s="248"/>
      <c r="H69" s="248"/>
      <c r="I69" s="248"/>
      <c r="J69" s="248"/>
      <c r="K69" s="248"/>
    </row>
    <row r="70" spans="1:11">
      <c r="A70" s="245"/>
      <c r="B70" s="1391" t="s">
        <v>64</v>
      </c>
      <c r="C70" s="272"/>
      <c r="D70" s="312" t="s">
        <v>65</v>
      </c>
      <c r="E70" s="248"/>
      <c r="F70" s="248"/>
      <c r="G70" s="248"/>
      <c r="H70" s="248"/>
      <c r="I70" s="248"/>
      <c r="J70" s="248"/>
      <c r="K70" s="248"/>
    </row>
    <row r="71" spans="1:11" ht="72">
      <c r="A71" s="245"/>
      <c r="B71" s="1392"/>
      <c r="C71" s="272"/>
      <c r="D71" s="313" t="s">
        <v>324</v>
      </c>
      <c r="E71" s="248"/>
      <c r="F71" s="248"/>
      <c r="G71" s="248"/>
      <c r="H71" s="248"/>
      <c r="I71" s="248"/>
      <c r="J71" s="248"/>
      <c r="K71" s="248"/>
    </row>
    <row r="72" spans="1:11">
      <c r="A72" s="245"/>
      <c r="B72" s="1392"/>
      <c r="C72" s="272"/>
      <c r="D72" s="312" t="s">
        <v>325</v>
      </c>
      <c r="E72" s="248"/>
      <c r="F72" s="248"/>
      <c r="G72" s="248"/>
      <c r="H72" s="248"/>
      <c r="I72" s="248"/>
      <c r="J72" s="248"/>
      <c r="K72" s="248"/>
    </row>
    <row r="73" spans="1:11">
      <c r="A73" s="245"/>
      <c r="B73" s="1392"/>
      <c r="C73" s="272"/>
      <c r="D73" s="313" t="s">
        <v>326</v>
      </c>
      <c r="E73" s="248"/>
      <c r="F73" s="248"/>
      <c r="G73" s="248"/>
      <c r="H73" s="248"/>
      <c r="I73" s="248"/>
      <c r="J73" s="248"/>
      <c r="K73" s="248"/>
    </row>
    <row r="74" spans="1:11" ht="60">
      <c r="A74" s="245"/>
      <c r="B74" s="1392"/>
      <c r="C74" s="272"/>
      <c r="D74" s="313" t="s">
        <v>327</v>
      </c>
      <c r="E74" s="248"/>
      <c r="F74" s="248"/>
      <c r="G74" s="248"/>
      <c r="H74" s="248"/>
      <c r="I74" s="248"/>
      <c r="J74" s="248"/>
      <c r="K74" s="248"/>
    </row>
    <row r="75" spans="1:11" ht="252">
      <c r="A75" s="245"/>
      <c r="B75" s="1392"/>
      <c r="C75" s="272"/>
      <c r="D75" s="313" t="s">
        <v>328</v>
      </c>
      <c r="E75" s="248"/>
      <c r="F75" s="248"/>
      <c r="G75" s="248"/>
      <c r="H75" s="248"/>
      <c r="I75" s="248"/>
      <c r="J75" s="248"/>
      <c r="K75" s="248"/>
    </row>
    <row r="76" spans="1:11">
      <c r="A76" s="245"/>
      <c r="B76" s="1392"/>
      <c r="C76" s="272"/>
      <c r="D76" s="312" t="s">
        <v>296</v>
      </c>
      <c r="E76" s="248"/>
      <c r="F76" s="248"/>
      <c r="G76" s="248"/>
      <c r="H76" s="248"/>
      <c r="I76" s="248"/>
      <c r="J76" s="248"/>
      <c r="K76" s="248"/>
    </row>
    <row r="77" spans="1:11" ht="15.75" thickBot="1">
      <c r="A77" s="245"/>
      <c r="B77" s="1393"/>
      <c r="C77" s="282"/>
      <c r="D77" s="275" t="s">
        <v>329</v>
      </c>
      <c r="E77" s="248"/>
      <c r="F77" s="248"/>
      <c r="G77" s="248"/>
      <c r="H77" s="248"/>
      <c r="I77" s="248"/>
      <c r="J77" s="248"/>
      <c r="K77" s="248"/>
    </row>
    <row r="78" spans="1:11">
      <c r="A78" s="245"/>
      <c r="B78" s="1391" t="s">
        <v>77</v>
      </c>
      <c r="C78" s="349"/>
      <c r="D78" s="1391"/>
      <c r="E78" s="248"/>
      <c r="F78" s="248"/>
      <c r="G78" s="248"/>
      <c r="H78" s="248"/>
      <c r="I78" s="248"/>
      <c r="J78" s="248"/>
      <c r="K78" s="248"/>
    </row>
    <row r="79" spans="1:11" ht="15.75" thickBot="1">
      <c r="A79" s="245"/>
      <c r="B79" s="1393"/>
      <c r="C79" s="355"/>
      <c r="D79" s="1393"/>
      <c r="E79" s="248"/>
      <c r="F79" s="248"/>
      <c r="G79" s="248"/>
      <c r="H79" s="248"/>
      <c r="I79" s="248"/>
      <c r="J79" s="248"/>
      <c r="K79" s="248"/>
    </row>
    <row r="80" spans="1:11" ht="180">
      <c r="A80" s="245"/>
      <c r="B80" s="1391" t="s">
        <v>78</v>
      </c>
      <c r="C80" s="272"/>
      <c r="D80" s="313" t="s">
        <v>330</v>
      </c>
      <c r="E80" s="248"/>
      <c r="F80" s="248"/>
      <c r="G80" s="248"/>
      <c r="H80" s="248"/>
      <c r="I80" s="248"/>
      <c r="J80" s="248"/>
      <c r="K80" s="248"/>
    </row>
    <row r="81" spans="1:11" ht="120">
      <c r="A81" s="245"/>
      <c r="B81" s="1392"/>
      <c r="C81" s="272"/>
      <c r="D81" s="313" t="s">
        <v>331</v>
      </c>
      <c r="E81" s="248"/>
      <c r="F81" s="248"/>
      <c r="G81" s="248"/>
      <c r="H81" s="248"/>
      <c r="I81" s="248"/>
      <c r="J81" s="248"/>
      <c r="K81" s="248"/>
    </row>
    <row r="82" spans="1:11" ht="120">
      <c r="A82" s="245"/>
      <c r="B82" s="1392"/>
      <c r="C82" s="272"/>
      <c r="D82" s="313" t="s">
        <v>332</v>
      </c>
      <c r="E82" s="248"/>
      <c r="F82" s="248"/>
      <c r="G82" s="248"/>
      <c r="H82" s="248"/>
      <c r="I82" s="248"/>
      <c r="J82" s="248"/>
      <c r="K82" s="248"/>
    </row>
    <row r="83" spans="1:11" ht="84">
      <c r="A83" s="245"/>
      <c r="B83" s="1392"/>
      <c r="C83" s="272"/>
      <c r="D83" s="313" t="s">
        <v>333</v>
      </c>
      <c r="E83" s="248"/>
      <c r="F83" s="248"/>
      <c r="G83" s="248"/>
      <c r="H83" s="248"/>
      <c r="I83" s="248"/>
      <c r="J83" s="248"/>
      <c r="K83" s="248"/>
    </row>
    <row r="84" spans="1:11" ht="72">
      <c r="A84" s="245"/>
      <c r="B84" s="1392"/>
      <c r="C84" s="272"/>
      <c r="D84" s="313" t="s">
        <v>334</v>
      </c>
      <c r="E84" s="248"/>
      <c r="F84" s="248"/>
      <c r="G84" s="248"/>
      <c r="H84" s="248"/>
      <c r="I84" s="248"/>
      <c r="J84" s="248"/>
      <c r="K84" s="248"/>
    </row>
    <row r="85" spans="1:11" ht="192">
      <c r="A85" s="245"/>
      <c r="B85" s="1392"/>
      <c r="C85" s="272"/>
      <c r="D85" s="313" t="s">
        <v>335</v>
      </c>
      <c r="E85" s="248"/>
      <c r="F85" s="248"/>
      <c r="G85" s="248"/>
      <c r="H85" s="248"/>
      <c r="I85" s="248"/>
      <c r="J85" s="248"/>
      <c r="K85" s="248"/>
    </row>
    <row r="86" spans="1:11" ht="108.75" thickBot="1">
      <c r="A86" s="245"/>
      <c r="B86" s="1393"/>
      <c r="C86" s="282"/>
      <c r="D86" s="275" t="s">
        <v>336</v>
      </c>
      <c r="E86" s="248"/>
      <c r="F86" s="248"/>
      <c r="G86" s="248"/>
      <c r="H86" s="248"/>
      <c r="I86" s="248"/>
      <c r="J86" s="248"/>
      <c r="K86" s="248"/>
    </row>
    <row r="87" spans="1:11" ht="24">
      <c r="A87" s="245"/>
      <c r="B87" s="1391" t="s">
        <v>95</v>
      </c>
      <c r="C87" s="272"/>
      <c r="D87" s="312" t="s">
        <v>337</v>
      </c>
      <c r="E87" s="248"/>
      <c r="F87" s="248"/>
      <c r="G87" s="248"/>
      <c r="H87" s="248"/>
      <c r="I87" s="248"/>
      <c r="J87" s="248"/>
      <c r="K87" s="248"/>
    </row>
    <row r="88" spans="1:11">
      <c r="A88" s="245"/>
      <c r="B88" s="1392"/>
      <c r="C88" s="272"/>
      <c r="D88" s="314"/>
      <c r="E88" s="248"/>
      <c r="F88" s="248"/>
      <c r="G88" s="248"/>
      <c r="H88" s="248"/>
      <c r="I88" s="248"/>
      <c r="J88" s="248"/>
      <c r="K88" s="248"/>
    </row>
    <row r="89" spans="1:11">
      <c r="A89" s="245"/>
      <c r="B89" s="1392"/>
      <c r="C89" s="272"/>
      <c r="D89" s="313" t="s">
        <v>96</v>
      </c>
      <c r="E89" s="248"/>
      <c r="F89" s="248"/>
      <c r="G89" s="248"/>
      <c r="H89" s="248"/>
      <c r="I89" s="248"/>
      <c r="J89" s="248"/>
      <c r="K89" s="248"/>
    </row>
    <row r="90" spans="1:11" ht="37.5">
      <c r="A90" s="245"/>
      <c r="B90" s="1392"/>
      <c r="C90" s="272"/>
      <c r="D90" s="313" t="s">
        <v>338</v>
      </c>
      <c r="E90" s="248"/>
      <c r="F90" s="248"/>
      <c r="G90" s="248"/>
      <c r="H90" s="248"/>
      <c r="I90" s="248"/>
      <c r="J90" s="248"/>
      <c r="K90" s="248"/>
    </row>
    <row r="91" spans="1:11" ht="37.5">
      <c r="A91" s="245"/>
      <c r="B91" s="1392"/>
      <c r="C91" s="272"/>
      <c r="D91" s="313" t="s">
        <v>339</v>
      </c>
      <c r="E91" s="248"/>
      <c r="F91" s="248"/>
      <c r="G91" s="248"/>
      <c r="H91" s="248"/>
      <c r="I91" s="248"/>
      <c r="J91" s="248"/>
      <c r="K91" s="248"/>
    </row>
    <row r="92" spans="1:11" ht="37.5">
      <c r="A92" s="245"/>
      <c r="B92" s="1392"/>
      <c r="C92" s="272"/>
      <c r="D92" s="313" t="s">
        <v>340</v>
      </c>
      <c r="E92" s="248"/>
      <c r="F92" s="248"/>
      <c r="G92" s="248"/>
      <c r="H92" s="248"/>
      <c r="I92" s="248"/>
      <c r="J92" s="248"/>
      <c r="K92" s="248"/>
    </row>
    <row r="93" spans="1:11" ht="84">
      <c r="A93" s="245"/>
      <c r="B93" s="1392"/>
      <c r="C93" s="272"/>
      <c r="D93" s="356" t="s">
        <v>243</v>
      </c>
      <c r="E93" s="248"/>
      <c r="F93" s="248"/>
      <c r="G93" s="248"/>
      <c r="H93" s="248"/>
      <c r="I93" s="248"/>
      <c r="J93" s="248"/>
      <c r="K93" s="248"/>
    </row>
    <row r="94" spans="1:11">
      <c r="A94" s="245"/>
      <c r="B94" s="1392"/>
      <c r="C94" s="272"/>
      <c r="D94" s="312" t="s">
        <v>254</v>
      </c>
      <c r="E94" s="248"/>
      <c r="F94" s="248"/>
      <c r="G94" s="248"/>
      <c r="H94" s="248"/>
      <c r="I94" s="248"/>
      <c r="J94" s="248"/>
      <c r="K94" s="248"/>
    </row>
    <row r="95" spans="1:11" ht="36">
      <c r="A95" s="245"/>
      <c r="B95" s="1392"/>
      <c r="C95" s="272"/>
      <c r="D95" s="312" t="s">
        <v>341</v>
      </c>
      <c r="E95" s="248"/>
      <c r="F95" s="248"/>
      <c r="G95" s="248"/>
      <c r="H95" s="248"/>
      <c r="I95" s="248"/>
      <c r="J95" s="248"/>
      <c r="K95" s="248"/>
    </row>
    <row r="96" spans="1:11">
      <c r="A96" s="245"/>
      <c r="B96" s="1392"/>
      <c r="C96" s="272"/>
      <c r="D96" s="314"/>
      <c r="E96" s="248"/>
      <c r="F96" s="248"/>
      <c r="G96" s="248"/>
      <c r="H96" s="248"/>
      <c r="I96" s="248"/>
      <c r="J96" s="248"/>
      <c r="K96" s="248"/>
    </row>
    <row r="97" spans="1:11">
      <c r="A97" s="245"/>
      <c r="B97" s="1392"/>
      <c r="C97" s="272"/>
      <c r="D97" s="313" t="s">
        <v>96</v>
      </c>
      <c r="E97" s="248"/>
      <c r="F97" s="248"/>
      <c r="G97" s="248"/>
      <c r="H97" s="248"/>
      <c r="I97" s="248"/>
      <c r="J97" s="248"/>
      <c r="K97" s="248"/>
    </row>
    <row r="98" spans="1:11" ht="37.5">
      <c r="A98" s="245"/>
      <c r="B98" s="1392"/>
      <c r="C98" s="272"/>
      <c r="D98" s="313" t="s">
        <v>342</v>
      </c>
      <c r="E98" s="248"/>
      <c r="F98" s="248"/>
      <c r="G98" s="248"/>
      <c r="H98" s="248"/>
      <c r="I98" s="248"/>
      <c r="J98" s="248"/>
      <c r="K98" s="248"/>
    </row>
    <row r="99" spans="1:11" ht="62.25" thickBot="1">
      <c r="A99" s="245"/>
      <c r="B99" s="1393"/>
      <c r="C99" s="282"/>
      <c r="D99" s="275" t="s">
        <v>343</v>
      </c>
      <c r="E99" s="248"/>
      <c r="F99" s="248"/>
      <c r="G99" s="248"/>
      <c r="H99" s="248"/>
      <c r="I99" s="248"/>
      <c r="J99" s="248"/>
      <c r="K99" s="248"/>
    </row>
  </sheetData>
  <sheetProtection sheet="1" objects="1" scenarios="1"/>
  <mergeCells count="28">
    <mergeCell ref="A1:P1"/>
    <mergeCell ref="A2:P2"/>
    <mergeCell ref="A3:P3"/>
    <mergeCell ref="A4:D4"/>
    <mergeCell ref="A5:P5"/>
    <mergeCell ref="B64:E65"/>
    <mergeCell ref="D15:K15"/>
    <mergeCell ref="D20:K20"/>
    <mergeCell ref="D21:K21"/>
    <mergeCell ref="D22:K22"/>
    <mergeCell ref="B15:B19"/>
    <mergeCell ref="B51:B57"/>
    <mergeCell ref="D23:K23"/>
    <mergeCell ref="D38:K38"/>
    <mergeCell ref="D39:K39"/>
    <mergeCell ref="B41:E41"/>
    <mergeCell ref="B42:B48"/>
    <mergeCell ref="B50:E50"/>
    <mergeCell ref="B70:B77"/>
    <mergeCell ref="B78:B79"/>
    <mergeCell ref="D78:D79"/>
    <mergeCell ref="B80:B86"/>
    <mergeCell ref="B87:B99"/>
    <mergeCell ref="B10:D10"/>
    <mergeCell ref="F10:S10"/>
    <mergeCell ref="F11:S11"/>
    <mergeCell ref="E12:R12"/>
    <mergeCell ref="E13:R13"/>
  </mergeCells>
  <conditionalFormatting sqref="F10">
    <cfRule type="notContainsBlanks" dxfId="100" priority="4">
      <formula>LEN(TRIM(F10))&gt;0</formula>
    </cfRule>
  </conditionalFormatting>
  <conditionalFormatting sqref="F11:S11">
    <cfRule type="expression" dxfId="99" priority="2">
      <formula>E11="NO SE REPORTA"</formula>
    </cfRule>
    <cfRule type="expression" dxfId="98" priority="3">
      <formula>E10="NO APLICA"</formula>
    </cfRule>
  </conditionalFormatting>
  <conditionalFormatting sqref="E12:R12">
    <cfRule type="expression" dxfId="97" priority="1">
      <formula>E11="SI SE REPORTA"</formula>
    </cfRule>
  </conditionalFormatting>
  <dataValidations count="6">
    <dataValidation type="whole" operator="greaterThanOrEqual" allowBlank="1" showInputMessage="1" showErrorMessage="1" errorTitle="ERROR" error="Valor en PESOS (sin centavos)" sqref="G25:J36">
      <formula1>0</formula1>
    </dataValidation>
    <dataValidation type="whole" operator="greaterThanOrEqual" allowBlank="1" showInputMessage="1" showErrorMessage="1" errorTitle="ERROR" error="Valor en HECTAREAS (sin decimales)_x000a_" sqref="E17:H18 F25:F36">
      <formula1>0</formula1>
    </dataValidation>
    <dataValidation allowBlank="1" showInputMessage="1" showErrorMessage="1" promptTitle="OJO" prompt="NO TOCAR" sqref="F37:J37"/>
    <dataValidation allowBlank="1" showInputMessage="1" showErrorMessage="1" sqref="E19:H19"/>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55"/>
  <sheetViews>
    <sheetView showGridLines="0" zoomScale="98" zoomScaleNormal="98" workbookViewId="0">
      <selection sqref="A1:XFD1048576"/>
    </sheetView>
  </sheetViews>
  <sheetFormatPr baseColWidth="10" defaultRowHeight="15"/>
  <cols>
    <col min="1" max="1" width="1.85546875" customWidth="1"/>
    <col min="2" max="2" width="12.85546875" customWidth="1"/>
    <col min="3" max="3" width="5" style="88" bestFit="1" customWidth="1"/>
    <col min="4" max="4" width="34.85546875" customWidth="1"/>
    <col min="5" max="5" width="12.140625" customWidth="1"/>
  </cols>
  <sheetData>
    <row r="1" spans="1:21" s="551" customFormat="1" ht="100.5" customHeight="1" thickBot="1">
      <c r="A1" s="1344"/>
      <c r="B1" s="1345"/>
      <c r="C1" s="1345"/>
      <c r="D1" s="1345"/>
      <c r="E1" s="1345"/>
      <c r="F1" s="1345"/>
      <c r="G1" s="1345"/>
      <c r="H1" s="1345"/>
      <c r="I1" s="1345"/>
      <c r="J1" s="1345"/>
      <c r="K1" s="1345"/>
      <c r="L1" s="1345"/>
      <c r="M1" s="1345"/>
      <c r="N1" s="1345"/>
      <c r="O1" s="1345"/>
      <c r="P1" s="1346"/>
      <c r="Q1" s="413"/>
      <c r="R1" s="413"/>
    </row>
    <row r="2" spans="1:21" s="552" customFormat="1" ht="16.5" thickBot="1">
      <c r="A2" s="1352" t="str">
        <f>'Datos Generales'!C5</f>
        <v>Corporación Autónoma Regional de La Guajira – CORPOGUAJIRA</v>
      </c>
      <c r="B2" s="1353"/>
      <c r="C2" s="1353"/>
      <c r="D2" s="1353"/>
      <c r="E2" s="1353"/>
      <c r="F2" s="1353"/>
      <c r="G2" s="1353"/>
      <c r="H2" s="1353"/>
      <c r="I2" s="1353"/>
      <c r="J2" s="1353"/>
      <c r="K2" s="1353"/>
      <c r="L2" s="1353"/>
      <c r="M2" s="1353"/>
      <c r="N2" s="1353"/>
      <c r="O2" s="1353"/>
      <c r="P2" s="1354"/>
      <c r="Q2" s="413"/>
      <c r="R2" s="413"/>
    </row>
    <row r="3" spans="1:21" s="552" customFormat="1" ht="16.5" thickBot="1">
      <c r="A3" s="1347" t="s">
        <v>1419</v>
      </c>
      <c r="B3" s="1348"/>
      <c r="C3" s="1348"/>
      <c r="D3" s="1348"/>
      <c r="E3" s="1348"/>
      <c r="F3" s="1348"/>
      <c r="G3" s="1348"/>
      <c r="H3" s="1348"/>
      <c r="I3" s="1348"/>
      <c r="J3" s="1348"/>
      <c r="K3" s="1348"/>
      <c r="L3" s="1348"/>
      <c r="M3" s="1348"/>
      <c r="N3" s="1348"/>
      <c r="O3" s="1348"/>
      <c r="P3" s="1349"/>
      <c r="Q3" s="413"/>
      <c r="R3" s="413"/>
    </row>
    <row r="4" spans="1:21" s="552" customFormat="1" ht="16.5" thickBot="1">
      <c r="A4" s="1350" t="s">
        <v>1418</v>
      </c>
      <c r="B4" s="1351"/>
      <c r="C4" s="1351"/>
      <c r="D4" s="1351"/>
      <c r="E4" s="571" t="str">
        <f>'Datos Generales'!C6</f>
        <v>2016-II</v>
      </c>
      <c r="F4" s="571"/>
      <c r="G4" s="571"/>
      <c r="H4" s="571"/>
      <c r="I4" s="571"/>
      <c r="J4" s="571"/>
      <c r="K4" s="571"/>
      <c r="L4" s="572"/>
      <c r="M4" s="572"/>
      <c r="N4" s="572"/>
      <c r="O4" s="572"/>
      <c r="P4" s="573"/>
      <c r="Q4" s="413"/>
      <c r="R4" s="413"/>
    </row>
    <row r="5" spans="1:21" s="245" customFormat="1" ht="16.5" customHeight="1" thickBot="1">
      <c r="A5" s="1347" t="s">
        <v>356</v>
      </c>
      <c r="B5" s="1348"/>
      <c r="C5" s="1348"/>
      <c r="D5" s="1348"/>
      <c r="E5" s="1348"/>
      <c r="F5" s="1348"/>
      <c r="G5" s="1348"/>
      <c r="H5" s="1348"/>
      <c r="I5" s="1348"/>
      <c r="J5" s="1348"/>
      <c r="K5" s="1348"/>
      <c r="L5" s="1348"/>
      <c r="M5" s="1348"/>
      <c r="N5" s="1348"/>
      <c r="O5" s="1348"/>
      <c r="P5" s="1349"/>
    </row>
    <row r="6" spans="1:21">
      <c r="A6" s="245"/>
      <c r="B6" s="246"/>
      <c r="C6" s="247"/>
      <c r="D6" s="248"/>
      <c r="E6" s="248"/>
      <c r="F6" s="248"/>
      <c r="G6" s="248"/>
      <c r="H6" s="248"/>
      <c r="I6" s="248"/>
      <c r="J6" s="248"/>
      <c r="K6" s="248"/>
    </row>
    <row r="7" spans="1:21">
      <c r="A7" s="245"/>
      <c r="B7" s="249" t="s">
        <v>1</v>
      </c>
      <c r="C7" s="250"/>
      <c r="D7" s="248"/>
      <c r="E7" s="259"/>
      <c r="F7" s="248" t="s">
        <v>133</v>
      </c>
      <c r="G7" s="248"/>
      <c r="H7" s="248"/>
      <c r="I7" s="248"/>
      <c r="J7" s="248"/>
      <c r="K7" s="248"/>
    </row>
    <row r="8" spans="1:21" ht="15.75" thickBot="1">
      <c r="A8" s="245"/>
      <c r="B8" s="251"/>
      <c r="C8" s="252"/>
      <c r="D8" s="248"/>
      <c r="E8" s="253"/>
      <c r="F8" s="248" t="s">
        <v>134</v>
      </c>
      <c r="G8" s="248"/>
      <c r="H8" s="248"/>
      <c r="I8" s="248"/>
      <c r="J8" s="248"/>
      <c r="K8" s="248"/>
    </row>
    <row r="9" spans="1:21" ht="15.75" thickBot="1">
      <c r="A9" s="245"/>
      <c r="B9" s="261" t="s">
        <v>1204</v>
      </c>
      <c r="C9" s="262">
        <v>2017</v>
      </c>
      <c r="D9" s="257">
        <f>IF(E11="NO APLICA","NO APLICA",IF(E12="NO SE REPORTA","SIN INFORMACION",+F96))</f>
        <v>0</v>
      </c>
      <c r="E9" s="264"/>
      <c r="F9" s="248" t="s">
        <v>135</v>
      </c>
      <c r="G9" s="248"/>
      <c r="H9" s="248"/>
      <c r="I9" s="248"/>
      <c r="J9" s="248"/>
      <c r="K9" s="248"/>
    </row>
    <row r="10" spans="1:21">
      <c r="A10" s="245"/>
      <c r="B10" s="507" t="s">
        <v>1205</v>
      </c>
      <c r="C10" s="250"/>
      <c r="D10" s="248"/>
      <c r="E10" s="248"/>
      <c r="F10" s="248"/>
      <c r="G10" s="248"/>
      <c r="H10" s="248"/>
      <c r="I10" s="248"/>
      <c r="J10" s="248"/>
      <c r="K10" s="248"/>
    </row>
    <row r="11" spans="1:21" s="413" customFormat="1">
      <c r="A11" s="245"/>
      <c r="B11" s="1412" t="s">
        <v>1265</v>
      </c>
      <c r="C11" s="1412"/>
      <c r="D11" s="1412"/>
      <c r="E11" s="513" t="s">
        <v>1262</v>
      </c>
      <c r="F11" s="1419" t="str">
        <f>IF(E11="NO APLICA","      ESCRIBA EL NÚMERO DEL ACUERDO DEL CONSEJO DIRECTIVO EN EL CUAL DECIDE LA NO PROCEDENCIA DE LA APLICACIÓN DEL INDICADOR",IF(E12="NO SE REPORTA","      ESCRIBA EL NÚMERO DEL ACUERDO DEL CONSEJO DIRECTIVO EN LA CUAL SE APRUEBA LA AGENDA DE IMPLEMENTACION DEL INDICADOR",""))</f>
        <v/>
      </c>
      <c r="G11" s="1420"/>
      <c r="H11" s="1420"/>
      <c r="I11" s="1420"/>
      <c r="J11" s="1420"/>
      <c r="K11" s="1420"/>
      <c r="L11" s="1420"/>
      <c r="M11" s="1420"/>
      <c r="N11" s="1420"/>
      <c r="O11" s="1420"/>
      <c r="P11" s="1420"/>
      <c r="Q11" s="1420"/>
      <c r="R11" s="1420"/>
      <c r="S11" s="1420"/>
      <c r="T11" s="509"/>
      <c r="U11" s="509"/>
    </row>
    <row r="12" spans="1:21" s="413" customFormat="1" ht="14.45" customHeight="1">
      <c r="A12" s="245"/>
      <c r="B12" s="510"/>
      <c r="C12" s="511"/>
      <c r="D12" s="512" t="str">
        <f>IF(E11="SI APLICA","¿El indicador no se reporta por limitaciones de información disponible? ","")</f>
        <v xml:space="preserve">¿El indicador no se reporta por limitaciones de información disponible? </v>
      </c>
      <c r="E12" s="514" t="s">
        <v>1264</v>
      </c>
      <c r="F12" s="1413"/>
      <c r="G12" s="1414"/>
      <c r="H12" s="1414"/>
      <c r="I12" s="1414"/>
      <c r="J12" s="1414"/>
      <c r="K12" s="1414"/>
      <c r="L12" s="1414"/>
      <c r="M12" s="1414"/>
      <c r="N12" s="1414"/>
      <c r="O12" s="1414"/>
      <c r="P12" s="1414"/>
      <c r="Q12" s="1414"/>
      <c r="R12" s="1414"/>
      <c r="S12" s="1414"/>
    </row>
    <row r="13" spans="1:21" s="413" customFormat="1" ht="23.45" customHeight="1">
      <c r="A13" s="245"/>
      <c r="B13" s="507"/>
      <c r="C13" s="304"/>
      <c r="D13" s="512" t="str">
        <f>IF(E12="SI SE REPORTA","¿Qué programas o proyectos del Plan de Acción están asociados al indicador? ","")</f>
        <v xml:space="preserve">¿Qué programas o proyectos del Plan de Acción están asociados al indicador? </v>
      </c>
      <c r="E13" s="1415" t="str">
        <f>'Anexo 1 Matriz Inf Gestión'!E49:H49</f>
        <v>Proyecto No 3.1. Ecosistemas estratégicos continentales y marinos (6).</v>
      </c>
      <c r="F13" s="1415"/>
      <c r="G13" s="1415"/>
      <c r="H13" s="1415"/>
      <c r="I13" s="1415"/>
      <c r="J13" s="1415"/>
      <c r="K13" s="1415"/>
      <c r="L13" s="1415"/>
      <c r="M13" s="1415"/>
      <c r="N13" s="1415"/>
      <c r="O13" s="1415"/>
      <c r="P13" s="1415"/>
      <c r="Q13" s="1415"/>
      <c r="R13" s="1415"/>
    </row>
    <row r="14" spans="1:21" s="413" customFormat="1" ht="21.95" customHeight="1">
      <c r="A14" s="245"/>
      <c r="B14" s="507"/>
      <c r="C14" s="304"/>
      <c r="D14" s="512" t="s">
        <v>1267</v>
      </c>
      <c r="E14" s="1416"/>
      <c r="F14" s="1417"/>
      <c r="G14" s="1417"/>
      <c r="H14" s="1417"/>
      <c r="I14" s="1417"/>
      <c r="J14" s="1417"/>
      <c r="K14" s="1417"/>
      <c r="L14" s="1417"/>
      <c r="M14" s="1417"/>
      <c r="N14" s="1417"/>
      <c r="O14" s="1417"/>
      <c r="P14" s="1417"/>
      <c r="Q14" s="1417"/>
      <c r="R14" s="1418"/>
    </row>
    <row r="15" spans="1:21" s="413" customFormat="1" ht="6.95" customHeight="1" thickBot="1">
      <c r="A15" s="245"/>
      <c r="B15" s="507"/>
      <c r="C15" s="250"/>
      <c r="D15" s="248"/>
      <c r="E15" s="248"/>
      <c r="F15" s="248"/>
      <c r="G15" s="248"/>
      <c r="H15" s="248"/>
      <c r="I15" s="248"/>
      <c r="J15" s="248"/>
      <c r="K15" s="248"/>
    </row>
    <row r="16" spans="1:21" ht="15" customHeight="1" thickBot="1">
      <c r="A16" s="245"/>
      <c r="B16" s="1391" t="s">
        <v>2</v>
      </c>
      <c r="C16" s="268"/>
      <c r="D16" s="269" t="s">
        <v>344</v>
      </c>
      <c r="E16" s="270"/>
      <c r="F16" s="270"/>
      <c r="G16" s="270"/>
      <c r="H16" s="270"/>
      <c r="I16" s="270"/>
      <c r="J16" s="271"/>
      <c r="K16" s="248"/>
    </row>
    <row r="17" spans="1:11">
      <c r="A17" s="245"/>
      <c r="B17" s="1392"/>
      <c r="C17" s="1470" t="s">
        <v>24</v>
      </c>
      <c r="D17" s="1474" t="s">
        <v>156</v>
      </c>
      <c r="E17" s="1488" t="s">
        <v>372</v>
      </c>
      <c r="F17" s="1484" t="s">
        <v>1195</v>
      </c>
      <c r="G17" s="1488" t="s">
        <v>157</v>
      </c>
      <c r="H17" s="248"/>
      <c r="I17" s="245"/>
      <c r="J17" s="274"/>
      <c r="K17" s="248"/>
    </row>
    <row r="18" spans="1:11" ht="15.75" thickBot="1">
      <c r="A18" s="245"/>
      <c r="B18" s="1392"/>
      <c r="C18" s="1471"/>
      <c r="D18" s="1475"/>
      <c r="E18" s="1489"/>
      <c r="F18" s="1485"/>
      <c r="G18" s="1489"/>
      <c r="H18" s="248"/>
      <c r="I18" s="245"/>
      <c r="J18" s="274"/>
      <c r="K18" s="248"/>
    </row>
    <row r="19" spans="1:11" ht="24.75" thickBot="1">
      <c r="A19" s="245"/>
      <c r="B19" s="1392"/>
      <c r="C19" s="345" t="s">
        <v>158</v>
      </c>
      <c r="D19" s="278" t="s">
        <v>1878</v>
      </c>
      <c r="E19" s="217">
        <v>8</v>
      </c>
      <c r="F19" s="217">
        <v>0</v>
      </c>
      <c r="G19" s="381">
        <f>+E19+F19</f>
        <v>8</v>
      </c>
      <c r="H19" s="248"/>
      <c r="I19" s="245"/>
      <c r="J19" s="274"/>
      <c r="K19" s="248"/>
    </row>
    <row r="20" spans="1:11" ht="24.75" thickBot="1">
      <c r="A20" s="245"/>
      <c r="B20" s="1392"/>
      <c r="C20" s="345" t="s">
        <v>160</v>
      </c>
      <c r="D20" s="278" t="s">
        <v>1879</v>
      </c>
      <c r="E20" s="218">
        <f>85511+9301</f>
        <v>94812</v>
      </c>
      <c r="F20" s="218">
        <v>0</v>
      </c>
      <c r="G20" s="381">
        <f t="shared" ref="G20:G23" si="0">+E20+F20</f>
        <v>94812</v>
      </c>
      <c r="H20" s="248"/>
      <c r="I20" s="245"/>
      <c r="J20" s="274"/>
      <c r="K20" s="248"/>
    </row>
    <row r="21" spans="1:11" ht="36.75" thickBot="1">
      <c r="A21" s="245"/>
      <c r="B21" s="1392"/>
      <c r="C21" s="345" t="s">
        <v>162</v>
      </c>
      <c r="D21" s="278" t="s">
        <v>373</v>
      </c>
      <c r="E21" s="218">
        <v>0</v>
      </c>
      <c r="F21" s="218">
        <v>0</v>
      </c>
      <c r="G21" s="381">
        <f t="shared" si="0"/>
        <v>0</v>
      </c>
      <c r="H21" s="248"/>
      <c r="I21" s="245"/>
      <c r="J21" s="274"/>
      <c r="K21" s="248"/>
    </row>
    <row r="22" spans="1:11" ht="36.75" thickBot="1">
      <c r="A22" s="245"/>
      <c r="B22" s="1392"/>
      <c r="C22" s="345" t="s">
        <v>266</v>
      </c>
      <c r="D22" s="478" t="s">
        <v>1226</v>
      </c>
      <c r="E22" s="218">
        <f>9000+16000</f>
        <v>25000</v>
      </c>
      <c r="F22" s="218">
        <f>85000+40000</f>
        <v>125000</v>
      </c>
      <c r="G22" s="381">
        <f t="shared" si="0"/>
        <v>150000</v>
      </c>
      <c r="H22" s="248"/>
      <c r="I22" s="245"/>
      <c r="J22" s="274"/>
      <c r="K22" s="248"/>
    </row>
    <row r="23" spans="1:11" ht="48.75" thickBot="1">
      <c r="A23" s="245"/>
      <c r="B23" s="1392"/>
      <c r="C23" s="345" t="s">
        <v>268</v>
      </c>
      <c r="D23" s="278" t="s">
        <v>1219</v>
      </c>
      <c r="E23" s="217">
        <v>11</v>
      </c>
      <c r="F23" s="217">
        <v>2</v>
      </c>
      <c r="G23" s="382">
        <f t="shared" si="0"/>
        <v>13</v>
      </c>
      <c r="H23" s="248"/>
      <c r="I23" s="245"/>
      <c r="J23" s="274"/>
      <c r="K23" s="248"/>
    </row>
    <row r="24" spans="1:11" ht="48.75" thickBot="1">
      <c r="A24" s="245"/>
      <c r="B24" s="1392"/>
      <c r="C24" s="345" t="s">
        <v>270</v>
      </c>
      <c r="D24" s="278" t="s">
        <v>1220</v>
      </c>
      <c r="E24" s="381">
        <f>+E21+E22</f>
        <v>25000</v>
      </c>
      <c r="F24" s="381">
        <f>+F21+F22</f>
        <v>125000</v>
      </c>
      <c r="G24" s="381">
        <f>+E24+F24</f>
        <v>150000</v>
      </c>
      <c r="H24" s="248"/>
      <c r="I24" s="245"/>
      <c r="J24" s="274"/>
      <c r="K24" s="248"/>
    </row>
    <row r="25" spans="1:11" ht="24" customHeight="1">
      <c r="A25" s="245"/>
      <c r="B25" s="1392"/>
      <c r="C25" s="276"/>
      <c r="D25" s="1486" t="s">
        <v>374</v>
      </c>
      <c r="E25" s="1487"/>
      <c r="F25" s="1487"/>
      <c r="G25" s="1487"/>
      <c r="H25" s="1487"/>
      <c r="I25" s="1487"/>
      <c r="J25" s="274"/>
      <c r="K25" s="245"/>
    </row>
    <row r="26" spans="1:11">
      <c r="A26" s="245"/>
      <c r="B26" s="1392"/>
      <c r="C26" s="276"/>
      <c r="D26" s="383" t="s">
        <v>375</v>
      </c>
      <c r="E26" s="308"/>
      <c r="F26" s="308"/>
      <c r="G26" s="308"/>
      <c r="H26" s="308"/>
      <c r="I26" s="308"/>
      <c r="J26" s="274"/>
      <c r="K26" s="245"/>
    </row>
    <row r="27" spans="1:11" ht="15.75" thickBot="1">
      <c r="A27" s="245"/>
      <c r="B27" s="1392"/>
      <c r="C27" s="276"/>
      <c r="D27" s="1379" t="s">
        <v>376</v>
      </c>
      <c r="E27" s="1424"/>
      <c r="F27" s="1424"/>
      <c r="G27" s="1424"/>
      <c r="H27" s="1424"/>
      <c r="I27" s="1424"/>
      <c r="J27" s="1381"/>
      <c r="K27" s="245"/>
    </row>
    <row r="28" spans="1:11" ht="15.75" thickBot="1">
      <c r="A28" s="245"/>
      <c r="B28" s="1392"/>
      <c r="C28" s="272"/>
      <c r="D28" s="280" t="s">
        <v>156</v>
      </c>
      <c r="E28" s="280" t="s">
        <v>25</v>
      </c>
      <c r="F28" s="280" t="s">
        <v>26</v>
      </c>
      <c r="G28" s="280" t="s">
        <v>27</v>
      </c>
      <c r="H28" s="280" t="s">
        <v>28</v>
      </c>
      <c r="I28" s="280" t="s">
        <v>157</v>
      </c>
      <c r="J28" s="274"/>
      <c r="K28" s="245"/>
    </row>
    <row r="29" spans="1:11" ht="15.75" thickBot="1">
      <c r="A29" s="245"/>
      <c r="B29" s="1392"/>
      <c r="C29" s="272"/>
      <c r="D29" s="294" t="s">
        <v>377</v>
      </c>
      <c r="E29" s="217">
        <v>9000</v>
      </c>
      <c r="F29" s="217">
        <v>16000</v>
      </c>
      <c r="G29" s="217">
        <v>40000</v>
      </c>
      <c r="H29" s="217">
        <v>85000</v>
      </c>
      <c r="I29" s="351">
        <f>SUM(E29:H29)</f>
        <v>150000</v>
      </c>
      <c r="J29" s="274"/>
      <c r="K29" s="245"/>
    </row>
    <row r="30" spans="1:11" ht="15.75" thickBot="1">
      <c r="A30" s="245"/>
      <c r="B30" s="1392"/>
      <c r="C30" s="272"/>
      <c r="D30" s="294" t="s">
        <v>378</v>
      </c>
      <c r="E30" s="217">
        <v>0</v>
      </c>
      <c r="F30" s="217">
        <v>0</v>
      </c>
      <c r="G30" s="217"/>
      <c r="H30" s="217"/>
      <c r="I30" s="384"/>
      <c r="J30" s="274"/>
      <c r="K30" s="245"/>
    </row>
    <row r="31" spans="1:11" ht="15.75" thickBot="1">
      <c r="A31" s="245"/>
      <c r="B31" s="1392"/>
      <c r="C31" s="272"/>
      <c r="D31" s="294" t="s">
        <v>379</v>
      </c>
      <c r="E31" s="217">
        <v>0</v>
      </c>
      <c r="F31" s="217">
        <v>0</v>
      </c>
      <c r="G31" s="217"/>
      <c r="H31" s="217"/>
      <c r="I31" s="384"/>
      <c r="J31" s="274"/>
      <c r="K31" s="245"/>
    </row>
    <row r="32" spans="1:11" ht="15.75" thickBot="1">
      <c r="A32" s="245"/>
      <c r="B32" s="1392"/>
      <c r="C32" s="272"/>
      <c r="D32" s="294" t="s">
        <v>380</v>
      </c>
      <c r="E32" s="217">
        <v>0</v>
      </c>
      <c r="F32" s="217">
        <v>16000</v>
      </c>
      <c r="G32" s="217"/>
      <c r="H32" s="217"/>
      <c r="I32" s="384"/>
      <c r="J32" s="274"/>
      <c r="K32" s="245"/>
    </row>
    <row r="33" spans="1:11" ht="15.75" thickBot="1">
      <c r="A33" s="245"/>
      <c r="B33" s="1392"/>
      <c r="C33" s="272"/>
      <c r="D33" s="294" t="s">
        <v>381</v>
      </c>
      <c r="E33" s="217">
        <v>0</v>
      </c>
      <c r="F33" s="217"/>
      <c r="G33" s="217"/>
      <c r="H33" s="217"/>
      <c r="I33" s="384"/>
      <c r="J33" s="274"/>
      <c r="K33" s="245"/>
    </row>
    <row r="34" spans="1:11" ht="15.75" thickBot="1">
      <c r="A34" s="245"/>
      <c r="B34" s="1392"/>
      <c r="C34" s="272"/>
      <c r="D34" s="294" t="s">
        <v>1222</v>
      </c>
      <c r="E34" s="379">
        <v>9301</v>
      </c>
      <c r="F34" s="379"/>
      <c r="G34" s="379"/>
      <c r="H34" s="379"/>
      <c r="I34" s="384"/>
      <c r="J34" s="274"/>
      <c r="K34" s="245"/>
    </row>
    <row r="35" spans="1:11" ht="15.75" thickBot="1">
      <c r="A35" s="245"/>
      <c r="B35" s="1392"/>
      <c r="C35" s="272"/>
      <c r="D35" s="294" t="s">
        <v>157</v>
      </c>
      <c r="E35" s="351">
        <f>SUM(E30:E34)</f>
        <v>9301</v>
      </c>
      <c r="F35" s="351">
        <f t="shared" ref="F35:H35" si="1">SUM(F30:F34)</f>
        <v>16000</v>
      </c>
      <c r="G35" s="351">
        <f t="shared" si="1"/>
        <v>0</v>
      </c>
      <c r="H35" s="351">
        <f t="shared" si="1"/>
        <v>0</v>
      </c>
      <c r="I35" s="384"/>
      <c r="J35" s="274"/>
      <c r="K35" s="245"/>
    </row>
    <row r="36" spans="1:11">
      <c r="A36" s="245"/>
      <c r="B36" s="1392"/>
      <c r="C36" s="276"/>
      <c r="D36" s="1379" t="s">
        <v>382</v>
      </c>
      <c r="E36" s="1424"/>
      <c r="F36" s="1424"/>
      <c r="G36" s="1424"/>
      <c r="H36" s="1424"/>
      <c r="I36" s="1424"/>
      <c r="J36" s="1381"/>
      <c r="K36" s="245"/>
    </row>
    <row r="37" spans="1:11">
      <c r="A37" s="245"/>
      <c r="B37" s="1392"/>
      <c r="C37" s="276"/>
      <c r="D37" s="1379" t="s">
        <v>383</v>
      </c>
      <c r="E37" s="1424"/>
      <c r="F37" s="1424"/>
      <c r="G37" s="1424"/>
      <c r="H37" s="1424"/>
      <c r="I37" s="1424"/>
      <c r="J37" s="1381"/>
      <c r="K37" s="245"/>
    </row>
    <row r="38" spans="1:11" ht="15.75" thickBot="1">
      <c r="A38" s="245"/>
      <c r="B38" s="1392"/>
      <c r="C38" s="276"/>
      <c r="D38" s="1376" t="s">
        <v>384</v>
      </c>
      <c r="E38" s="1425"/>
      <c r="F38" s="1425"/>
      <c r="G38" s="1425"/>
      <c r="H38" s="1425"/>
      <c r="I38" s="1425"/>
      <c r="J38" s="1378"/>
      <c r="K38" s="245"/>
    </row>
    <row r="39" spans="1:11" ht="15.75" thickBot="1">
      <c r="A39" s="245"/>
      <c r="B39" s="1392"/>
      <c r="C39" s="272"/>
      <c r="D39" s="280" t="s">
        <v>156</v>
      </c>
      <c r="E39" s="280" t="s">
        <v>25</v>
      </c>
      <c r="F39" s="280" t="s">
        <v>26</v>
      </c>
      <c r="G39" s="280" t="s">
        <v>27</v>
      </c>
      <c r="H39" s="280" t="s">
        <v>28</v>
      </c>
      <c r="I39" s="280" t="s">
        <v>157</v>
      </c>
      <c r="J39" s="274"/>
      <c r="K39" s="245"/>
    </row>
    <row r="40" spans="1:11" ht="15.75" thickBot="1">
      <c r="A40" s="245"/>
      <c r="B40" s="1392"/>
      <c r="C40" s="272"/>
      <c r="D40" s="294" t="s">
        <v>377</v>
      </c>
      <c r="E40" s="218">
        <v>9000</v>
      </c>
      <c r="F40" s="218">
        <v>16000</v>
      </c>
      <c r="G40" s="218">
        <v>40000</v>
      </c>
      <c r="H40" s="218">
        <v>85000</v>
      </c>
      <c r="I40" s="351">
        <f t="shared" ref="I40" si="2">SUM(E40:H40)</f>
        <v>150000</v>
      </c>
      <c r="J40" s="274"/>
      <c r="K40" s="245"/>
    </row>
    <row r="41" spans="1:11" ht="15.75" thickBot="1">
      <c r="A41" s="245"/>
      <c r="B41" s="1392"/>
      <c r="C41" s="272"/>
      <c r="D41" s="294" t="s">
        <v>378</v>
      </c>
      <c r="E41" s="218"/>
      <c r="F41" s="218"/>
      <c r="G41" s="218"/>
      <c r="H41" s="218"/>
      <c r="I41" s="385"/>
      <c r="J41" s="274"/>
      <c r="K41" s="245"/>
    </row>
    <row r="42" spans="1:11" ht="15.75" thickBot="1">
      <c r="A42" s="245"/>
      <c r="B42" s="1392"/>
      <c r="C42" s="272"/>
      <c r="D42" s="294" t="s">
        <v>379</v>
      </c>
      <c r="E42" s="218"/>
      <c r="F42" s="218">
        <v>16000</v>
      </c>
      <c r="G42" s="218">
        <v>40000</v>
      </c>
      <c r="H42" s="218">
        <v>85000</v>
      </c>
      <c r="I42" s="385"/>
      <c r="J42" s="274"/>
      <c r="K42" s="245"/>
    </row>
    <row r="43" spans="1:11" ht="15.75" thickBot="1">
      <c r="A43" s="245"/>
      <c r="B43" s="1392"/>
      <c r="C43" s="272"/>
      <c r="D43" s="294" t="s">
        <v>380</v>
      </c>
      <c r="E43" s="218"/>
      <c r="F43" s="218"/>
      <c r="G43" s="218"/>
      <c r="H43" s="218"/>
      <c r="I43" s="385"/>
      <c r="J43" s="274"/>
      <c r="K43" s="245"/>
    </row>
    <row r="44" spans="1:11" ht="15.75" thickBot="1">
      <c r="A44" s="245"/>
      <c r="B44" s="1392"/>
      <c r="C44" s="272"/>
      <c r="D44" s="294" t="s">
        <v>381</v>
      </c>
      <c r="E44" s="218"/>
      <c r="F44" s="218"/>
      <c r="G44" s="218"/>
      <c r="H44" s="218"/>
      <c r="I44" s="385"/>
      <c r="J44" s="274"/>
      <c r="K44" s="245"/>
    </row>
    <row r="45" spans="1:11" ht="15.75" thickBot="1">
      <c r="A45" s="245"/>
      <c r="B45" s="1392"/>
      <c r="C45" s="272"/>
      <c r="D45" s="294" t="s">
        <v>1222</v>
      </c>
      <c r="E45" s="218">
        <v>9301</v>
      </c>
      <c r="F45" s="218"/>
      <c r="G45" s="218"/>
      <c r="H45" s="218"/>
      <c r="I45" s="385"/>
      <c r="J45" s="274"/>
      <c r="K45" s="245"/>
    </row>
    <row r="46" spans="1:11" ht="15.75" thickBot="1">
      <c r="A46" s="245"/>
      <c r="B46" s="1392"/>
      <c r="C46" s="272"/>
      <c r="D46" s="294" t="s">
        <v>157</v>
      </c>
      <c r="E46" s="351">
        <f>SUM(E41:E45)</f>
        <v>9301</v>
      </c>
      <c r="F46" s="351">
        <f t="shared" ref="F46:H46" si="3">SUM(F41:F45)</f>
        <v>16000</v>
      </c>
      <c r="G46" s="351">
        <f t="shared" si="3"/>
        <v>40000</v>
      </c>
      <c r="H46" s="351">
        <f t="shared" si="3"/>
        <v>85000</v>
      </c>
      <c r="I46" s="385"/>
      <c r="J46" s="274"/>
      <c r="K46" s="245"/>
    </row>
    <row r="47" spans="1:11">
      <c r="A47" s="245"/>
      <c r="B47" s="1392"/>
      <c r="C47" s="276"/>
      <c r="D47" s="1379" t="s">
        <v>385</v>
      </c>
      <c r="E47" s="1424"/>
      <c r="F47" s="1424"/>
      <c r="G47" s="1424"/>
      <c r="H47" s="1424"/>
      <c r="I47" s="1424"/>
      <c r="J47" s="1381"/>
      <c r="K47" s="245"/>
    </row>
    <row r="48" spans="1:11">
      <c r="A48" s="245"/>
      <c r="B48" s="1392"/>
      <c r="C48" s="276"/>
      <c r="D48" s="1379" t="s">
        <v>386</v>
      </c>
      <c r="E48" s="1424"/>
      <c r="F48" s="1424"/>
      <c r="G48" s="1424"/>
      <c r="H48" s="1424"/>
      <c r="I48" s="1424"/>
      <c r="J48" s="1381"/>
      <c r="K48" s="245"/>
    </row>
    <row r="49" spans="1:11">
      <c r="A49" s="245"/>
      <c r="B49" s="1392"/>
      <c r="C49" s="276"/>
      <c r="D49" s="1376" t="s">
        <v>387</v>
      </c>
      <c r="E49" s="1425"/>
      <c r="F49" s="1425"/>
      <c r="G49" s="1425"/>
      <c r="H49" s="1425"/>
      <c r="I49" s="1425"/>
      <c r="J49" s="1378"/>
      <c r="K49" s="245"/>
    </row>
    <row r="50" spans="1:11" ht="15.75" thickBot="1">
      <c r="A50" s="245"/>
      <c r="B50" s="1392"/>
      <c r="C50" s="276"/>
      <c r="D50" s="1379" t="s">
        <v>376</v>
      </c>
      <c r="E50" s="1424"/>
      <c r="F50" s="1424"/>
      <c r="G50" s="1424"/>
      <c r="H50" s="1424"/>
      <c r="I50" s="1424"/>
      <c r="J50" s="1381"/>
      <c r="K50" s="245"/>
    </row>
    <row r="51" spans="1:11" ht="15.75" thickBot="1">
      <c r="A51" s="245"/>
      <c r="B51" s="1392"/>
      <c r="C51" s="272"/>
      <c r="D51" s="280" t="s">
        <v>156</v>
      </c>
      <c r="E51" s="280" t="s">
        <v>25</v>
      </c>
      <c r="F51" s="280" t="s">
        <v>26</v>
      </c>
      <c r="G51" s="280" t="s">
        <v>27</v>
      </c>
      <c r="H51" s="280" t="s">
        <v>28</v>
      </c>
      <c r="I51" s="280" t="s">
        <v>157</v>
      </c>
      <c r="J51" s="274"/>
      <c r="K51" s="245"/>
    </row>
    <row r="52" spans="1:11" ht="15.75" thickBot="1">
      <c r="A52" s="245"/>
      <c r="B52" s="1392"/>
      <c r="C52" s="272"/>
      <c r="D52" s="294" t="s">
        <v>377</v>
      </c>
      <c r="E52" s="7">
        <v>0</v>
      </c>
      <c r="F52" s="7"/>
      <c r="G52" s="7"/>
      <c r="H52" s="7"/>
      <c r="I52" s="283">
        <f>SUM(E52:H52)</f>
        <v>0</v>
      </c>
      <c r="J52" s="274"/>
      <c r="K52" s="245"/>
    </row>
    <row r="53" spans="1:11" ht="15.75" thickBot="1">
      <c r="A53" s="245"/>
      <c r="B53" s="1392"/>
      <c r="C53" s="272"/>
      <c r="D53" s="294" t="s">
        <v>378</v>
      </c>
      <c r="E53" s="7"/>
      <c r="F53" s="7"/>
      <c r="G53" s="7"/>
      <c r="H53" s="7"/>
      <c r="I53" s="386"/>
      <c r="J53" s="274"/>
      <c r="K53" s="245"/>
    </row>
    <row r="54" spans="1:11" ht="15.75" thickBot="1">
      <c r="A54" s="245"/>
      <c r="B54" s="1392"/>
      <c r="C54" s="272"/>
      <c r="D54" s="294" t="s">
        <v>379</v>
      </c>
      <c r="E54" s="7">
        <v>125000</v>
      </c>
      <c r="F54" s="7"/>
      <c r="G54" s="7"/>
      <c r="H54" s="7"/>
      <c r="I54" s="386"/>
      <c r="J54" s="274"/>
      <c r="K54" s="245"/>
    </row>
    <row r="55" spans="1:11" ht="15.75" thickBot="1">
      <c r="A55" s="245"/>
      <c r="B55" s="1392"/>
      <c r="C55" s="272"/>
      <c r="D55" s="294" t="s">
        <v>380</v>
      </c>
      <c r="E55" s="7"/>
      <c r="F55" s="7"/>
      <c r="G55" s="7"/>
      <c r="H55" s="7"/>
      <c r="I55" s="386"/>
      <c r="J55" s="274"/>
      <c r="K55" s="245"/>
    </row>
    <row r="56" spans="1:11" ht="15.75" thickBot="1">
      <c r="A56" s="245"/>
      <c r="B56" s="1392"/>
      <c r="C56" s="272"/>
      <c r="D56" s="294" t="s">
        <v>381</v>
      </c>
      <c r="E56" s="7"/>
      <c r="F56" s="7"/>
      <c r="G56" s="7"/>
      <c r="H56" s="7"/>
      <c r="I56" s="386"/>
      <c r="J56" s="274"/>
      <c r="K56" s="245"/>
    </row>
    <row r="57" spans="1:11" ht="15.75" thickBot="1">
      <c r="A57" s="245"/>
      <c r="B57" s="1392"/>
      <c r="C57" s="272"/>
      <c r="D57" s="294" t="s">
        <v>1222</v>
      </c>
      <c r="E57" s="380">
        <v>0</v>
      </c>
      <c r="F57" s="380"/>
      <c r="G57" s="380"/>
      <c r="H57" s="380"/>
      <c r="I57" s="386"/>
      <c r="J57" s="274"/>
      <c r="K57" s="245"/>
    </row>
    <row r="58" spans="1:11" ht="15.75" thickBot="1">
      <c r="A58" s="245"/>
      <c r="B58" s="1392"/>
      <c r="C58" s="272"/>
      <c r="D58" s="294" t="s">
        <v>157</v>
      </c>
      <c r="E58" s="351">
        <f>SUM(E53:E57)</f>
        <v>125000</v>
      </c>
      <c r="F58" s="351">
        <f t="shared" ref="F58:H58" si="4">SUM(F53:F57)</f>
        <v>0</v>
      </c>
      <c r="G58" s="351">
        <f t="shared" si="4"/>
        <v>0</v>
      </c>
      <c r="H58" s="351">
        <f t="shared" si="4"/>
        <v>0</v>
      </c>
      <c r="I58" s="386"/>
      <c r="J58" s="274"/>
      <c r="K58" s="245"/>
    </row>
    <row r="59" spans="1:11">
      <c r="A59" s="245"/>
      <c r="B59" s="1392"/>
      <c r="C59" s="276"/>
      <c r="D59" s="1379" t="s">
        <v>382</v>
      </c>
      <c r="E59" s="1424"/>
      <c r="F59" s="1424"/>
      <c r="G59" s="1424"/>
      <c r="H59" s="1424"/>
      <c r="I59" s="1424"/>
      <c r="J59" s="1381"/>
      <c r="K59" s="245"/>
    </row>
    <row r="60" spans="1:11">
      <c r="A60" s="245"/>
      <c r="B60" s="1392"/>
      <c r="C60" s="276"/>
      <c r="D60" s="1379" t="s">
        <v>383</v>
      </c>
      <c r="E60" s="1424"/>
      <c r="F60" s="1424"/>
      <c r="G60" s="1424"/>
      <c r="H60" s="1424"/>
      <c r="I60" s="1424"/>
      <c r="J60" s="1381"/>
      <c r="K60" s="245"/>
    </row>
    <row r="61" spans="1:11" ht="15.75" thickBot="1">
      <c r="A61" s="245"/>
      <c r="B61" s="1392"/>
      <c r="C61" s="276"/>
      <c r="D61" s="1376" t="s">
        <v>384</v>
      </c>
      <c r="E61" s="1425"/>
      <c r="F61" s="1425"/>
      <c r="G61" s="1425"/>
      <c r="H61" s="1425"/>
      <c r="I61" s="1425"/>
      <c r="J61" s="1378"/>
      <c r="K61" s="245"/>
    </row>
    <row r="62" spans="1:11" ht="15.75" thickBot="1">
      <c r="A62" s="245"/>
      <c r="B62" s="1392"/>
      <c r="C62" s="272"/>
      <c r="D62" s="280" t="s">
        <v>156</v>
      </c>
      <c r="E62" s="280" t="s">
        <v>25</v>
      </c>
      <c r="F62" s="280" t="s">
        <v>26</v>
      </c>
      <c r="G62" s="280" t="s">
        <v>27</v>
      </c>
      <c r="H62" s="280" t="s">
        <v>28</v>
      </c>
      <c r="I62" s="280" t="s">
        <v>157</v>
      </c>
      <c r="J62" s="274"/>
      <c r="K62" s="245"/>
    </row>
    <row r="63" spans="1:11" ht="15.75" thickBot="1">
      <c r="A63" s="245"/>
      <c r="B63" s="1392"/>
      <c r="C63" s="272"/>
      <c r="D63" s="294" t="s">
        <v>377</v>
      </c>
      <c r="E63" s="197"/>
      <c r="F63" s="197"/>
      <c r="G63" s="197"/>
      <c r="H63" s="197"/>
      <c r="I63" s="351">
        <f t="shared" ref="I63" si="5">SUM(E63:H63)</f>
        <v>0</v>
      </c>
      <c r="J63" s="274"/>
      <c r="K63" s="245"/>
    </row>
    <row r="64" spans="1:11" ht="15.75" thickBot="1">
      <c r="A64" s="245"/>
      <c r="B64" s="1392"/>
      <c r="C64" s="272"/>
      <c r="D64" s="294" t="s">
        <v>378</v>
      </c>
      <c r="E64" s="197"/>
      <c r="F64" s="197"/>
      <c r="G64" s="197"/>
      <c r="H64" s="197"/>
      <c r="I64" s="386"/>
      <c r="J64" s="274"/>
      <c r="K64" s="245"/>
    </row>
    <row r="65" spans="1:11" ht="15.75" thickBot="1">
      <c r="A65" s="245"/>
      <c r="B65" s="1392"/>
      <c r="C65" s="272"/>
      <c r="D65" s="294" t="s">
        <v>379</v>
      </c>
      <c r="E65" s="197"/>
      <c r="F65" s="197"/>
      <c r="G65" s="197"/>
      <c r="H65" s="197"/>
      <c r="I65" s="386"/>
      <c r="J65" s="274"/>
      <c r="K65" s="245"/>
    </row>
    <row r="66" spans="1:11" ht="15.75" thickBot="1">
      <c r="A66" s="245"/>
      <c r="B66" s="1392"/>
      <c r="C66" s="272"/>
      <c r="D66" s="294" t="s">
        <v>380</v>
      </c>
      <c r="E66" s="197"/>
      <c r="F66" s="197"/>
      <c r="G66" s="197"/>
      <c r="H66" s="197"/>
      <c r="I66" s="386"/>
      <c r="J66" s="274"/>
      <c r="K66" s="245"/>
    </row>
    <row r="67" spans="1:11" ht="15.75" thickBot="1">
      <c r="A67" s="245"/>
      <c r="B67" s="1392"/>
      <c r="C67" s="272"/>
      <c r="D67" s="294" t="s">
        <v>381</v>
      </c>
      <c r="E67" s="197"/>
      <c r="F67" s="197"/>
      <c r="G67" s="197"/>
      <c r="H67" s="197"/>
      <c r="I67" s="386"/>
      <c r="J67" s="274"/>
      <c r="K67" s="245"/>
    </row>
    <row r="68" spans="1:11" ht="15.75" thickBot="1">
      <c r="A68" s="245"/>
      <c r="B68" s="1392"/>
      <c r="C68" s="272"/>
      <c r="D68" s="294" t="s">
        <v>1221</v>
      </c>
      <c r="E68" s="197"/>
      <c r="F68" s="197"/>
      <c r="G68" s="197"/>
      <c r="H68" s="197"/>
      <c r="I68" s="386"/>
      <c r="J68" s="274"/>
      <c r="K68" s="245"/>
    </row>
    <row r="69" spans="1:11" ht="15.75" thickBot="1">
      <c r="A69" s="245"/>
      <c r="B69" s="1392"/>
      <c r="C69" s="272"/>
      <c r="D69" s="294" t="s">
        <v>157</v>
      </c>
      <c r="E69" s="351">
        <f>SUM(E64:E68)</f>
        <v>0</v>
      </c>
      <c r="F69" s="351">
        <f t="shared" ref="F69:H69" si="6">SUM(F64:F68)</f>
        <v>0</v>
      </c>
      <c r="G69" s="351">
        <f t="shared" si="6"/>
        <v>0</v>
      </c>
      <c r="H69" s="351">
        <f t="shared" si="6"/>
        <v>0</v>
      </c>
      <c r="I69" s="386"/>
      <c r="J69" s="274"/>
      <c r="K69" s="245"/>
    </row>
    <row r="70" spans="1:11">
      <c r="A70" s="245"/>
      <c r="B70" s="1392"/>
      <c r="C70" s="276"/>
      <c r="D70" s="1379" t="s">
        <v>385</v>
      </c>
      <c r="E70" s="1424"/>
      <c r="F70" s="1424"/>
      <c r="G70" s="1424"/>
      <c r="H70" s="1424"/>
      <c r="I70" s="1424"/>
      <c r="J70" s="1381"/>
      <c r="K70" s="245"/>
    </row>
    <row r="71" spans="1:11">
      <c r="A71" s="245"/>
      <c r="B71" s="1392"/>
      <c r="C71" s="276"/>
      <c r="D71" s="1379" t="s">
        <v>386</v>
      </c>
      <c r="E71" s="1424"/>
      <c r="F71" s="1424"/>
      <c r="G71" s="1424"/>
      <c r="H71" s="1424"/>
      <c r="I71" s="1424"/>
      <c r="J71" s="1381"/>
      <c r="K71" s="245"/>
    </row>
    <row r="72" spans="1:11" ht="15.75" thickBot="1">
      <c r="A72" s="245"/>
      <c r="B72" s="1392"/>
      <c r="C72" s="276"/>
      <c r="D72" s="1370" t="s">
        <v>388</v>
      </c>
      <c r="E72" s="1371"/>
      <c r="F72" s="1371"/>
      <c r="G72" s="1371"/>
      <c r="H72" s="1371"/>
      <c r="I72" s="1371"/>
      <c r="J72" s="1372"/>
      <c r="K72" s="245"/>
    </row>
    <row r="73" spans="1:11" ht="33" customHeight="1">
      <c r="A73" s="245"/>
      <c r="B73" s="1392"/>
      <c r="C73" s="272"/>
      <c r="D73" s="1375" t="s">
        <v>389</v>
      </c>
      <c r="E73" s="1391" t="s">
        <v>390</v>
      </c>
      <c r="F73" s="1391" t="s">
        <v>391</v>
      </c>
      <c r="G73" s="1391" t="s">
        <v>392</v>
      </c>
      <c r="H73" s="1391" t="s">
        <v>393</v>
      </c>
      <c r="I73" s="1391" t="s">
        <v>394</v>
      </c>
      <c r="J73" s="271" t="s">
        <v>395</v>
      </c>
      <c r="K73" s="248"/>
    </row>
    <row r="74" spans="1:11" ht="24.75" thickBot="1">
      <c r="A74" s="245"/>
      <c r="B74" s="1392"/>
      <c r="C74" s="272"/>
      <c r="D74" s="1405"/>
      <c r="E74" s="1393"/>
      <c r="F74" s="1393"/>
      <c r="G74" s="1393"/>
      <c r="H74" s="1393"/>
      <c r="I74" s="1393"/>
      <c r="J74" s="278" t="s">
        <v>396</v>
      </c>
      <c r="K74" s="248"/>
    </row>
    <row r="75" spans="1:11" ht="48.75" thickBot="1">
      <c r="A75" s="245"/>
      <c r="B75" s="1392"/>
      <c r="C75" s="272"/>
      <c r="D75" s="30" t="s">
        <v>1788</v>
      </c>
      <c r="E75" s="30" t="s">
        <v>1715</v>
      </c>
      <c r="F75" s="30" t="s">
        <v>1787</v>
      </c>
      <c r="G75" s="197">
        <v>9000</v>
      </c>
      <c r="H75" s="197">
        <v>9301</v>
      </c>
      <c r="I75" s="30" t="s">
        <v>1797</v>
      </c>
      <c r="J75" s="30" t="s">
        <v>1796</v>
      </c>
      <c r="K75" s="248"/>
    </row>
    <row r="76" spans="1:11" ht="15.75" thickBot="1">
      <c r="A76" s="245"/>
      <c r="B76" s="1392"/>
      <c r="C76" s="272"/>
      <c r="D76" s="30" t="s">
        <v>1795</v>
      </c>
      <c r="E76" s="30" t="s">
        <v>1715</v>
      </c>
      <c r="F76" s="30"/>
      <c r="G76" s="197">
        <v>16000</v>
      </c>
      <c r="H76" s="197"/>
      <c r="I76" s="30"/>
      <c r="J76" s="30"/>
      <c r="K76" s="248"/>
    </row>
    <row r="77" spans="1:11" ht="15.75" thickBot="1">
      <c r="A77" s="245"/>
      <c r="B77" s="1392"/>
      <c r="C77" s="272"/>
      <c r="D77" s="30" t="s">
        <v>1798</v>
      </c>
      <c r="E77" s="30" t="s">
        <v>1716</v>
      </c>
      <c r="F77" s="30"/>
      <c r="G77" s="197">
        <v>85000</v>
      </c>
      <c r="H77" s="197"/>
      <c r="I77" s="30"/>
      <c r="J77" s="30"/>
      <c r="K77" s="248"/>
    </row>
    <row r="78" spans="1:11" ht="15.75" thickBot="1">
      <c r="A78" s="245"/>
      <c r="B78" s="1392"/>
      <c r="C78" s="272"/>
      <c r="D78" s="30" t="s">
        <v>1799</v>
      </c>
      <c r="E78" s="30" t="s">
        <v>1716</v>
      </c>
      <c r="F78" s="30"/>
      <c r="G78" s="197">
        <v>40000</v>
      </c>
      <c r="H78" s="197"/>
      <c r="I78" s="30"/>
      <c r="J78" s="30"/>
      <c r="K78" s="248"/>
    </row>
    <row r="79" spans="1:11" ht="15.75" thickBot="1">
      <c r="A79" s="245"/>
      <c r="B79" s="1392"/>
      <c r="C79" s="272"/>
      <c r="D79" s="30"/>
      <c r="E79" s="30"/>
      <c r="F79" s="30"/>
      <c r="G79" s="197"/>
      <c r="H79" s="197"/>
      <c r="I79" s="30"/>
      <c r="J79" s="30"/>
      <c r="K79" s="248"/>
    </row>
    <row r="80" spans="1:11" ht="15.75" thickBot="1">
      <c r="A80" s="245"/>
      <c r="B80" s="1392"/>
      <c r="C80" s="272"/>
      <c r="D80" s="30"/>
      <c r="E80" s="30"/>
      <c r="F80" s="30"/>
      <c r="G80" s="197"/>
      <c r="H80" s="197"/>
      <c r="I80" s="30"/>
      <c r="J80" s="30"/>
      <c r="K80" s="248"/>
    </row>
    <row r="81" spans="1:11" ht="15.75" thickBot="1">
      <c r="A81" s="245"/>
      <c r="B81" s="1392"/>
      <c r="C81" s="272"/>
      <c r="D81" s="30"/>
      <c r="E81" s="30"/>
      <c r="F81" s="30"/>
      <c r="G81" s="197"/>
      <c r="H81" s="197"/>
      <c r="I81" s="30"/>
      <c r="J81" s="30"/>
      <c r="K81" s="248"/>
    </row>
    <row r="82" spans="1:11" ht="15.75" thickBot="1">
      <c r="A82" s="245"/>
      <c r="B82" s="1392"/>
      <c r="C82" s="272"/>
      <c r="D82" s="30"/>
      <c r="E82" s="30"/>
      <c r="F82" s="30"/>
      <c r="G82" s="197"/>
      <c r="H82" s="197"/>
      <c r="I82" s="30"/>
      <c r="J82" s="30"/>
      <c r="K82" s="248"/>
    </row>
    <row r="83" spans="1:11" ht="15.75" thickBot="1">
      <c r="A83" s="245"/>
      <c r="B83" s="1392"/>
      <c r="C83" s="272"/>
      <c r="D83" s="30"/>
      <c r="E83" s="30"/>
      <c r="F83" s="30"/>
      <c r="G83" s="197"/>
      <c r="H83" s="197"/>
      <c r="I83" s="30"/>
      <c r="J83" s="30"/>
      <c r="K83" s="248"/>
    </row>
    <row r="84" spans="1:11" ht="15.75" thickBot="1">
      <c r="A84" s="245"/>
      <c r="B84" s="1392"/>
      <c r="C84" s="272"/>
      <c r="D84" s="30"/>
      <c r="E84" s="30"/>
      <c r="F84" s="30"/>
      <c r="G84" s="197"/>
      <c r="H84" s="197"/>
      <c r="I84" s="30"/>
      <c r="J84" s="30"/>
      <c r="K84" s="248"/>
    </row>
    <row r="85" spans="1:11" ht="15.75" thickBot="1">
      <c r="A85" s="245"/>
      <c r="B85" s="1392"/>
      <c r="C85" s="272"/>
      <c r="D85" s="30"/>
      <c r="E85" s="30"/>
      <c r="F85" s="30"/>
      <c r="G85" s="197"/>
      <c r="H85" s="197"/>
      <c r="I85" s="30"/>
      <c r="J85" s="30"/>
      <c r="K85" s="248"/>
    </row>
    <row r="86" spans="1:11" ht="15.75" thickBot="1">
      <c r="A86" s="245"/>
      <c r="B86" s="1392"/>
      <c r="C86" s="272"/>
      <c r="D86" s="30"/>
      <c r="E86" s="30"/>
      <c r="F86" s="30"/>
      <c r="G86" s="197"/>
      <c r="H86" s="197"/>
      <c r="I86" s="30"/>
      <c r="J86" s="30"/>
      <c r="K86" s="248"/>
    </row>
    <row r="87" spans="1:11" ht="15.75" thickBot="1">
      <c r="A87" s="245"/>
      <c r="B87" s="1392"/>
      <c r="C87" s="272"/>
      <c r="D87" s="30"/>
      <c r="E87" s="30"/>
      <c r="F87" s="30"/>
      <c r="G87" s="197"/>
      <c r="H87" s="197"/>
      <c r="I87" s="30"/>
      <c r="J87" s="30"/>
      <c r="K87" s="248"/>
    </row>
    <row r="88" spans="1:11" ht="15.75" thickBot="1">
      <c r="A88" s="245"/>
      <c r="B88" s="1392"/>
      <c r="C88" s="272"/>
      <c r="D88" s="30"/>
      <c r="E88" s="30"/>
      <c r="F88" s="30"/>
      <c r="G88" s="197"/>
      <c r="H88" s="197"/>
      <c r="I88" s="30"/>
      <c r="J88" s="30"/>
      <c r="K88" s="248"/>
    </row>
    <row r="89" spans="1:11">
      <c r="A89" s="245"/>
      <c r="B89" s="1392"/>
      <c r="C89" s="276"/>
      <c r="D89" s="1373" t="s">
        <v>397</v>
      </c>
      <c r="E89" s="1374"/>
      <c r="F89" s="1374"/>
      <c r="G89" s="1374"/>
      <c r="H89" s="1374"/>
      <c r="I89" s="1374"/>
      <c r="J89" s="1375"/>
      <c r="K89" s="248"/>
    </row>
    <row r="90" spans="1:11" ht="15.75" thickBot="1">
      <c r="A90" s="245"/>
      <c r="B90" s="1392"/>
      <c r="C90" s="276"/>
      <c r="D90" s="1403" t="s">
        <v>398</v>
      </c>
      <c r="E90" s="1404"/>
      <c r="F90" s="1404"/>
      <c r="G90" s="1404"/>
      <c r="H90" s="1404"/>
      <c r="I90" s="1404"/>
      <c r="J90" s="1405"/>
      <c r="K90" s="248"/>
    </row>
    <row r="91" spans="1:11">
      <c r="A91" s="245"/>
      <c r="B91" s="1392"/>
      <c r="C91" s="276"/>
      <c r="D91" s="301"/>
      <c r="E91" s="377"/>
      <c r="F91" s="377"/>
      <c r="G91" s="377"/>
      <c r="H91" s="377"/>
      <c r="I91" s="377"/>
      <c r="J91" s="313"/>
      <c r="K91" s="248"/>
    </row>
    <row r="92" spans="1:11" ht="15.75" thickBot="1">
      <c r="A92" s="245"/>
      <c r="B92" s="1392"/>
      <c r="C92" s="276"/>
      <c r="D92" s="301" t="s">
        <v>1223</v>
      </c>
      <c r="E92" s="377"/>
      <c r="F92" s="377"/>
      <c r="G92" s="377"/>
      <c r="H92" s="377"/>
      <c r="I92" s="377"/>
      <c r="J92" s="313"/>
      <c r="K92" s="248"/>
    </row>
    <row r="93" spans="1:11">
      <c r="A93" s="245"/>
      <c r="B93" s="1392"/>
      <c r="C93" s="276"/>
      <c r="D93" s="387" t="s">
        <v>156</v>
      </c>
      <c r="E93" s="388" t="s">
        <v>25</v>
      </c>
      <c r="F93" s="388" t="s">
        <v>26</v>
      </c>
      <c r="G93" s="388" t="s">
        <v>27</v>
      </c>
      <c r="H93" s="388" t="s">
        <v>28</v>
      </c>
      <c r="I93" s="389" t="s">
        <v>157</v>
      </c>
      <c r="J93" s="313"/>
      <c r="K93" s="248"/>
    </row>
    <row r="94" spans="1:11">
      <c r="A94" s="245"/>
      <c r="B94" s="1392"/>
      <c r="C94" s="276"/>
      <c r="D94" s="390" t="s">
        <v>1224</v>
      </c>
      <c r="E94" s="391">
        <f>+E63+E40</f>
        <v>9000</v>
      </c>
      <c r="F94" s="391">
        <f t="shared" ref="F94:H94" si="7">+F63+F40</f>
        <v>16000</v>
      </c>
      <c r="G94" s="391">
        <f t="shared" si="7"/>
        <v>40000</v>
      </c>
      <c r="H94" s="391">
        <f t="shared" si="7"/>
        <v>85000</v>
      </c>
      <c r="I94" s="392">
        <f>SUM(E94:H94)</f>
        <v>150000</v>
      </c>
      <c r="J94" s="313"/>
      <c r="K94" s="248"/>
    </row>
    <row r="95" spans="1:11" ht="36">
      <c r="A95" s="245"/>
      <c r="B95" s="1392"/>
      <c r="C95" s="276"/>
      <c r="D95" s="393" t="s">
        <v>1225</v>
      </c>
      <c r="E95" s="391">
        <f>+E68+E45</f>
        <v>9301</v>
      </c>
      <c r="F95" s="391">
        <f t="shared" ref="F95:H95" si="8">+F68+F45</f>
        <v>0</v>
      </c>
      <c r="G95" s="391">
        <f t="shared" si="8"/>
        <v>0</v>
      </c>
      <c r="H95" s="391">
        <f t="shared" si="8"/>
        <v>0</v>
      </c>
      <c r="I95" s="392">
        <f>SUM(E95:H95)</f>
        <v>9301</v>
      </c>
      <c r="J95" s="313"/>
      <c r="K95" s="248"/>
    </row>
    <row r="96" spans="1:11" ht="48.75" thickBot="1">
      <c r="A96" s="245"/>
      <c r="B96" s="1392"/>
      <c r="C96" s="276"/>
      <c r="D96" s="393" t="s">
        <v>356</v>
      </c>
      <c r="E96" s="394">
        <f>IFERROR(E95/E94,"N.A.")</f>
        <v>1.0334444444444444</v>
      </c>
      <c r="F96" s="394">
        <f t="shared" ref="F96:I96" si="9">IFERROR(F95/F94,"N.A.")</f>
        <v>0</v>
      </c>
      <c r="G96" s="394">
        <f t="shared" si="9"/>
        <v>0</v>
      </c>
      <c r="H96" s="394">
        <f t="shared" si="9"/>
        <v>0</v>
      </c>
      <c r="I96" s="394">
        <f t="shared" si="9"/>
        <v>6.2006666666666668E-2</v>
      </c>
      <c r="J96" s="313"/>
      <c r="K96" s="248"/>
    </row>
    <row r="97" spans="1:11" ht="24" customHeight="1" thickBot="1">
      <c r="A97" s="245"/>
      <c r="B97" s="1393"/>
      <c r="C97" s="286"/>
      <c r="D97" s="245"/>
      <c r="E97" s="245"/>
      <c r="F97" s="245"/>
      <c r="G97" s="245"/>
      <c r="H97" s="245"/>
      <c r="I97" s="245"/>
      <c r="J97" s="313"/>
      <c r="K97" s="248"/>
    </row>
    <row r="98" spans="1:11" ht="24" customHeight="1" thickBot="1">
      <c r="A98" s="245"/>
      <c r="B98" s="285" t="s">
        <v>39</v>
      </c>
      <c r="C98" s="286"/>
      <c r="D98" s="1400" t="s">
        <v>399</v>
      </c>
      <c r="E98" s="1401"/>
      <c r="F98" s="1401"/>
      <c r="G98" s="1401"/>
      <c r="H98" s="1401"/>
      <c r="I98" s="1401"/>
      <c r="J98" s="1402"/>
      <c r="K98" s="248"/>
    </row>
    <row r="99" spans="1:11" ht="24" customHeight="1">
      <c r="A99" s="245"/>
      <c r="B99" s="1391" t="s">
        <v>41</v>
      </c>
      <c r="C99" s="268"/>
      <c r="D99" s="1373" t="s">
        <v>354</v>
      </c>
      <c r="E99" s="1374"/>
      <c r="F99" s="1374"/>
      <c r="G99" s="1374"/>
      <c r="H99" s="1374"/>
      <c r="I99" s="1374"/>
      <c r="J99" s="1375"/>
      <c r="K99" s="248"/>
    </row>
    <row r="100" spans="1:11" ht="48" customHeight="1">
      <c r="A100" s="245"/>
      <c r="B100" s="1392"/>
      <c r="C100" s="276"/>
      <c r="D100" s="1379" t="s">
        <v>400</v>
      </c>
      <c r="E100" s="1424"/>
      <c r="F100" s="1424"/>
      <c r="G100" s="1424"/>
      <c r="H100" s="1424"/>
      <c r="I100" s="1424"/>
      <c r="J100" s="1381"/>
      <c r="K100" s="248"/>
    </row>
    <row r="101" spans="1:11" ht="60" customHeight="1" thickBot="1">
      <c r="A101" s="245"/>
      <c r="B101" s="1393"/>
      <c r="C101" s="286"/>
      <c r="D101" s="1403" t="s">
        <v>401</v>
      </c>
      <c r="E101" s="1404"/>
      <c r="F101" s="1404"/>
      <c r="G101" s="1404"/>
      <c r="H101" s="1404"/>
      <c r="I101" s="1404"/>
      <c r="J101" s="1405"/>
      <c r="K101" s="248"/>
    </row>
    <row r="102" spans="1:11" ht="15.75" thickBot="1">
      <c r="A102" s="245"/>
      <c r="B102" s="249"/>
      <c r="C102" s="250"/>
      <c r="D102" s="248"/>
      <c r="E102" s="248"/>
      <c r="F102" s="248"/>
      <c r="G102" s="248"/>
      <c r="H102" s="248"/>
      <c r="I102" s="248"/>
      <c r="J102" s="248"/>
      <c r="K102" s="248"/>
    </row>
    <row r="103" spans="1:11" ht="24" customHeight="1" thickBot="1">
      <c r="A103" s="245"/>
      <c r="B103" s="1388" t="s">
        <v>43</v>
      </c>
      <c r="C103" s="1389"/>
      <c r="D103" s="1389"/>
      <c r="E103" s="1390"/>
      <c r="F103" s="248"/>
      <c r="G103" s="248"/>
      <c r="H103" s="248"/>
      <c r="I103" s="248"/>
      <c r="J103" s="248"/>
      <c r="K103" s="248"/>
    </row>
    <row r="104" spans="1:11" ht="15.75" thickBot="1">
      <c r="A104" s="245"/>
      <c r="B104" s="1391">
        <v>1</v>
      </c>
      <c r="C104" s="272"/>
      <c r="D104" s="289" t="s">
        <v>44</v>
      </c>
      <c r="E104" s="31" t="s">
        <v>1642</v>
      </c>
      <c r="F104" s="248"/>
      <c r="G104" s="248"/>
      <c r="H104" s="248"/>
      <c r="I104" s="248"/>
      <c r="J104" s="248"/>
      <c r="K104" s="248"/>
    </row>
    <row r="105" spans="1:11" ht="15.75" thickBot="1">
      <c r="A105" s="245"/>
      <c r="B105" s="1392"/>
      <c r="C105" s="272"/>
      <c r="D105" s="278" t="s">
        <v>45</v>
      </c>
      <c r="E105" s="31" t="s">
        <v>1729</v>
      </c>
      <c r="F105" s="248"/>
      <c r="G105" s="248"/>
      <c r="H105" s="248"/>
      <c r="I105" s="248"/>
      <c r="J105" s="248"/>
      <c r="K105" s="248"/>
    </row>
    <row r="106" spans="1:11" ht="15.75" thickBot="1">
      <c r="A106" s="245"/>
      <c r="B106" s="1392"/>
      <c r="C106" s="272"/>
      <c r="D106" s="278" t="s">
        <v>46</v>
      </c>
      <c r="E106" s="31" t="s">
        <v>1730</v>
      </c>
      <c r="F106" s="248"/>
      <c r="G106" s="248"/>
      <c r="H106" s="248"/>
      <c r="I106" s="248"/>
      <c r="J106" s="248"/>
      <c r="K106" s="248"/>
    </row>
    <row r="107" spans="1:11" ht="15.75" thickBot="1">
      <c r="A107" s="245"/>
      <c r="B107" s="1392"/>
      <c r="C107" s="272"/>
      <c r="D107" s="278" t="s">
        <v>47</v>
      </c>
      <c r="E107" s="31" t="s">
        <v>1660</v>
      </c>
      <c r="F107" s="248"/>
      <c r="G107" s="248"/>
      <c r="H107" s="248"/>
      <c r="I107" s="248"/>
      <c r="J107" s="248"/>
      <c r="K107" s="248"/>
    </row>
    <row r="108" spans="1:11" ht="15.75" thickBot="1">
      <c r="A108" s="245"/>
      <c r="B108" s="1392"/>
      <c r="C108" s="272"/>
      <c r="D108" s="278" t="s">
        <v>48</v>
      </c>
      <c r="E108" s="31" t="s">
        <v>1731</v>
      </c>
      <c r="F108" s="248"/>
      <c r="G108" s="248"/>
      <c r="H108" s="248"/>
      <c r="I108" s="248"/>
      <c r="J108" s="248"/>
      <c r="K108" s="248"/>
    </row>
    <row r="109" spans="1:11" ht="15.75" thickBot="1">
      <c r="A109" s="245"/>
      <c r="B109" s="1392"/>
      <c r="C109" s="272"/>
      <c r="D109" s="278" t="s">
        <v>49</v>
      </c>
      <c r="E109" s="31" t="s">
        <v>1732</v>
      </c>
      <c r="F109" s="248"/>
      <c r="G109" s="248"/>
      <c r="H109" s="248"/>
      <c r="I109" s="248"/>
      <c r="J109" s="248"/>
      <c r="K109" s="248"/>
    </row>
    <row r="110" spans="1:11" ht="15.75" thickBot="1">
      <c r="A110" s="245"/>
      <c r="B110" s="1393"/>
      <c r="C110" s="345"/>
      <c r="D110" s="278" t="s">
        <v>50</v>
      </c>
      <c r="E110" s="31" t="s">
        <v>1733</v>
      </c>
      <c r="F110" s="248"/>
      <c r="G110" s="248"/>
      <c r="H110" s="248"/>
      <c r="I110" s="248"/>
      <c r="J110" s="248"/>
      <c r="K110" s="248"/>
    </row>
    <row r="111" spans="1:11" ht="15.75" thickBot="1">
      <c r="A111" s="245"/>
      <c r="B111" s="249"/>
      <c r="C111" s="250"/>
      <c r="D111" s="248"/>
      <c r="E111" s="248"/>
      <c r="F111" s="248"/>
      <c r="G111" s="248"/>
      <c r="H111" s="248"/>
      <c r="I111" s="248"/>
      <c r="J111" s="248"/>
      <c r="K111" s="248"/>
    </row>
    <row r="112" spans="1:11" ht="15.75" thickBot="1">
      <c r="A112" s="245"/>
      <c r="B112" s="1388" t="s">
        <v>51</v>
      </c>
      <c r="C112" s="1389"/>
      <c r="D112" s="1389"/>
      <c r="E112" s="1390"/>
      <c r="F112" s="248"/>
      <c r="G112" s="248"/>
      <c r="H112" s="248"/>
      <c r="I112" s="248"/>
      <c r="J112" s="248"/>
      <c r="K112" s="248"/>
    </row>
    <row r="113" spans="1:11" ht="15.75" thickBot="1">
      <c r="A113" s="245"/>
      <c r="B113" s="1391">
        <v>1</v>
      </c>
      <c r="C113" s="272"/>
      <c r="D113" s="289" t="s">
        <v>44</v>
      </c>
      <c r="E113" s="238" t="s">
        <v>52</v>
      </c>
      <c r="F113" s="248"/>
      <c r="G113" s="248"/>
      <c r="H113" s="248"/>
      <c r="I113" s="248"/>
      <c r="J113" s="248"/>
      <c r="K113" s="248"/>
    </row>
    <row r="114" spans="1:11" ht="15.75" thickBot="1">
      <c r="A114" s="245"/>
      <c r="B114" s="1392"/>
      <c r="C114" s="272"/>
      <c r="D114" s="278" t="s">
        <v>45</v>
      </c>
      <c r="E114" s="238" t="s">
        <v>166</v>
      </c>
      <c r="F114" s="248"/>
      <c r="G114" s="248"/>
      <c r="H114" s="248"/>
      <c r="I114" s="248"/>
      <c r="J114" s="248"/>
      <c r="K114" s="248"/>
    </row>
    <row r="115" spans="1:11" ht="15.75" thickBot="1">
      <c r="A115" s="245"/>
      <c r="B115" s="1392"/>
      <c r="C115" s="272"/>
      <c r="D115" s="278" t="s">
        <v>46</v>
      </c>
      <c r="E115" s="315"/>
      <c r="F115" s="248"/>
      <c r="G115" s="248"/>
      <c r="H115" s="248"/>
      <c r="I115" s="248"/>
      <c r="J115" s="248"/>
      <c r="K115" s="248"/>
    </row>
    <row r="116" spans="1:11" ht="15.75" thickBot="1">
      <c r="A116" s="245"/>
      <c r="B116" s="1392"/>
      <c r="C116" s="272"/>
      <c r="D116" s="278" t="s">
        <v>47</v>
      </c>
      <c r="E116" s="315"/>
      <c r="F116" s="248"/>
      <c r="G116" s="248"/>
      <c r="H116" s="248"/>
      <c r="I116" s="248"/>
      <c r="J116" s="248"/>
      <c r="K116" s="248"/>
    </row>
    <row r="117" spans="1:11" ht="15.75" thickBot="1">
      <c r="A117" s="245"/>
      <c r="B117" s="1392"/>
      <c r="C117" s="272"/>
      <c r="D117" s="278" t="s">
        <v>48</v>
      </c>
      <c r="E117" s="315"/>
      <c r="F117" s="248"/>
      <c r="G117" s="248"/>
      <c r="H117" s="248"/>
      <c r="I117" s="248"/>
      <c r="J117" s="248"/>
      <c r="K117" s="248"/>
    </row>
    <row r="118" spans="1:11" ht="15.75" thickBot="1">
      <c r="A118" s="245"/>
      <c r="B118" s="1392"/>
      <c r="C118" s="272"/>
      <c r="D118" s="278" t="s">
        <v>49</v>
      </c>
      <c r="E118" s="315"/>
      <c r="F118" s="248"/>
      <c r="G118" s="248"/>
      <c r="H118" s="248"/>
      <c r="I118" s="248"/>
      <c r="J118" s="248"/>
      <c r="K118" s="248"/>
    </row>
    <row r="119" spans="1:11" ht="15.75" thickBot="1">
      <c r="A119" s="245"/>
      <c r="B119" s="1393"/>
      <c r="C119" s="345"/>
      <c r="D119" s="278" t="s">
        <v>50</v>
      </c>
      <c r="E119" s="315"/>
      <c r="F119" s="248"/>
      <c r="G119" s="248"/>
      <c r="H119" s="248"/>
      <c r="I119" s="248"/>
      <c r="J119" s="248"/>
      <c r="K119" s="248"/>
    </row>
    <row r="120" spans="1:11" ht="15.75" thickBot="1">
      <c r="A120" s="245"/>
      <c r="B120" s="249"/>
      <c r="C120" s="250"/>
      <c r="D120" s="248"/>
      <c r="E120" s="248"/>
      <c r="F120" s="248"/>
      <c r="G120" s="248"/>
      <c r="H120" s="248"/>
      <c r="I120" s="248"/>
      <c r="J120" s="248"/>
      <c r="K120" s="248"/>
    </row>
    <row r="121" spans="1:11" ht="15" customHeight="1" thickBot="1">
      <c r="A121" s="245"/>
      <c r="B121" s="291" t="s">
        <v>54</v>
      </c>
      <c r="C121" s="292"/>
      <c r="D121" s="292"/>
      <c r="E121" s="293"/>
      <c r="F121" s="245"/>
      <c r="G121" s="248"/>
      <c r="H121" s="248"/>
      <c r="I121" s="248"/>
      <c r="J121" s="248"/>
      <c r="K121" s="248"/>
    </row>
    <row r="122" spans="1:11" ht="24.75" thickBot="1">
      <c r="A122" s="245"/>
      <c r="B122" s="285" t="s">
        <v>55</v>
      </c>
      <c r="C122" s="278" t="s">
        <v>56</v>
      </c>
      <c r="D122" s="278" t="s">
        <v>57</v>
      </c>
      <c r="E122" s="278" t="s">
        <v>58</v>
      </c>
      <c r="F122" s="248"/>
      <c r="G122" s="248"/>
      <c r="H122" s="248"/>
      <c r="I122" s="248"/>
      <c r="J122" s="248"/>
      <c r="K122" s="245"/>
    </row>
    <row r="123" spans="1:11" ht="96.75" thickBot="1">
      <c r="A123" s="245"/>
      <c r="B123" s="295">
        <v>42401</v>
      </c>
      <c r="C123" s="278">
        <v>0.01</v>
      </c>
      <c r="D123" s="296" t="s">
        <v>402</v>
      </c>
      <c r="E123" s="278"/>
      <c r="F123" s="248"/>
      <c r="G123" s="248"/>
      <c r="H123" s="248"/>
      <c r="I123" s="248"/>
      <c r="J123" s="248"/>
      <c r="K123" s="245"/>
    </row>
    <row r="124" spans="1:11" ht="15.75" thickBot="1">
      <c r="A124" s="245"/>
      <c r="B124" s="249"/>
      <c r="C124" s="250"/>
      <c r="D124" s="248"/>
      <c r="E124" s="248"/>
      <c r="F124" s="248"/>
      <c r="G124" s="248"/>
      <c r="H124" s="248"/>
      <c r="I124" s="248"/>
      <c r="J124" s="248"/>
      <c r="K124" s="248"/>
    </row>
    <row r="125" spans="1:11" ht="15.75" thickBot="1">
      <c r="A125" s="245"/>
      <c r="B125" s="335" t="s">
        <v>60</v>
      </c>
      <c r="C125" s="298"/>
      <c r="D125" s="248"/>
      <c r="E125" s="248"/>
      <c r="F125" s="248"/>
      <c r="G125" s="248"/>
      <c r="H125" s="248"/>
      <c r="I125" s="248"/>
      <c r="J125" s="248"/>
      <c r="K125" s="248"/>
    </row>
    <row r="126" spans="1:11">
      <c r="A126" s="245"/>
      <c r="B126" s="1480" t="s">
        <v>403</v>
      </c>
      <c r="C126" s="1481"/>
      <c r="D126" s="1481"/>
      <c r="E126" s="1481"/>
      <c r="F126" s="1481"/>
      <c r="G126" s="1481"/>
      <c r="H126" s="1481"/>
      <c r="I126" s="1481"/>
      <c r="J126" s="1481"/>
      <c r="K126" s="248"/>
    </row>
    <row r="127" spans="1:11" ht="24" customHeight="1">
      <c r="A127" s="245"/>
      <c r="B127" s="1480"/>
      <c r="C127" s="1481"/>
      <c r="D127" s="1481"/>
      <c r="E127" s="1481"/>
      <c r="F127" s="1481"/>
      <c r="G127" s="1481"/>
      <c r="H127" s="1481"/>
      <c r="I127" s="1481"/>
      <c r="J127" s="1481"/>
      <c r="K127" s="248"/>
    </row>
    <row r="128" spans="1:11">
      <c r="A128" s="245"/>
      <c r="B128" s="1482"/>
      <c r="C128" s="1483"/>
      <c r="D128" s="1483"/>
      <c r="E128" s="1483"/>
      <c r="F128" s="1483"/>
      <c r="G128" s="1483"/>
      <c r="H128" s="1483"/>
      <c r="I128" s="1483"/>
      <c r="J128" s="1483"/>
      <c r="K128" s="248"/>
    </row>
    <row r="129" spans="1:11" ht="15.75" thickBot="1">
      <c r="A129" s="245"/>
      <c r="B129" s="248"/>
      <c r="C129" s="265"/>
      <c r="D129" s="248"/>
      <c r="E129" s="248"/>
      <c r="F129" s="248"/>
      <c r="G129" s="248"/>
      <c r="H129" s="248"/>
      <c r="I129" s="248"/>
      <c r="J129" s="248"/>
      <c r="K129" s="248"/>
    </row>
    <row r="130" spans="1:11" ht="15.75" thickBot="1">
      <c r="A130" s="245"/>
      <c r="B130" s="1388" t="s">
        <v>61</v>
      </c>
      <c r="C130" s="1389"/>
      <c r="D130" s="1390"/>
      <c r="E130" s="248"/>
      <c r="F130" s="248"/>
      <c r="G130" s="248"/>
      <c r="H130" s="248"/>
      <c r="I130" s="248"/>
      <c r="J130" s="248"/>
      <c r="K130" s="248"/>
    </row>
    <row r="131" spans="1:11" ht="108.75" thickBot="1">
      <c r="A131" s="245"/>
      <c r="B131" s="285" t="s">
        <v>62</v>
      </c>
      <c r="C131" s="345"/>
      <c r="D131" s="278" t="s">
        <v>357</v>
      </c>
      <c r="E131" s="248"/>
      <c r="F131" s="248"/>
      <c r="G131" s="248"/>
      <c r="H131" s="248"/>
      <c r="I131" s="248"/>
      <c r="J131" s="248"/>
      <c r="K131" s="248"/>
    </row>
    <row r="132" spans="1:11">
      <c r="A132" s="245"/>
      <c r="B132" s="1391" t="s">
        <v>64</v>
      </c>
      <c r="C132" s="272"/>
      <c r="D132" s="312" t="s">
        <v>65</v>
      </c>
      <c r="E132" s="248"/>
      <c r="F132" s="248"/>
      <c r="G132" s="248"/>
      <c r="H132" s="248"/>
      <c r="I132" s="248"/>
      <c r="J132" s="248"/>
      <c r="K132" s="248"/>
    </row>
    <row r="133" spans="1:11" ht="84">
      <c r="A133" s="245"/>
      <c r="B133" s="1392"/>
      <c r="C133" s="272"/>
      <c r="D133" s="313" t="s">
        <v>358</v>
      </c>
      <c r="E133" s="248"/>
      <c r="F133" s="248"/>
      <c r="G133" s="248"/>
      <c r="H133" s="248"/>
      <c r="I133" s="248"/>
      <c r="J133" s="248"/>
      <c r="K133" s="248"/>
    </row>
    <row r="134" spans="1:11" ht="36">
      <c r="A134" s="245"/>
      <c r="B134" s="1392"/>
      <c r="C134" s="272"/>
      <c r="D134" s="313" t="s">
        <v>359</v>
      </c>
      <c r="E134" s="248"/>
      <c r="F134" s="248"/>
      <c r="G134" s="248"/>
      <c r="H134" s="248"/>
      <c r="I134" s="248"/>
      <c r="J134" s="248"/>
      <c r="K134" s="248"/>
    </row>
    <row r="135" spans="1:11">
      <c r="A135" s="245"/>
      <c r="B135" s="1392"/>
      <c r="C135" s="272"/>
      <c r="D135" s="312" t="s">
        <v>68</v>
      </c>
      <c r="E135" s="248"/>
      <c r="F135" s="248"/>
      <c r="G135" s="248"/>
      <c r="H135" s="248"/>
      <c r="I135" s="248"/>
      <c r="J135" s="248"/>
      <c r="K135" s="248"/>
    </row>
    <row r="136" spans="1:11">
      <c r="A136" s="245"/>
      <c r="B136" s="1392"/>
      <c r="C136" s="272"/>
      <c r="D136" s="313" t="s">
        <v>70</v>
      </c>
      <c r="E136" s="248"/>
      <c r="F136" s="248"/>
      <c r="G136" s="248"/>
      <c r="H136" s="248"/>
      <c r="I136" s="248"/>
      <c r="J136" s="248"/>
      <c r="K136" s="248"/>
    </row>
    <row r="137" spans="1:11">
      <c r="A137" s="245"/>
      <c r="B137" s="1392"/>
      <c r="C137" s="272"/>
      <c r="D137" s="313" t="s">
        <v>360</v>
      </c>
      <c r="E137" s="248"/>
      <c r="F137" s="248"/>
      <c r="G137" s="248"/>
      <c r="H137" s="248"/>
      <c r="I137" s="248"/>
      <c r="J137" s="248"/>
      <c r="K137" s="248"/>
    </row>
    <row r="138" spans="1:11">
      <c r="A138" s="245"/>
      <c r="B138" s="1392"/>
      <c r="C138" s="272"/>
      <c r="D138" s="312" t="s">
        <v>296</v>
      </c>
      <c r="E138" s="248"/>
      <c r="F138" s="248"/>
      <c r="G138" s="248"/>
      <c r="H138" s="248"/>
      <c r="I138" s="248"/>
      <c r="J138" s="248"/>
      <c r="K138" s="248"/>
    </row>
    <row r="139" spans="1:11" ht="36">
      <c r="A139" s="245"/>
      <c r="B139" s="1392"/>
      <c r="C139" s="272"/>
      <c r="D139" s="313" t="s">
        <v>361</v>
      </c>
      <c r="E139" s="248"/>
      <c r="F139" s="248"/>
      <c r="G139" s="248"/>
      <c r="H139" s="248"/>
      <c r="I139" s="248"/>
      <c r="J139" s="248"/>
      <c r="K139" s="248"/>
    </row>
    <row r="140" spans="1:11" ht="36">
      <c r="A140" s="245"/>
      <c r="B140" s="1392"/>
      <c r="C140" s="272"/>
      <c r="D140" s="313" t="s">
        <v>362</v>
      </c>
      <c r="E140" s="248"/>
      <c r="F140" s="248"/>
      <c r="G140" s="248"/>
      <c r="H140" s="248"/>
      <c r="I140" s="248"/>
      <c r="J140" s="248"/>
      <c r="K140" s="248"/>
    </row>
    <row r="141" spans="1:11" ht="15.75" thickBot="1">
      <c r="A141" s="245"/>
      <c r="B141" s="1393"/>
      <c r="C141" s="345"/>
      <c r="D141" s="278" t="s">
        <v>363</v>
      </c>
      <c r="E141" s="248"/>
      <c r="F141" s="248"/>
      <c r="G141" s="248"/>
      <c r="H141" s="248"/>
      <c r="I141" s="248"/>
      <c r="J141" s="248"/>
      <c r="K141" s="248"/>
    </row>
    <row r="142" spans="1:11" ht="24.75" thickBot="1">
      <c r="A142" s="245"/>
      <c r="B142" s="285" t="s">
        <v>77</v>
      </c>
      <c r="C142" s="345"/>
      <c r="D142" s="278"/>
      <c r="E142" s="248"/>
      <c r="F142" s="248"/>
      <c r="G142" s="248"/>
      <c r="H142" s="248"/>
      <c r="I142" s="248"/>
      <c r="J142" s="248"/>
      <c r="K142" s="248"/>
    </row>
    <row r="143" spans="1:11" ht="15.75" thickBot="1">
      <c r="A143" s="245"/>
      <c r="B143" s="318"/>
      <c r="C143" s="304"/>
      <c r="D143" s="248"/>
      <c r="E143" s="248"/>
      <c r="F143" s="248"/>
      <c r="G143" s="248"/>
      <c r="H143" s="248"/>
      <c r="I143" s="248"/>
      <c r="J143" s="248"/>
      <c r="K143" s="248"/>
    </row>
    <row r="144" spans="1:11" ht="108">
      <c r="A144" s="245"/>
      <c r="B144" s="1391" t="s">
        <v>78</v>
      </c>
      <c r="C144" s="344"/>
      <c r="D144" s="271" t="s">
        <v>364</v>
      </c>
      <c r="E144" s="248"/>
      <c r="F144" s="248"/>
      <c r="G144" s="248"/>
      <c r="H144" s="248"/>
      <c r="I144" s="248"/>
      <c r="J144" s="248"/>
      <c r="K144" s="248"/>
    </row>
    <row r="145" spans="1:11" ht="144">
      <c r="A145" s="245"/>
      <c r="B145" s="1392"/>
      <c r="C145" s="272"/>
      <c r="D145" s="313" t="s">
        <v>365</v>
      </c>
      <c r="E145" s="248"/>
      <c r="F145" s="248"/>
      <c r="G145" s="248"/>
      <c r="H145" s="248"/>
      <c r="I145" s="248"/>
      <c r="J145" s="248"/>
      <c r="K145" s="248"/>
    </row>
    <row r="146" spans="1:11" ht="192">
      <c r="A146" s="245"/>
      <c r="B146" s="1392"/>
      <c r="C146" s="272"/>
      <c r="D146" s="313" t="s">
        <v>366</v>
      </c>
      <c r="E146" s="248"/>
      <c r="F146" s="248"/>
      <c r="G146" s="248"/>
      <c r="H146" s="248"/>
      <c r="I146" s="248"/>
      <c r="J146" s="248"/>
      <c r="K146" s="248"/>
    </row>
    <row r="147" spans="1:11" ht="72">
      <c r="A147" s="245"/>
      <c r="B147" s="1392"/>
      <c r="C147" s="272"/>
      <c r="D147" s="313" t="s">
        <v>367</v>
      </c>
      <c r="E147" s="248"/>
      <c r="F147" s="248"/>
      <c r="G147" s="248"/>
      <c r="H147" s="248"/>
      <c r="I147" s="248"/>
      <c r="J147" s="248"/>
      <c r="K147" s="248"/>
    </row>
    <row r="148" spans="1:11" ht="120.75" thickBot="1">
      <c r="A148" s="245"/>
      <c r="B148" s="1393"/>
      <c r="C148" s="345"/>
      <c r="D148" s="278" t="s">
        <v>368</v>
      </c>
      <c r="E148" s="248"/>
      <c r="F148" s="248"/>
      <c r="G148" s="248"/>
      <c r="H148" s="248"/>
      <c r="I148" s="248"/>
      <c r="J148" s="248"/>
      <c r="K148" s="248"/>
    </row>
    <row r="149" spans="1:11">
      <c r="A149" s="245"/>
      <c r="B149" s="1391" t="s">
        <v>95</v>
      </c>
      <c r="C149" s="272"/>
      <c r="D149" s="312"/>
      <c r="E149" s="248"/>
      <c r="F149" s="248"/>
      <c r="G149" s="248"/>
      <c r="H149" s="248"/>
      <c r="I149" s="248"/>
      <c r="J149" s="248"/>
      <c r="K149" s="248"/>
    </row>
    <row r="150" spans="1:11" ht="36">
      <c r="A150" s="245"/>
      <c r="B150" s="1392"/>
      <c r="C150" s="272"/>
      <c r="D150" s="312" t="s">
        <v>356</v>
      </c>
      <c r="E150" s="248"/>
      <c r="F150" s="248"/>
      <c r="G150" s="248"/>
      <c r="H150" s="248"/>
      <c r="I150" s="248"/>
      <c r="J150" s="248"/>
      <c r="K150" s="248"/>
    </row>
    <row r="151" spans="1:11">
      <c r="A151" s="245"/>
      <c r="B151" s="1392"/>
      <c r="C151" s="272"/>
      <c r="D151" s="314"/>
      <c r="E151" s="248"/>
      <c r="F151" s="248"/>
      <c r="G151" s="248"/>
      <c r="H151" s="248"/>
      <c r="I151" s="248"/>
      <c r="J151" s="248"/>
      <c r="K151" s="248"/>
    </row>
    <row r="152" spans="1:11">
      <c r="A152" s="245"/>
      <c r="B152" s="1392"/>
      <c r="C152" s="272"/>
      <c r="D152" s="313" t="s">
        <v>96</v>
      </c>
      <c r="E152" s="248"/>
      <c r="F152" s="248"/>
      <c r="G152" s="248"/>
      <c r="H152" s="248"/>
      <c r="I152" s="248"/>
      <c r="J152" s="248"/>
      <c r="K152" s="248"/>
    </row>
    <row r="153" spans="1:11" ht="49.5">
      <c r="A153" s="245"/>
      <c r="B153" s="1392"/>
      <c r="C153" s="272"/>
      <c r="D153" s="313" t="s">
        <v>369</v>
      </c>
      <c r="E153" s="248"/>
      <c r="F153" s="248"/>
      <c r="G153" s="248"/>
      <c r="H153" s="248"/>
      <c r="I153" s="248"/>
      <c r="J153" s="248"/>
      <c r="K153" s="248"/>
    </row>
    <row r="154" spans="1:11" ht="49.5">
      <c r="A154" s="245"/>
      <c r="B154" s="1392"/>
      <c r="C154" s="272"/>
      <c r="D154" s="313" t="s">
        <v>370</v>
      </c>
      <c r="E154" s="248"/>
      <c r="F154" s="248"/>
      <c r="G154" s="248"/>
      <c r="H154" s="248"/>
      <c r="I154" s="248"/>
      <c r="J154" s="248"/>
      <c r="K154" s="248"/>
    </row>
    <row r="155" spans="1:11" ht="50.25" thickBot="1">
      <c r="A155" s="245"/>
      <c r="B155" s="1393"/>
      <c r="C155" s="345"/>
      <c r="D155" s="278" t="s">
        <v>371</v>
      </c>
      <c r="E155" s="248"/>
      <c r="F155" s="248"/>
      <c r="G155" s="248"/>
      <c r="H155" s="248"/>
      <c r="I155" s="248"/>
      <c r="J155" s="248"/>
      <c r="K155" s="248"/>
    </row>
  </sheetData>
  <sheetProtection sheet="1" objects="1" scenarios="1" insertRows="0"/>
  <mergeCells count="54">
    <mergeCell ref="A1:P1"/>
    <mergeCell ref="A2:P2"/>
    <mergeCell ref="A3:P3"/>
    <mergeCell ref="A4:D4"/>
    <mergeCell ref="A5:P5"/>
    <mergeCell ref="B103:E103"/>
    <mergeCell ref="B104:B110"/>
    <mergeCell ref="B112:E112"/>
    <mergeCell ref="D59:J59"/>
    <mergeCell ref="D60:J60"/>
    <mergeCell ref="D61:J61"/>
    <mergeCell ref="D70:J70"/>
    <mergeCell ref="D71:J71"/>
    <mergeCell ref="D72:J72"/>
    <mergeCell ref="I73:I74"/>
    <mergeCell ref="D73:D74"/>
    <mergeCell ref="E73:E74"/>
    <mergeCell ref="B16:B97"/>
    <mergeCell ref="D27:J27"/>
    <mergeCell ref="D36:J36"/>
    <mergeCell ref="D37:J37"/>
    <mergeCell ref="D50:J50"/>
    <mergeCell ref="D38:J38"/>
    <mergeCell ref="D47:J47"/>
    <mergeCell ref="F17:F18"/>
    <mergeCell ref="D25:I25"/>
    <mergeCell ref="E17:E18"/>
    <mergeCell ref="G17:G18"/>
    <mergeCell ref="B149:B155"/>
    <mergeCell ref="C17:C18"/>
    <mergeCell ref="D17:D18"/>
    <mergeCell ref="B113:B119"/>
    <mergeCell ref="D89:J89"/>
    <mergeCell ref="D90:J90"/>
    <mergeCell ref="D98:J98"/>
    <mergeCell ref="B99:B101"/>
    <mergeCell ref="D99:J99"/>
    <mergeCell ref="D100:J100"/>
    <mergeCell ref="D101:J101"/>
    <mergeCell ref="F73:F74"/>
    <mergeCell ref="G73:G74"/>
    <mergeCell ref="H73:H74"/>
    <mergeCell ref="D48:J48"/>
    <mergeCell ref="D49:J49"/>
    <mergeCell ref="B126:J127"/>
    <mergeCell ref="B128:J128"/>
    <mergeCell ref="B130:D130"/>
    <mergeCell ref="B132:B141"/>
    <mergeCell ref="B144:B148"/>
    <mergeCell ref="B11:D11"/>
    <mergeCell ref="F11:S11"/>
    <mergeCell ref="F12:S12"/>
    <mergeCell ref="E13:R13"/>
    <mergeCell ref="E14:R14"/>
  </mergeCells>
  <conditionalFormatting sqref="F11">
    <cfRule type="notContainsBlanks" dxfId="96" priority="4">
      <formula>LEN(TRIM(F11))&gt;0</formula>
    </cfRule>
  </conditionalFormatting>
  <conditionalFormatting sqref="F12:S12">
    <cfRule type="expression" dxfId="95" priority="2">
      <formula>E12="NO SE REPORTA"</formula>
    </cfRule>
    <cfRule type="expression" dxfId="94" priority="3">
      <formula>E11="NO APLICA"</formula>
    </cfRule>
  </conditionalFormatting>
  <conditionalFormatting sqref="E13:R13">
    <cfRule type="expression" dxfId="93" priority="1">
      <formula>E12="SI SE REPORTA"</formula>
    </cfRule>
  </conditionalFormatting>
  <dataValidations count="6">
    <dataValidation type="whole" operator="greaterThanOrEqual" allowBlank="1" showErrorMessage="1" errorTitle="ERROR" error="Escriba un número igual o mayor que 0" promptTitle="ERROR" prompt="Escriba un número igual o mayor que 0" sqref="E29:H34 E23:F23 E19:F19 E52:H57">
      <formula1>0</formula1>
    </dataValidation>
    <dataValidation type="whole" operator="greaterThanOrEqual" allowBlank="1" showInputMessage="1" showErrorMessage="1" errorTitle="ERROR" error="Valor en HECTAREAS (sin decimales)_x000a_" sqref="E20:F22 E40:H45 G75:H88 E63:H68">
      <formula1>0</formula1>
    </dataValidation>
    <dataValidation allowBlank="1" showInputMessage="1" showErrorMessage="1" promptTitle="ESTADO" prompt="en preparación_x000a_en aprestamiento_x000a_en declaración_x000a_Declarado" sqref="I75:I88"/>
    <dataValidation allowBlank="1" showInputMessage="1" showErrorMessage="1" sqref="I40 E46:H46 I52 E69:H69 I63 E58:H58 E24:F24 I29"/>
    <dataValidation type="list" allowBlank="1" showInputMessage="1" showErrorMessage="1" sqref="E12">
      <formula1>REPORTE</formula1>
    </dataValidation>
    <dataValidation type="list" allowBlank="1" showInputMessage="1" showErrorMessage="1" sqref="E11">
      <formula1>SI</formula1>
    </dataValidation>
  </dataValidations>
  <hyperlinks>
    <hyperlink ref="B10" location="'ANEXO 3'!A1" display="VOLVER AL INDICE"/>
  </hyperlinks>
  <pageMargins left="0.25" right="0.25" top="0.75" bottom="0.75" header="0.3" footer="0.3"/>
  <pageSetup paperSize="178" orientation="landscape"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9"/>
  <sheetViews>
    <sheetView showGridLines="0" topLeftCell="B1" zoomScale="98" zoomScaleNormal="98" workbookViewId="0">
      <selection activeCell="B1" sqref="A1:XFD1048576"/>
    </sheetView>
  </sheetViews>
  <sheetFormatPr baseColWidth="10" defaultRowHeight="15"/>
  <cols>
    <col min="1" max="1" width="1.85546875" customWidth="1"/>
    <col min="2" max="2" width="12.85546875" customWidth="1"/>
    <col min="3" max="3" width="5" style="88" bestFit="1" customWidth="1"/>
    <col min="4" max="4" width="34.85546875" customWidth="1"/>
    <col min="5" max="5" width="12.140625" customWidth="1"/>
  </cols>
  <sheetData>
    <row r="1" spans="1:21" s="551" customFormat="1" ht="100.5" customHeight="1" thickBot="1">
      <c r="A1" s="1344"/>
      <c r="B1" s="1345"/>
      <c r="C1" s="1345"/>
      <c r="D1" s="1345"/>
      <c r="E1" s="1345"/>
      <c r="F1" s="1345"/>
      <c r="G1" s="1345"/>
      <c r="H1" s="1345"/>
      <c r="I1" s="1345"/>
      <c r="J1" s="1345"/>
      <c r="K1" s="1345"/>
      <c r="L1" s="1345"/>
      <c r="M1" s="1345"/>
      <c r="N1" s="1345"/>
      <c r="O1" s="1345"/>
      <c r="P1" s="1346"/>
      <c r="Q1" s="413"/>
      <c r="R1" s="413"/>
    </row>
    <row r="2" spans="1:21" s="552" customFormat="1" ht="16.5" thickBot="1">
      <c r="A2" s="1352" t="str">
        <f>'Datos Generales'!C5</f>
        <v>Corporación Autónoma Regional de La Guajira – CORPOGUAJIRA</v>
      </c>
      <c r="B2" s="1353"/>
      <c r="C2" s="1353"/>
      <c r="D2" s="1353"/>
      <c r="E2" s="1353"/>
      <c r="F2" s="1353"/>
      <c r="G2" s="1353"/>
      <c r="H2" s="1353"/>
      <c r="I2" s="1353"/>
      <c r="J2" s="1353"/>
      <c r="K2" s="1353"/>
      <c r="L2" s="1353"/>
      <c r="M2" s="1353"/>
      <c r="N2" s="1353"/>
      <c r="O2" s="1353"/>
      <c r="P2" s="1354"/>
      <c r="Q2" s="413"/>
      <c r="R2" s="413"/>
    </row>
    <row r="3" spans="1:21" s="552" customFormat="1" ht="16.5" thickBot="1">
      <c r="A3" s="1347" t="s">
        <v>1419</v>
      </c>
      <c r="B3" s="1348"/>
      <c r="C3" s="1348"/>
      <c r="D3" s="1348"/>
      <c r="E3" s="1348"/>
      <c r="F3" s="1348"/>
      <c r="G3" s="1348"/>
      <c r="H3" s="1348"/>
      <c r="I3" s="1348"/>
      <c r="J3" s="1348"/>
      <c r="K3" s="1348"/>
      <c r="L3" s="1348"/>
      <c r="M3" s="1348"/>
      <c r="N3" s="1348"/>
      <c r="O3" s="1348"/>
      <c r="P3" s="1349"/>
      <c r="Q3" s="413"/>
      <c r="R3" s="413"/>
    </row>
    <row r="4" spans="1:21" s="552" customFormat="1" ht="16.5" thickBot="1">
      <c r="A4" s="1350" t="s">
        <v>1418</v>
      </c>
      <c r="B4" s="1351"/>
      <c r="C4" s="1351"/>
      <c r="D4" s="1351"/>
      <c r="E4" s="571" t="str">
        <f>'Datos Generales'!C6</f>
        <v>2016-II</v>
      </c>
      <c r="F4" s="571"/>
      <c r="G4" s="571"/>
      <c r="H4" s="571"/>
      <c r="I4" s="571"/>
      <c r="J4" s="571"/>
      <c r="K4" s="571"/>
      <c r="L4" s="572"/>
      <c r="M4" s="572"/>
      <c r="N4" s="572"/>
      <c r="O4" s="572"/>
      <c r="P4" s="573"/>
      <c r="Q4" s="413"/>
      <c r="R4" s="413"/>
    </row>
    <row r="5" spans="1:21" s="245" customFormat="1" ht="16.5" customHeight="1" thickBot="1">
      <c r="A5" s="1347" t="s">
        <v>404</v>
      </c>
      <c r="B5" s="1348"/>
      <c r="C5" s="1348"/>
      <c r="D5" s="1348"/>
      <c r="E5" s="1348"/>
      <c r="F5" s="1348"/>
      <c r="G5" s="1348"/>
      <c r="H5" s="1348"/>
      <c r="I5" s="1348"/>
      <c r="J5" s="1348"/>
      <c r="K5" s="1348"/>
      <c r="L5" s="1348"/>
      <c r="M5" s="1348"/>
      <c r="N5" s="1348"/>
      <c r="O5" s="1348"/>
      <c r="P5" s="1349"/>
    </row>
    <row r="6" spans="1:21">
      <c r="A6" s="245"/>
      <c r="B6" s="249" t="s">
        <v>1</v>
      </c>
      <c r="C6" s="250"/>
      <c r="D6" s="248"/>
      <c r="E6" s="259"/>
      <c r="F6" s="248" t="s">
        <v>133</v>
      </c>
      <c r="G6" s="248"/>
      <c r="H6" s="248"/>
      <c r="I6" s="248"/>
      <c r="J6" s="248"/>
      <c r="K6" s="248"/>
    </row>
    <row r="7" spans="1:21" ht="15.75" thickBot="1">
      <c r="A7" s="245"/>
      <c r="B7" s="251"/>
      <c r="C7" s="252"/>
      <c r="D7" s="248"/>
      <c r="E7" s="253"/>
      <c r="F7" s="248" t="s">
        <v>134</v>
      </c>
      <c r="G7" s="248"/>
      <c r="H7" s="248"/>
      <c r="I7" s="248"/>
      <c r="J7" s="248"/>
      <c r="K7" s="248"/>
    </row>
    <row r="8" spans="1:21" ht="15.75" thickBot="1">
      <c r="A8" s="245"/>
      <c r="B8" s="261" t="s">
        <v>1204</v>
      </c>
      <c r="C8" s="262">
        <v>2017</v>
      </c>
      <c r="D8" s="257">
        <f>IF(E10="NO APLICA","NO APLICA",IF(E11="NO SE REPORTA","SIN INFORMACION",+F20))</f>
        <v>0</v>
      </c>
      <c r="E8" s="264"/>
      <c r="F8" s="248" t="s">
        <v>135</v>
      </c>
      <c r="G8" s="248"/>
      <c r="H8" s="248"/>
      <c r="I8" s="248"/>
      <c r="J8" s="248"/>
      <c r="K8" s="248"/>
    </row>
    <row r="9" spans="1:21">
      <c r="A9" s="245"/>
      <c r="B9" s="507" t="s">
        <v>1205</v>
      </c>
      <c r="C9" s="265"/>
      <c r="D9" s="248"/>
      <c r="E9" s="248"/>
      <c r="F9" s="248"/>
      <c r="G9" s="248"/>
      <c r="H9" s="248"/>
      <c r="I9" s="248"/>
      <c r="J9" s="248"/>
      <c r="K9" s="248"/>
    </row>
    <row r="10" spans="1:21" s="413" customFormat="1">
      <c r="A10" s="245"/>
      <c r="B10" s="1412" t="s">
        <v>1265</v>
      </c>
      <c r="C10" s="1412"/>
      <c r="D10" s="1412"/>
      <c r="E10" s="513" t="s">
        <v>1262</v>
      </c>
      <c r="F10" s="1419"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420"/>
      <c r="H10" s="1420"/>
      <c r="I10" s="1420"/>
      <c r="J10" s="1420"/>
      <c r="K10" s="1420"/>
      <c r="L10" s="1420"/>
      <c r="M10" s="1420"/>
      <c r="N10" s="1420"/>
      <c r="O10" s="1420"/>
      <c r="P10" s="1420"/>
      <c r="Q10" s="1420"/>
      <c r="R10" s="1420"/>
      <c r="S10" s="1420"/>
      <c r="T10" s="509"/>
      <c r="U10" s="509"/>
    </row>
    <row r="11" spans="1:21" s="413" customFormat="1" ht="14.45" customHeight="1">
      <c r="A11" s="245"/>
      <c r="B11" s="510"/>
      <c r="C11" s="511"/>
      <c r="D11" s="512" t="str">
        <f>IF(E10="SI APLICA","¿El indicador no se reporta por limitaciones de información disponible? ","")</f>
        <v xml:space="preserve">¿El indicador no se reporta por limitaciones de información disponible? </v>
      </c>
      <c r="E11" s="514" t="s">
        <v>1264</v>
      </c>
      <c r="F11" s="1413" t="s">
        <v>1680</v>
      </c>
      <c r="G11" s="1414"/>
      <c r="H11" s="1414"/>
      <c r="I11" s="1414"/>
      <c r="J11" s="1414"/>
      <c r="K11" s="1414"/>
      <c r="L11" s="1414"/>
      <c r="M11" s="1414"/>
      <c r="N11" s="1414"/>
      <c r="O11" s="1414"/>
      <c r="P11" s="1414"/>
      <c r="Q11" s="1414"/>
      <c r="R11" s="1414"/>
      <c r="S11" s="1414"/>
    </row>
    <row r="12" spans="1:21" s="413" customFormat="1" ht="23.45" customHeight="1">
      <c r="A12" s="245"/>
      <c r="B12" s="507"/>
      <c r="C12" s="304"/>
      <c r="D12" s="512" t="str">
        <f>IF(E11="SI SE REPORTA","¿Qué programas o proyectos del Plan de Acción están asociados al indicador? ","")</f>
        <v xml:space="preserve">¿Qué programas o proyectos del Plan de Acción están asociados al indicador? </v>
      </c>
      <c r="E12" s="1415" t="str">
        <f>'Anexo 1 Matriz Inf Gestión'!E9:H9</f>
        <v>Proyecto No 1.1.Planificación, Ordenamiento e Información Ambiental Territorial (1)</v>
      </c>
      <c r="F12" s="1415"/>
      <c r="G12" s="1415"/>
      <c r="H12" s="1415"/>
      <c r="I12" s="1415"/>
      <c r="J12" s="1415"/>
      <c r="K12" s="1415"/>
      <c r="L12" s="1415"/>
      <c r="M12" s="1415"/>
      <c r="N12" s="1415"/>
      <c r="O12" s="1415"/>
      <c r="P12" s="1415"/>
      <c r="Q12" s="1415"/>
      <c r="R12" s="1415"/>
    </row>
    <row r="13" spans="1:21" s="413" customFormat="1" ht="21.95" customHeight="1">
      <c r="A13" s="245"/>
      <c r="B13" s="507"/>
      <c r="C13" s="304"/>
      <c r="D13" s="512" t="s">
        <v>1267</v>
      </c>
      <c r="E13" s="1416" t="s">
        <v>1687</v>
      </c>
      <c r="F13" s="1417"/>
      <c r="G13" s="1417"/>
      <c r="H13" s="1417"/>
      <c r="I13" s="1417"/>
      <c r="J13" s="1417"/>
      <c r="K13" s="1417"/>
      <c r="L13" s="1417"/>
      <c r="M13" s="1417"/>
      <c r="N13" s="1417"/>
      <c r="O13" s="1417"/>
      <c r="P13" s="1417"/>
      <c r="Q13" s="1417"/>
      <c r="R13" s="1418"/>
    </row>
    <row r="14" spans="1:21" s="413" customFormat="1" ht="6.95" customHeight="1" thickBot="1">
      <c r="A14" s="245"/>
      <c r="B14" s="507"/>
      <c r="C14" s="265"/>
      <c r="D14" s="248"/>
      <c r="E14" s="248"/>
      <c r="F14" s="248"/>
      <c r="G14" s="248"/>
      <c r="H14" s="248"/>
      <c r="I14" s="248"/>
      <c r="J14" s="248"/>
      <c r="K14" s="248"/>
    </row>
    <row r="15" spans="1:21" ht="15.75" thickTop="1">
      <c r="A15" s="245"/>
      <c r="B15" s="1490" t="s">
        <v>2</v>
      </c>
      <c r="C15" s="268"/>
      <c r="D15" s="1373" t="s">
        <v>344</v>
      </c>
      <c r="E15" s="1374"/>
      <c r="F15" s="1374"/>
      <c r="G15" s="1374"/>
      <c r="H15" s="1374"/>
      <c r="I15" s="1374"/>
      <c r="J15" s="1375"/>
      <c r="K15" s="248"/>
    </row>
    <row r="16" spans="1:21" ht="15.75" thickBot="1">
      <c r="A16" s="245"/>
      <c r="B16" s="1392"/>
      <c r="C16" s="276"/>
      <c r="D16" s="1370" t="s">
        <v>419</v>
      </c>
      <c r="E16" s="1371"/>
      <c r="F16" s="1371"/>
      <c r="G16" s="1371"/>
      <c r="H16" s="1371"/>
      <c r="I16" s="1371"/>
      <c r="J16" s="1372"/>
      <c r="K16" s="248"/>
    </row>
    <row r="17" spans="1:11" ht="24.75" thickBot="1">
      <c r="A17" s="245"/>
      <c r="B17" s="1392"/>
      <c r="C17" s="272"/>
      <c r="D17" s="280" t="s">
        <v>420</v>
      </c>
      <c r="E17" s="287" t="s">
        <v>421</v>
      </c>
      <c r="F17" s="280" t="s">
        <v>25</v>
      </c>
      <c r="G17" s="280" t="s">
        <v>26</v>
      </c>
      <c r="H17" s="280" t="s">
        <v>27</v>
      </c>
      <c r="I17" s="280" t="s">
        <v>28</v>
      </c>
      <c r="J17" s="280" t="s">
        <v>157</v>
      </c>
      <c r="K17" s="248"/>
    </row>
    <row r="18" spans="1:11" ht="36.75" thickBot="1">
      <c r="A18" s="245"/>
      <c r="B18" s="1392"/>
      <c r="C18" s="272"/>
      <c r="D18" s="278" t="s">
        <v>422</v>
      </c>
      <c r="E18" s="549">
        <v>1</v>
      </c>
      <c r="F18" s="217">
        <f>E18</f>
        <v>1</v>
      </c>
      <c r="G18" s="217">
        <v>0</v>
      </c>
      <c r="H18" s="217">
        <v>0</v>
      </c>
      <c r="I18" s="217">
        <v>0</v>
      </c>
      <c r="J18" s="283">
        <f>SUM(F18:I18)</f>
        <v>1</v>
      </c>
      <c r="K18" s="19"/>
    </row>
    <row r="19" spans="1:11" ht="36.75" thickBot="1">
      <c r="A19" s="245"/>
      <c r="B19" s="1392"/>
      <c r="C19" s="272"/>
      <c r="D19" s="278" t="s">
        <v>423</v>
      </c>
      <c r="E19" s="217"/>
      <c r="F19" s="217">
        <v>0</v>
      </c>
      <c r="G19" s="217">
        <v>1</v>
      </c>
      <c r="H19" s="217">
        <v>0</v>
      </c>
      <c r="I19" s="217">
        <v>0</v>
      </c>
      <c r="J19" s="283">
        <f>SUM(F19:I19)</f>
        <v>1</v>
      </c>
      <c r="K19" s="19"/>
    </row>
    <row r="20" spans="1:11" ht="36.75" thickBot="1">
      <c r="A20" s="245"/>
      <c r="B20" s="1392"/>
      <c r="C20" s="345"/>
      <c r="D20" s="278" t="s">
        <v>404</v>
      </c>
      <c r="E20" s="196">
        <f>IFERROR(E19/E18,"N.A.")</f>
        <v>0</v>
      </c>
      <c r="F20" s="196">
        <f t="shared" ref="F20:J20" si="0">IFERROR(F19/F18,"N.A.")</f>
        <v>0</v>
      </c>
      <c r="G20" s="196" t="str">
        <f t="shared" si="0"/>
        <v>N.A.</v>
      </c>
      <c r="H20" s="196" t="str">
        <f t="shared" si="0"/>
        <v>N.A.</v>
      </c>
      <c r="I20" s="196" t="str">
        <f t="shared" si="0"/>
        <v>N.A.</v>
      </c>
      <c r="J20" s="196">
        <f t="shared" si="0"/>
        <v>1</v>
      </c>
      <c r="K20" s="19"/>
    </row>
    <row r="21" spans="1:11" ht="11.1" customHeight="1" thickBot="1">
      <c r="A21" s="245"/>
      <c r="B21" s="337"/>
      <c r="C21" s="268"/>
      <c r="D21" s="1370" t="s">
        <v>1208</v>
      </c>
      <c r="E21" s="1371"/>
      <c r="F21" s="1371"/>
      <c r="G21" s="1371"/>
      <c r="H21" s="1371"/>
      <c r="I21" s="1371"/>
      <c r="J21" s="1372"/>
      <c r="K21" s="248"/>
    </row>
    <row r="22" spans="1:11" ht="36.75" thickBot="1">
      <c r="A22" s="245"/>
      <c r="B22" s="337"/>
      <c r="C22" s="276"/>
      <c r="D22" s="299" t="s">
        <v>1209</v>
      </c>
      <c r="E22" s="267" t="s">
        <v>1210</v>
      </c>
      <c r="F22" s="271" t="s">
        <v>395</v>
      </c>
      <c r="G22" s="402"/>
      <c r="H22" s="403"/>
      <c r="I22" s="403"/>
      <c r="J22" s="404"/>
      <c r="K22" s="248"/>
    </row>
    <row r="23" spans="1:11" s="199" customFormat="1" ht="15.75" thickBot="1">
      <c r="B23" s="236"/>
      <c r="C23" s="239"/>
      <c r="D23" s="395" t="s">
        <v>1686</v>
      </c>
      <c r="E23" s="336"/>
      <c r="F23" s="336"/>
      <c r="G23" s="396"/>
      <c r="H23" s="397"/>
      <c r="I23" s="397"/>
      <c r="J23" s="398"/>
      <c r="K23" s="19"/>
    </row>
    <row r="24" spans="1:11" s="199" customFormat="1" ht="15.75" thickBot="1">
      <c r="B24" s="236"/>
      <c r="C24" s="239"/>
      <c r="D24" s="395"/>
      <c r="E24" s="336"/>
      <c r="F24" s="336"/>
      <c r="G24" s="396"/>
      <c r="H24" s="397"/>
      <c r="I24" s="397"/>
      <c r="J24" s="398"/>
      <c r="K24" s="19"/>
    </row>
    <row r="25" spans="1:11" s="199" customFormat="1" ht="15.75" thickBot="1">
      <c r="B25" s="236"/>
      <c r="C25" s="239"/>
      <c r="D25" s="395"/>
      <c r="E25" s="336"/>
      <c r="F25" s="336"/>
      <c r="G25" s="396"/>
      <c r="H25" s="397"/>
      <c r="I25" s="397"/>
      <c r="J25" s="398"/>
      <c r="K25" s="19"/>
    </row>
    <row r="26" spans="1:11" s="199" customFormat="1" ht="15.75" thickBot="1">
      <c r="B26" s="236"/>
      <c r="C26" s="239"/>
      <c r="D26" s="395"/>
      <c r="E26" s="336"/>
      <c r="F26" s="336"/>
      <c r="G26" s="396"/>
      <c r="H26" s="397"/>
      <c r="I26" s="397"/>
      <c r="J26" s="398"/>
      <c r="K26" s="19"/>
    </row>
    <row r="27" spans="1:11" s="199" customFormat="1" ht="15.75" thickBot="1">
      <c r="B27" s="236"/>
      <c r="C27" s="239"/>
      <c r="D27" s="395"/>
      <c r="E27" s="336"/>
      <c r="F27" s="336"/>
      <c r="G27" s="396"/>
      <c r="H27" s="397"/>
      <c r="I27" s="397"/>
      <c r="J27" s="398"/>
      <c r="K27" s="19"/>
    </row>
    <row r="28" spans="1:11" s="199" customFormat="1" ht="15.75" thickBot="1">
      <c r="B28" s="236"/>
      <c r="C28" s="239"/>
      <c r="D28" s="395"/>
      <c r="E28" s="336"/>
      <c r="F28" s="336"/>
      <c r="G28" s="396"/>
      <c r="H28" s="397"/>
      <c r="I28" s="397"/>
      <c r="J28" s="398"/>
      <c r="K28" s="19"/>
    </row>
    <row r="29" spans="1:11" s="199" customFormat="1" ht="15.75" thickBot="1">
      <c r="B29" s="236"/>
      <c r="C29" s="239"/>
      <c r="D29" s="395"/>
      <c r="E29" s="336"/>
      <c r="F29" s="336"/>
      <c r="G29" s="396"/>
      <c r="H29" s="397"/>
      <c r="I29" s="397"/>
      <c r="J29" s="398"/>
      <c r="K29" s="19"/>
    </row>
    <row r="30" spans="1:11" s="199" customFormat="1" ht="15.75" thickBot="1">
      <c r="B30" s="236"/>
      <c r="C30" s="239"/>
      <c r="D30" s="395"/>
      <c r="E30" s="336"/>
      <c r="F30" s="336"/>
      <c r="G30" s="396"/>
      <c r="H30" s="397"/>
      <c r="I30" s="397"/>
      <c r="J30" s="398"/>
      <c r="K30" s="19"/>
    </row>
    <row r="31" spans="1:11" s="199" customFormat="1" ht="15.75" thickBot="1">
      <c r="B31" s="236"/>
      <c r="C31" s="239"/>
      <c r="D31" s="395"/>
      <c r="E31" s="336"/>
      <c r="F31" s="336"/>
      <c r="G31" s="396"/>
      <c r="H31" s="397"/>
      <c r="I31" s="397"/>
      <c r="J31" s="398"/>
      <c r="K31" s="19"/>
    </row>
    <row r="32" spans="1:11" s="199" customFormat="1" ht="15.75" thickBot="1">
      <c r="B32" s="236"/>
      <c r="C32" s="239"/>
      <c r="D32" s="395"/>
      <c r="E32" s="336"/>
      <c r="F32" s="336"/>
      <c r="G32" s="396"/>
      <c r="H32" s="397"/>
      <c r="I32" s="397"/>
      <c r="J32" s="398"/>
      <c r="K32" s="19"/>
    </row>
    <row r="33" spans="1:11" s="199" customFormat="1" ht="15.75" thickBot="1">
      <c r="B33" s="236"/>
      <c r="C33" s="239"/>
      <c r="D33" s="31"/>
      <c r="E33" s="31"/>
      <c r="F33" s="31"/>
      <c r="G33" s="396"/>
      <c r="H33" s="397"/>
      <c r="I33" s="397"/>
      <c r="J33" s="398"/>
    </row>
    <row r="34" spans="1:11" s="199" customFormat="1" ht="15.75" thickBot="1">
      <c r="B34" s="236"/>
      <c r="C34" s="239"/>
      <c r="D34" s="31"/>
      <c r="E34" s="31"/>
      <c r="F34" s="31"/>
      <c r="G34" s="396"/>
      <c r="H34" s="397"/>
      <c r="I34" s="397"/>
      <c r="J34" s="398"/>
    </row>
    <row r="35" spans="1:11" s="199" customFormat="1" ht="15.75" thickBot="1">
      <c r="B35" s="237"/>
      <c r="C35" s="240"/>
      <c r="D35" s="31"/>
      <c r="E35" s="31"/>
      <c r="F35" s="31"/>
      <c r="G35" s="399"/>
      <c r="H35" s="400"/>
      <c r="I35" s="400"/>
      <c r="J35" s="401"/>
    </row>
    <row r="36" spans="1:11" ht="15.75" thickBot="1">
      <c r="A36" s="245"/>
      <c r="B36" s="285" t="s">
        <v>39</v>
      </c>
      <c r="C36" s="286"/>
      <c r="D36" s="1400" t="s">
        <v>424</v>
      </c>
      <c r="E36" s="1401"/>
      <c r="F36" s="1401"/>
      <c r="G36" s="1401"/>
      <c r="H36" s="1401"/>
      <c r="I36" s="1401"/>
      <c r="J36" s="1402"/>
      <c r="K36" s="245"/>
    </row>
    <row r="37" spans="1:11" ht="24.75" thickBot="1">
      <c r="A37" s="245"/>
      <c r="B37" s="285" t="s">
        <v>41</v>
      </c>
      <c r="C37" s="286"/>
      <c r="D37" s="1400" t="s">
        <v>354</v>
      </c>
      <c r="E37" s="1401"/>
      <c r="F37" s="1401"/>
      <c r="G37" s="1401"/>
      <c r="H37" s="1401"/>
      <c r="I37" s="1401"/>
      <c r="J37" s="1402"/>
      <c r="K37" s="245"/>
    </row>
    <row r="38" spans="1:11" ht="15.75" thickBot="1">
      <c r="A38" s="245"/>
      <c r="B38" s="377"/>
      <c r="C38" s="405"/>
      <c r="D38" s="377"/>
      <c r="E38" s="377"/>
      <c r="F38" s="377"/>
      <c r="G38" s="377"/>
      <c r="H38" s="377"/>
      <c r="I38" s="377"/>
      <c r="J38" s="377"/>
      <c r="K38" s="248"/>
    </row>
    <row r="39" spans="1:11" ht="24" customHeight="1" thickBot="1">
      <c r="A39" s="245"/>
      <c r="B39" s="1388" t="s">
        <v>43</v>
      </c>
      <c r="C39" s="1389"/>
      <c r="D39" s="1389"/>
      <c r="E39" s="1390"/>
      <c r="F39" s="248"/>
      <c r="G39" s="248"/>
      <c r="H39" s="248"/>
      <c r="I39" s="248"/>
      <c r="J39" s="248"/>
      <c r="K39" s="248"/>
    </row>
    <row r="40" spans="1:11" ht="15.75" thickBot="1">
      <c r="A40" s="245"/>
      <c r="B40" s="1391">
        <v>1</v>
      </c>
      <c r="C40" s="272"/>
      <c r="D40" s="289" t="s">
        <v>44</v>
      </c>
      <c r="E40" s="31" t="s">
        <v>1642</v>
      </c>
      <c r="F40" s="248"/>
      <c r="G40" s="248"/>
      <c r="H40" s="248"/>
      <c r="I40" s="248"/>
      <c r="J40" s="248"/>
      <c r="K40" s="248"/>
    </row>
    <row r="41" spans="1:11" ht="15.75" thickBot="1">
      <c r="A41" s="245"/>
      <c r="B41" s="1392"/>
      <c r="C41" s="272"/>
      <c r="D41" s="278" t="s">
        <v>45</v>
      </c>
      <c r="E41" s="31" t="s">
        <v>1681</v>
      </c>
      <c r="F41" s="248"/>
      <c r="G41" s="248"/>
      <c r="H41" s="248"/>
      <c r="I41" s="248"/>
      <c r="J41" s="248"/>
      <c r="K41" s="248"/>
    </row>
    <row r="42" spans="1:11" ht="15.75" thickBot="1">
      <c r="A42" s="245"/>
      <c r="B42" s="1392"/>
      <c r="C42" s="272"/>
      <c r="D42" s="278" t="s">
        <v>46</v>
      </c>
      <c r="E42" s="31" t="s">
        <v>1682</v>
      </c>
      <c r="F42" s="248"/>
      <c r="G42" s="248"/>
      <c r="H42" s="248"/>
      <c r="I42" s="248"/>
      <c r="J42" s="248"/>
      <c r="K42" s="248"/>
    </row>
    <row r="43" spans="1:11" ht="15.75" thickBot="1">
      <c r="A43" s="245"/>
      <c r="B43" s="1392"/>
      <c r="C43" s="272"/>
      <c r="D43" s="278" t="s">
        <v>47</v>
      </c>
      <c r="E43" s="31" t="s">
        <v>1647</v>
      </c>
      <c r="F43" s="248"/>
      <c r="G43" s="248"/>
      <c r="H43" s="248"/>
      <c r="I43" s="248"/>
      <c r="J43" s="248"/>
      <c r="K43" s="248"/>
    </row>
    <row r="44" spans="1:11" ht="15.75" thickBot="1">
      <c r="A44" s="245"/>
      <c r="B44" s="1392"/>
      <c r="C44" s="272"/>
      <c r="D44" s="278" t="s">
        <v>48</v>
      </c>
      <c r="E44" s="1036" t="s">
        <v>1683</v>
      </c>
      <c r="F44" s="248"/>
      <c r="G44" s="248"/>
      <c r="H44" s="248"/>
      <c r="I44" s="248"/>
      <c r="J44" s="248"/>
      <c r="K44" s="248"/>
    </row>
    <row r="45" spans="1:11" ht="15.75" thickBot="1">
      <c r="A45" s="245"/>
      <c r="B45" s="1392"/>
      <c r="C45" s="272"/>
      <c r="D45" s="278" t="s">
        <v>49</v>
      </c>
      <c r="E45" s="31" t="s">
        <v>1684</v>
      </c>
      <c r="F45" s="248"/>
      <c r="G45" s="248"/>
      <c r="H45" s="248"/>
      <c r="I45" s="248"/>
      <c r="J45" s="248"/>
      <c r="K45" s="248"/>
    </row>
    <row r="46" spans="1:11" ht="15.75" thickBot="1">
      <c r="A46" s="245"/>
      <c r="B46" s="1393"/>
      <c r="C46" s="345"/>
      <c r="D46" s="278" t="s">
        <v>50</v>
      </c>
      <c r="E46" s="31" t="s">
        <v>1685</v>
      </c>
      <c r="F46" s="248"/>
      <c r="G46" s="248"/>
      <c r="H46" s="248"/>
      <c r="I46" s="248"/>
      <c r="J46" s="248"/>
      <c r="K46" s="248"/>
    </row>
    <row r="47" spans="1:11" ht="15.75" thickBot="1">
      <c r="A47" s="245"/>
      <c r="B47" s="249"/>
      <c r="C47" s="250"/>
      <c r="D47" s="248"/>
      <c r="E47" s="248"/>
      <c r="F47" s="248"/>
      <c r="G47" s="248"/>
      <c r="H47" s="248"/>
      <c r="I47" s="248"/>
      <c r="J47" s="248"/>
      <c r="K47" s="248"/>
    </row>
    <row r="48" spans="1:11" ht="15.75" thickBot="1">
      <c r="A48" s="245"/>
      <c r="B48" s="1388" t="s">
        <v>51</v>
      </c>
      <c r="C48" s="1389"/>
      <c r="D48" s="1389"/>
      <c r="E48" s="1390"/>
      <c r="F48" s="248"/>
      <c r="G48" s="248"/>
      <c r="H48" s="248"/>
      <c r="I48" s="248"/>
      <c r="J48" s="248"/>
      <c r="K48" s="248"/>
    </row>
    <row r="49" spans="1:11" ht="15.75" thickBot="1">
      <c r="A49" s="245"/>
      <c r="B49" s="1391">
        <v>1</v>
      </c>
      <c r="C49" s="272"/>
      <c r="D49" s="289" t="s">
        <v>44</v>
      </c>
      <c r="E49" s="238" t="s">
        <v>52</v>
      </c>
      <c r="F49" s="248"/>
      <c r="G49" s="248"/>
      <c r="H49" s="248"/>
      <c r="I49" s="248"/>
      <c r="J49" s="248"/>
      <c r="K49" s="248"/>
    </row>
    <row r="50" spans="1:11" ht="15.75" thickBot="1">
      <c r="A50" s="245"/>
      <c r="B50" s="1392"/>
      <c r="C50" s="272"/>
      <c r="D50" s="278" t="s">
        <v>45</v>
      </c>
      <c r="E50" s="238" t="s">
        <v>53</v>
      </c>
      <c r="F50" s="248"/>
      <c r="G50" s="248"/>
      <c r="H50" s="248"/>
      <c r="I50" s="248"/>
      <c r="J50" s="248"/>
      <c r="K50" s="248"/>
    </row>
    <row r="51" spans="1:11" ht="15.75" thickBot="1">
      <c r="A51" s="245"/>
      <c r="B51" s="1392"/>
      <c r="C51" s="272"/>
      <c r="D51" s="278" t="s">
        <v>46</v>
      </c>
      <c r="E51" s="315"/>
      <c r="F51" s="248"/>
      <c r="G51" s="248"/>
      <c r="H51" s="248"/>
      <c r="I51" s="248"/>
      <c r="J51" s="248"/>
      <c r="K51" s="248"/>
    </row>
    <row r="52" spans="1:11" ht="15.75" thickBot="1">
      <c r="A52" s="245"/>
      <c r="B52" s="1392"/>
      <c r="C52" s="272"/>
      <c r="D52" s="278" t="s">
        <v>47</v>
      </c>
      <c r="E52" s="315"/>
      <c r="F52" s="248"/>
      <c r="G52" s="248"/>
      <c r="H52" s="248"/>
      <c r="I52" s="248"/>
      <c r="J52" s="248"/>
      <c r="K52" s="248"/>
    </row>
    <row r="53" spans="1:11" ht="15.75" thickBot="1">
      <c r="A53" s="245"/>
      <c r="B53" s="1392"/>
      <c r="C53" s="272"/>
      <c r="D53" s="278" t="s">
        <v>48</v>
      </c>
      <c r="E53" s="315"/>
      <c r="F53" s="248"/>
      <c r="G53" s="248"/>
      <c r="H53" s="248"/>
      <c r="I53" s="248"/>
      <c r="J53" s="248"/>
      <c r="K53" s="248"/>
    </row>
    <row r="54" spans="1:11" ht="15.75" thickBot="1">
      <c r="A54" s="245"/>
      <c r="B54" s="1392"/>
      <c r="C54" s="272"/>
      <c r="D54" s="278" t="s">
        <v>49</v>
      </c>
      <c r="E54" s="315"/>
      <c r="F54" s="248"/>
      <c r="G54" s="248"/>
      <c r="H54" s="248"/>
      <c r="I54" s="248"/>
      <c r="J54" s="248"/>
      <c r="K54" s="248"/>
    </row>
    <row r="55" spans="1:11" ht="15.75" thickBot="1">
      <c r="A55" s="245"/>
      <c r="B55" s="1393"/>
      <c r="C55" s="345"/>
      <c r="D55" s="278" t="s">
        <v>50</v>
      </c>
      <c r="E55" s="315"/>
      <c r="F55" s="248"/>
      <c r="G55" s="248"/>
      <c r="H55" s="248"/>
      <c r="I55" s="248"/>
      <c r="J55" s="248"/>
      <c r="K55" s="248"/>
    </row>
    <row r="56" spans="1:11" ht="15.75" thickBot="1">
      <c r="A56" s="245"/>
      <c r="B56" s="249"/>
      <c r="C56" s="250"/>
      <c r="D56" s="248"/>
      <c r="E56" s="248"/>
      <c r="F56" s="248"/>
      <c r="G56" s="248"/>
      <c r="H56" s="248"/>
      <c r="I56" s="248"/>
      <c r="J56" s="248"/>
      <c r="K56" s="248"/>
    </row>
    <row r="57" spans="1:11" ht="15" customHeight="1" thickBot="1">
      <c r="A57" s="245"/>
      <c r="B57" s="288" t="s">
        <v>54</v>
      </c>
      <c r="C57" s="320"/>
      <c r="D57" s="320"/>
      <c r="E57" s="321"/>
      <c r="F57" s="245"/>
      <c r="G57" s="248"/>
      <c r="H57" s="248"/>
      <c r="I57" s="248"/>
      <c r="J57" s="248"/>
      <c r="K57" s="248"/>
    </row>
    <row r="58" spans="1:11" ht="24.75" thickBot="1">
      <c r="A58" s="245"/>
      <c r="B58" s="285" t="s">
        <v>55</v>
      </c>
      <c r="C58" s="278" t="s">
        <v>56</v>
      </c>
      <c r="D58" s="278" t="s">
        <v>57</v>
      </c>
      <c r="E58" s="278" t="s">
        <v>58</v>
      </c>
      <c r="F58" s="248"/>
      <c r="G58" s="248"/>
      <c r="H58" s="248"/>
      <c r="I58" s="248"/>
      <c r="J58" s="248"/>
      <c r="K58" s="245"/>
    </row>
    <row r="59" spans="1:11" ht="72.75" thickBot="1">
      <c r="A59" s="245"/>
      <c r="B59" s="295">
        <v>42401</v>
      </c>
      <c r="C59" s="278">
        <v>1</v>
      </c>
      <c r="D59" s="296" t="s">
        <v>425</v>
      </c>
      <c r="E59" s="278"/>
      <c r="F59" s="248"/>
      <c r="G59" s="248"/>
      <c r="H59" s="248"/>
      <c r="I59" s="248"/>
      <c r="J59" s="248"/>
      <c r="K59" s="245"/>
    </row>
    <row r="60" spans="1:11" ht="15.75" thickBot="1">
      <c r="A60" s="245"/>
      <c r="B60" s="249"/>
      <c r="C60" s="250"/>
      <c r="D60" s="248"/>
      <c r="E60" s="248"/>
      <c r="F60" s="248"/>
      <c r="G60" s="248"/>
      <c r="H60" s="248"/>
      <c r="I60" s="248"/>
      <c r="J60" s="248"/>
      <c r="K60" s="248"/>
    </row>
    <row r="61" spans="1:11" ht="15.75" thickBot="1">
      <c r="A61" s="245"/>
      <c r="B61" s="335" t="s">
        <v>426</v>
      </c>
      <c r="C61" s="298"/>
      <c r="D61" s="248"/>
      <c r="E61" s="248"/>
      <c r="F61" s="248"/>
      <c r="G61" s="248"/>
      <c r="H61" s="248"/>
      <c r="I61" s="248"/>
      <c r="J61" s="248"/>
      <c r="K61" s="248"/>
    </row>
    <row r="62" spans="1:11">
      <c r="A62" s="245"/>
      <c r="B62" s="1440"/>
      <c r="C62" s="1441"/>
      <c r="D62" s="1441"/>
      <c r="E62" s="248"/>
      <c r="F62" s="248"/>
      <c r="G62" s="248"/>
      <c r="H62" s="248"/>
      <c r="I62" s="248"/>
      <c r="J62" s="248"/>
      <c r="K62" s="248"/>
    </row>
    <row r="63" spans="1:11">
      <c r="A63" s="245"/>
      <c r="B63" s="1440"/>
      <c r="C63" s="1441"/>
      <c r="D63" s="1441"/>
      <c r="E63" s="248"/>
      <c r="F63" s="248"/>
      <c r="G63" s="248"/>
      <c r="H63" s="248"/>
      <c r="I63" s="248"/>
      <c r="J63" s="248"/>
      <c r="K63" s="248"/>
    </row>
    <row r="64" spans="1:11" ht="15.75" thickBot="1">
      <c r="A64" s="245"/>
      <c r="B64" s="248"/>
      <c r="C64" s="265"/>
      <c r="D64" s="248"/>
      <c r="E64" s="248"/>
      <c r="F64" s="248"/>
      <c r="G64" s="248"/>
      <c r="H64" s="248"/>
      <c r="I64" s="248"/>
      <c r="J64" s="248"/>
      <c r="K64" s="248"/>
    </row>
    <row r="65" spans="1:11" ht="15.75" thickBot="1">
      <c r="A65" s="245"/>
      <c r="B65" s="1388" t="s">
        <v>61</v>
      </c>
      <c r="C65" s="1389"/>
      <c r="D65" s="1390"/>
      <c r="E65" s="248"/>
      <c r="F65" s="248"/>
      <c r="G65" s="248"/>
      <c r="H65" s="248"/>
      <c r="I65" s="248"/>
      <c r="J65" s="248"/>
      <c r="K65" s="248"/>
    </row>
    <row r="66" spans="1:11" ht="60.75" thickBot="1">
      <c r="A66" s="245"/>
      <c r="B66" s="285" t="s">
        <v>62</v>
      </c>
      <c r="C66" s="345"/>
      <c r="D66" s="278" t="s">
        <v>405</v>
      </c>
      <c r="E66" s="248"/>
      <c r="F66" s="248"/>
      <c r="G66" s="248"/>
      <c r="H66" s="248"/>
      <c r="I66" s="248"/>
      <c r="J66" s="248"/>
      <c r="K66" s="248"/>
    </row>
    <row r="67" spans="1:11">
      <c r="A67" s="245"/>
      <c r="B67" s="1391" t="s">
        <v>64</v>
      </c>
      <c r="C67" s="272"/>
      <c r="D67" s="312" t="s">
        <v>65</v>
      </c>
      <c r="E67" s="248"/>
      <c r="F67" s="248"/>
      <c r="G67" s="248"/>
      <c r="H67" s="248"/>
      <c r="I67" s="248"/>
      <c r="J67" s="248"/>
      <c r="K67" s="248"/>
    </row>
    <row r="68" spans="1:11" ht="120">
      <c r="A68" s="245"/>
      <c r="B68" s="1392"/>
      <c r="C68" s="272"/>
      <c r="D68" s="313" t="s">
        <v>406</v>
      </c>
      <c r="E68" s="248"/>
      <c r="F68" s="248"/>
      <c r="G68" s="248"/>
      <c r="H68" s="248"/>
      <c r="I68" s="248"/>
      <c r="J68" s="248"/>
      <c r="K68" s="248"/>
    </row>
    <row r="69" spans="1:11">
      <c r="A69" s="245"/>
      <c r="B69" s="1392"/>
      <c r="C69" s="272"/>
      <c r="D69" s="312" t="s">
        <v>68</v>
      </c>
      <c r="E69" s="248"/>
      <c r="F69" s="248"/>
      <c r="G69" s="248"/>
      <c r="H69" s="248"/>
      <c r="I69" s="248"/>
      <c r="J69" s="248"/>
      <c r="K69" s="248"/>
    </row>
    <row r="70" spans="1:11">
      <c r="A70" s="245"/>
      <c r="B70" s="1392"/>
      <c r="C70" s="272"/>
      <c r="D70" s="313" t="s">
        <v>326</v>
      </c>
      <c r="E70" s="248"/>
      <c r="F70" s="248"/>
      <c r="G70" s="248"/>
      <c r="H70" s="248"/>
      <c r="I70" s="248"/>
      <c r="J70" s="248"/>
      <c r="K70" s="248"/>
    </row>
    <row r="71" spans="1:11">
      <c r="A71" s="245"/>
      <c r="B71" s="1392"/>
      <c r="C71" s="272"/>
      <c r="D71" s="313" t="s">
        <v>407</v>
      </c>
      <c r="E71" s="248"/>
      <c r="F71" s="248"/>
      <c r="G71" s="248"/>
      <c r="H71" s="248"/>
      <c r="I71" s="248"/>
      <c r="J71" s="248"/>
      <c r="K71" s="248"/>
    </row>
    <row r="72" spans="1:11">
      <c r="A72" s="245"/>
      <c r="B72" s="1392"/>
      <c r="C72" s="272"/>
      <c r="D72" s="313" t="s">
        <v>171</v>
      </c>
      <c r="E72" s="248"/>
      <c r="F72" s="248"/>
      <c r="G72" s="248"/>
      <c r="H72" s="248"/>
      <c r="I72" s="248"/>
      <c r="J72" s="248"/>
      <c r="K72" s="248"/>
    </row>
    <row r="73" spans="1:11">
      <c r="A73" s="245"/>
      <c r="B73" s="1392"/>
      <c r="C73" s="272"/>
      <c r="D73" s="313" t="s">
        <v>408</v>
      </c>
      <c r="E73" s="248"/>
      <c r="F73" s="248"/>
      <c r="G73" s="248"/>
      <c r="H73" s="248"/>
      <c r="I73" s="248"/>
      <c r="J73" s="248"/>
      <c r="K73" s="248"/>
    </row>
    <row r="74" spans="1:11">
      <c r="A74" s="245"/>
      <c r="B74" s="1392"/>
      <c r="C74" s="272"/>
      <c r="D74" s="313" t="s">
        <v>409</v>
      </c>
      <c r="E74" s="248"/>
      <c r="F74" s="248"/>
      <c r="G74" s="248"/>
      <c r="H74" s="248"/>
      <c r="I74" s="248"/>
      <c r="J74" s="248"/>
      <c r="K74" s="248"/>
    </row>
    <row r="75" spans="1:11">
      <c r="A75" s="245"/>
      <c r="B75" s="1392"/>
      <c r="C75" s="272"/>
      <c r="D75" s="313" t="s">
        <v>410</v>
      </c>
      <c r="E75" s="248"/>
      <c r="F75" s="248"/>
      <c r="G75" s="248"/>
      <c r="H75" s="248"/>
      <c r="I75" s="248"/>
      <c r="J75" s="248"/>
      <c r="K75" s="248"/>
    </row>
    <row r="76" spans="1:11">
      <c r="A76" s="245"/>
      <c r="B76" s="1392"/>
      <c r="C76" s="272"/>
      <c r="D76" s="313" t="s">
        <v>411</v>
      </c>
      <c r="E76" s="248"/>
      <c r="F76" s="248"/>
      <c r="G76" s="248"/>
      <c r="H76" s="248"/>
      <c r="I76" s="248"/>
      <c r="J76" s="248"/>
      <c r="K76" s="248"/>
    </row>
    <row r="77" spans="1:11">
      <c r="A77" s="245"/>
      <c r="B77" s="1392"/>
      <c r="C77" s="272"/>
      <c r="D77" s="312" t="s">
        <v>296</v>
      </c>
      <c r="E77" s="248"/>
      <c r="F77" s="248"/>
      <c r="G77" s="248"/>
      <c r="H77" s="248"/>
      <c r="I77" s="248"/>
      <c r="J77" s="248"/>
      <c r="K77" s="248"/>
    </row>
    <row r="78" spans="1:11" ht="36.75" thickBot="1">
      <c r="A78" s="245"/>
      <c r="B78" s="1393"/>
      <c r="C78" s="345"/>
      <c r="D78" s="278" t="s">
        <v>361</v>
      </c>
      <c r="E78" s="248"/>
      <c r="F78" s="248"/>
      <c r="G78" s="248"/>
      <c r="H78" s="248"/>
      <c r="I78" s="248"/>
      <c r="J78" s="248"/>
      <c r="K78" s="248"/>
    </row>
    <row r="79" spans="1:11" ht="24.75" thickBot="1">
      <c r="A79" s="245"/>
      <c r="B79" s="285" t="s">
        <v>77</v>
      </c>
      <c r="C79" s="345"/>
      <c r="D79" s="278"/>
      <c r="E79" s="248"/>
      <c r="F79" s="248"/>
      <c r="G79" s="248"/>
      <c r="H79" s="248"/>
      <c r="I79" s="248"/>
      <c r="J79" s="248"/>
      <c r="K79" s="248"/>
    </row>
    <row r="80" spans="1:11" ht="144">
      <c r="A80" s="245"/>
      <c r="B80" s="1391" t="s">
        <v>78</v>
      </c>
      <c r="C80" s="272"/>
      <c r="D80" s="313" t="s">
        <v>412</v>
      </c>
      <c r="E80" s="248"/>
      <c r="F80" s="248"/>
      <c r="G80" s="248"/>
      <c r="H80" s="248"/>
      <c r="I80" s="248"/>
      <c r="J80" s="248"/>
      <c r="K80" s="248"/>
    </row>
    <row r="81" spans="1:11" ht="72">
      <c r="A81" s="245"/>
      <c r="B81" s="1392"/>
      <c r="C81" s="272"/>
      <c r="D81" s="313" t="s">
        <v>413</v>
      </c>
      <c r="E81" s="248"/>
      <c r="F81" s="248"/>
      <c r="G81" s="248"/>
      <c r="H81" s="248"/>
      <c r="I81" s="248"/>
      <c r="J81" s="248"/>
      <c r="K81" s="248"/>
    </row>
    <row r="82" spans="1:11" ht="84">
      <c r="A82" s="245"/>
      <c r="B82" s="1392"/>
      <c r="C82" s="272"/>
      <c r="D82" s="313" t="s">
        <v>414</v>
      </c>
      <c r="E82" s="248"/>
      <c r="F82" s="248"/>
      <c r="G82" s="248"/>
      <c r="H82" s="248"/>
      <c r="I82" s="248"/>
      <c r="J82" s="248"/>
      <c r="K82" s="248"/>
    </row>
    <row r="83" spans="1:11" ht="108.75" thickBot="1">
      <c r="A83" s="245"/>
      <c r="B83" s="1393"/>
      <c r="C83" s="345"/>
      <c r="D83" s="278" t="s">
        <v>415</v>
      </c>
      <c r="E83" s="248"/>
      <c r="F83" s="248"/>
      <c r="G83" s="248"/>
      <c r="H83" s="248"/>
      <c r="I83" s="248"/>
      <c r="J83" s="248"/>
      <c r="K83" s="248"/>
    </row>
    <row r="84" spans="1:11" ht="36">
      <c r="A84" s="245"/>
      <c r="B84" s="1391" t="s">
        <v>95</v>
      </c>
      <c r="C84" s="272"/>
      <c r="D84" s="312" t="s">
        <v>404</v>
      </c>
      <c r="E84" s="248"/>
      <c r="F84" s="248"/>
      <c r="G84" s="248"/>
      <c r="H84" s="248"/>
      <c r="I84" s="248"/>
      <c r="J84" s="248"/>
      <c r="K84" s="248"/>
    </row>
    <row r="85" spans="1:11">
      <c r="A85" s="245"/>
      <c r="B85" s="1392"/>
      <c r="C85" s="272"/>
      <c r="D85" s="314"/>
      <c r="E85" s="248"/>
      <c r="F85" s="248"/>
      <c r="G85" s="248"/>
      <c r="H85" s="248"/>
      <c r="I85" s="248"/>
      <c r="J85" s="248"/>
      <c r="K85" s="248"/>
    </row>
    <row r="86" spans="1:11">
      <c r="A86" s="245"/>
      <c r="B86" s="1392"/>
      <c r="C86" s="272"/>
      <c r="D86" s="313" t="s">
        <v>96</v>
      </c>
      <c r="E86" s="248"/>
      <c r="F86" s="248"/>
      <c r="G86" s="248"/>
      <c r="H86" s="248"/>
      <c r="I86" s="248"/>
      <c r="J86" s="248"/>
      <c r="K86" s="248"/>
    </row>
    <row r="87" spans="1:11" ht="61.5">
      <c r="A87" s="245"/>
      <c r="B87" s="1392"/>
      <c r="C87" s="272"/>
      <c r="D87" s="313" t="s">
        <v>416</v>
      </c>
      <c r="E87" s="248"/>
      <c r="F87" s="248"/>
      <c r="G87" s="248"/>
      <c r="H87" s="248"/>
      <c r="I87" s="248"/>
      <c r="J87" s="248"/>
      <c r="K87" s="248"/>
    </row>
    <row r="88" spans="1:11" ht="61.5">
      <c r="A88" s="245"/>
      <c r="B88" s="1392"/>
      <c r="C88" s="272"/>
      <c r="D88" s="313" t="s">
        <v>417</v>
      </c>
      <c r="E88" s="248"/>
      <c r="F88" s="248"/>
      <c r="G88" s="248"/>
      <c r="H88" s="248"/>
      <c r="I88" s="248"/>
      <c r="J88" s="248"/>
      <c r="K88" s="248"/>
    </row>
    <row r="89" spans="1:11" ht="38.25" thickBot="1">
      <c r="A89" s="245"/>
      <c r="B89" s="1393"/>
      <c r="C89" s="345"/>
      <c r="D89" s="278" t="s">
        <v>418</v>
      </c>
      <c r="E89" s="248"/>
      <c r="F89" s="248"/>
      <c r="G89" s="248"/>
      <c r="H89" s="248"/>
      <c r="I89" s="248"/>
      <c r="J89" s="248"/>
      <c r="K89" s="248"/>
    </row>
  </sheetData>
  <sheetProtection sheet="1" objects="1" scenarios="1"/>
  <mergeCells count="25">
    <mergeCell ref="A1:P1"/>
    <mergeCell ref="A2:P2"/>
    <mergeCell ref="A3:P3"/>
    <mergeCell ref="A4:D4"/>
    <mergeCell ref="A5:P5"/>
    <mergeCell ref="B84:B89"/>
    <mergeCell ref="B15:B20"/>
    <mergeCell ref="D15:J15"/>
    <mergeCell ref="D16:J16"/>
    <mergeCell ref="D36:J36"/>
    <mergeCell ref="D37:J37"/>
    <mergeCell ref="B39:E39"/>
    <mergeCell ref="B40:B46"/>
    <mergeCell ref="B48:E48"/>
    <mergeCell ref="B49:B55"/>
    <mergeCell ref="B62:D63"/>
    <mergeCell ref="D21:J21"/>
    <mergeCell ref="B65:D65"/>
    <mergeCell ref="B67:B78"/>
    <mergeCell ref="B80:B83"/>
    <mergeCell ref="B10:D10"/>
    <mergeCell ref="F10:S10"/>
    <mergeCell ref="F11:S11"/>
    <mergeCell ref="E12:R12"/>
    <mergeCell ref="E13:R13"/>
  </mergeCells>
  <conditionalFormatting sqref="F10">
    <cfRule type="notContainsBlanks" dxfId="92" priority="4">
      <formula>LEN(TRIM(F10))&gt;0</formula>
    </cfRule>
  </conditionalFormatting>
  <conditionalFormatting sqref="F11:S11">
    <cfRule type="expression" dxfId="91" priority="2">
      <formula>E11="NO SE REPORTA"</formula>
    </cfRule>
    <cfRule type="expression" dxfId="90" priority="3">
      <formula>E10="NO APLICA"</formula>
    </cfRule>
  </conditionalFormatting>
  <conditionalFormatting sqref="E12:R12">
    <cfRule type="expression" dxfId="89" priority="1">
      <formula>E11="SI SE REPORTA"</formula>
    </cfRule>
  </conditionalFormatting>
  <dataValidations count="6">
    <dataValidation type="whole" operator="greaterThanOrEqual" allowBlank="1" showErrorMessage="1" errorTitle="ERROR" error="Escriba un número igual o mayor que 0" promptTitle="ERROR" prompt="Escriba un número igual o mayor que 0" sqref="E18:I19">
      <formula1>0</formula1>
    </dataValidation>
    <dataValidation allowBlank="1" showInputMessage="1" showErrorMessage="1" promptTitle="OJO" prompt="NO TOCAR" sqref="E20:J20 J18:J19"/>
    <dataValidation type="whole" operator="greaterThanOrEqual" allowBlank="1" showInputMessage="1" showErrorMessage="1" errorTitle="ERROR" error="Valor en HECTAREAS (sin decimales)_x000a_" sqref="G38:H38">
      <formula1>0</formula1>
    </dataValidation>
    <dataValidation allowBlank="1" showInputMessage="1" showErrorMessage="1" promptTitle="ESTADO" prompt="en preparación_x000a_en aprestamiento_x000a_en declaración_x000a_Declarado" sqref="I38"/>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 ref="E44" r:id="rId1"/>
  </hyperlinks>
  <pageMargins left="0.25" right="0.25" top="0.75" bottom="0.75" header="0.3" footer="0.3"/>
  <pageSetup paperSize="178" orientation="landscape" horizontalDpi="1200" verticalDpi="1200" r:id="rId2"/>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84"/>
  <sheetViews>
    <sheetView showGridLines="0" zoomScale="98" zoomScaleNormal="98" workbookViewId="0">
      <selection sqref="A1:XFD1048576"/>
    </sheetView>
  </sheetViews>
  <sheetFormatPr baseColWidth="10" defaultRowHeight="15"/>
  <cols>
    <col min="1" max="1" width="1.85546875" customWidth="1"/>
    <col min="2" max="2" width="12.85546875" customWidth="1"/>
    <col min="3" max="3" width="5" style="88" bestFit="1" customWidth="1"/>
    <col min="4" max="4" width="34.85546875" customWidth="1"/>
    <col min="5" max="5" width="12.140625" customWidth="1"/>
    <col min="11" max="11" width="11.5703125" style="412"/>
    <col min="12" max="12" width="23" customWidth="1"/>
    <col min="13" max="13" width="11" customWidth="1"/>
    <col min="14" max="16" width="8.85546875" customWidth="1"/>
  </cols>
  <sheetData>
    <row r="1" spans="1:21" s="551" customFormat="1" ht="100.5" customHeight="1" thickBot="1">
      <c r="A1" s="1344"/>
      <c r="B1" s="1345"/>
      <c r="C1" s="1345"/>
      <c r="D1" s="1345"/>
      <c r="E1" s="1345"/>
      <c r="F1" s="1345"/>
      <c r="G1" s="1345"/>
      <c r="H1" s="1345"/>
      <c r="I1" s="1345"/>
      <c r="J1" s="1345"/>
      <c r="K1" s="1345"/>
      <c r="L1" s="1345"/>
      <c r="M1" s="1345"/>
      <c r="N1" s="1345"/>
      <c r="O1" s="1345"/>
      <c r="P1" s="1346"/>
      <c r="Q1" s="413"/>
      <c r="R1" s="413"/>
    </row>
    <row r="2" spans="1:21" s="552" customFormat="1" ht="16.5" thickBot="1">
      <c r="A2" s="1352" t="str">
        <f>'Datos Generales'!C5</f>
        <v>Corporación Autónoma Regional de La Guajira – CORPOGUAJIRA</v>
      </c>
      <c r="B2" s="1353"/>
      <c r="C2" s="1353"/>
      <c r="D2" s="1353"/>
      <c r="E2" s="1353"/>
      <c r="F2" s="1353"/>
      <c r="G2" s="1353"/>
      <c r="H2" s="1353"/>
      <c r="I2" s="1353"/>
      <c r="J2" s="1353"/>
      <c r="K2" s="1353"/>
      <c r="L2" s="1353"/>
      <c r="M2" s="1353"/>
      <c r="N2" s="1353"/>
      <c r="O2" s="1353"/>
      <c r="P2" s="1354"/>
      <c r="Q2" s="413"/>
      <c r="R2" s="413"/>
    </row>
    <row r="3" spans="1:21" s="552" customFormat="1" ht="16.5" thickBot="1">
      <c r="A3" s="1347" t="s">
        <v>1419</v>
      </c>
      <c r="B3" s="1348"/>
      <c r="C3" s="1348"/>
      <c r="D3" s="1348"/>
      <c r="E3" s="1348"/>
      <c r="F3" s="1348"/>
      <c r="G3" s="1348"/>
      <c r="H3" s="1348"/>
      <c r="I3" s="1348"/>
      <c r="J3" s="1348"/>
      <c r="K3" s="1348"/>
      <c r="L3" s="1348"/>
      <c r="M3" s="1348"/>
      <c r="N3" s="1348"/>
      <c r="O3" s="1348"/>
      <c r="P3" s="1349"/>
      <c r="Q3" s="413"/>
      <c r="R3" s="413"/>
    </row>
    <row r="4" spans="1:21" s="552" customFormat="1" ht="16.5" thickBot="1">
      <c r="A4" s="1350" t="s">
        <v>1418</v>
      </c>
      <c r="B4" s="1351"/>
      <c r="C4" s="1351"/>
      <c r="D4" s="1351"/>
      <c r="E4" s="571" t="str">
        <f>'Datos Generales'!C6</f>
        <v>2016-II</v>
      </c>
      <c r="F4" s="571"/>
      <c r="G4" s="571"/>
      <c r="H4" s="571"/>
      <c r="I4" s="571"/>
      <c r="J4" s="571"/>
      <c r="K4" s="571"/>
      <c r="L4" s="572"/>
      <c r="M4" s="572"/>
      <c r="N4" s="572"/>
      <c r="O4" s="572"/>
      <c r="P4" s="573"/>
      <c r="Q4" s="413"/>
      <c r="R4" s="413"/>
    </row>
    <row r="5" spans="1:21" s="245" customFormat="1" ht="16.5" customHeight="1" thickBot="1">
      <c r="A5" s="1347" t="s">
        <v>427</v>
      </c>
      <c r="B5" s="1348"/>
      <c r="C5" s="1348"/>
      <c r="D5" s="1348"/>
      <c r="E5" s="1348"/>
      <c r="F5" s="1348"/>
      <c r="G5" s="1348"/>
      <c r="H5" s="1348"/>
      <c r="I5" s="1348"/>
      <c r="J5" s="1348"/>
      <c r="K5" s="1348"/>
      <c r="L5" s="1348"/>
      <c r="M5" s="1348"/>
      <c r="N5" s="1348"/>
      <c r="O5" s="1348"/>
      <c r="P5" s="1349"/>
    </row>
    <row r="6" spans="1:21">
      <c r="B6" s="2" t="s">
        <v>1</v>
      </c>
      <c r="C6" s="77"/>
      <c r="D6" s="6"/>
      <c r="E6" s="75"/>
      <c r="F6" s="6" t="s">
        <v>133</v>
      </c>
      <c r="G6" s="6"/>
      <c r="H6" s="6"/>
      <c r="I6" s="6"/>
      <c r="J6" s="6"/>
      <c r="K6" s="6"/>
      <c r="L6" s="6"/>
    </row>
    <row r="7" spans="1:21" ht="15.75" thickBot="1">
      <c r="B7" s="76"/>
      <c r="C7" s="78"/>
      <c r="D7" s="6"/>
      <c r="E7" s="18"/>
      <c r="F7" s="6" t="s">
        <v>134</v>
      </c>
      <c r="G7" s="6"/>
      <c r="H7" s="6"/>
      <c r="I7" s="6"/>
      <c r="J7" s="6"/>
      <c r="K7" s="6" t="s">
        <v>1230</v>
      </c>
    </row>
    <row r="8" spans="1:21" ht="15.75" thickBot="1">
      <c r="B8" s="178" t="s">
        <v>1204</v>
      </c>
      <c r="C8" s="222">
        <v>2017</v>
      </c>
      <c r="D8" s="226" t="str">
        <f>IF(E10="NO APLICA","NO APLICA",IF(E11="NO SE REPORTA","SIN INFORMACION",+N34))</f>
        <v>SIN INFORMACION</v>
      </c>
      <c r="E8" s="223"/>
      <c r="F8" s="6" t="s">
        <v>135</v>
      </c>
      <c r="G8" s="6"/>
      <c r="H8" s="6"/>
      <c r="I8" s="6"/>
      <c r="J8" s="6"/>
      <c r="K8" s="6"/>
      <c r="L8" s="6"/>
    </row>
    <row r="9" spans="1:21">
      <c r="B9" s="507" t="s">
        <v>1205</v>
      </c>
      <c r="C9" s="89"/>
      <c r="D9" s="6"/>
      <c r="E9" s="6"/>
      <c r="F9" s="6"/>
      <c r="G9" s="6"/>
      <c r="H9" s="6"/>
      <c r="I9" s="6"/>
    </row>
    <row r="10" spans="1:21" s="413" customFormat="1">
      <c r="A10" s="245"/>
      <c r="B10" s="1412" t="s">
        <v>1265</v>
      </c>
      <c r="C10" s="1412"/>
      <c r="D10" s="1412"/>
      <c r="E10" s="513" t="s">
        <v>1262</v>
      </c>
      <c r="F10" s="1419"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xml:space="preserve">      ESCRIBA EL NÚMERO DEL ACUERDO DEL CONSEJO DIRECTIVO EN LA CUAL SE APRUEBA LA AGENDA DE IMPLEMENTACION DEL INDICADOR</v>
      </c>
      <c r="G10" s="1420"/>
      <c r="H10" s="1420"/>
      <c r="I10" s="1420"/>
      <c r="J10" s="1420"/>
      <c r="K10" s="1420"/>
      <c r="L10" s="1420"/>
      <c r="M10" s="1420"/>
      <c r="N10" s="1420"/>
      <c r="O10" s="1420"/>
      <c r="P10" s="1420"/>
      <c r="Q10" s="1420"/>
      <c r="R10" s="1420"/>
      <c r="S10" s="1420"/>
      <c r="T10" s="509"/>
      <c r="U10" s="509"/>
    </row>
    <row r="11" spans="1:21" s="413" customFormat="1" ht="14.45" customHeight="1">
      <c r="A11" s="245"/>
      <c r="B11" s="510"/>
      <c r="C11" s="511"/>
      <c r="D11" s="512" t="str">
        <f>IF(E10="SI APLICA","¿El indicador no se reporta por limitaciones de información disponible? ","")</f>
        <v xml:space="preserve">¿El indicador no se reporta por limitaciones de información disponible? </v>
      </c>
      <c r="E11" s="514" t="s">
        <v>1263</v>
      </c>
      <c r="F11" s="1413" t="s">
        <v>1704</v>
      </c>
      <c r="G11" s="1414"/>
      <c r="H11" s="1414"/>
      <c r="I11" s="1414"/>
      <c r="J11" s="1414"/>
      <c r="K11" s="1414"/>
      <c r="L11" s="1414"/>
      <c r="M11" s="1414"/>
      <c r="N11" s="1414"/>
      <c r="O11" s="1414"/>
      <c r="P11" s="1414"/>
      <c r="Q11" s="1414"/>
      <c r="R11" s="1414"/>
      <c r="S11" s="1414"/>
    </row>
    <row r="12" spans="1:21" s="413" customFormat="1" ht="23.45" customHeight="1">
      <c r="A12" s="245"/>
      <c r="B12" s="507"/>
      <c r="C12" s="304"/>
      <c r="D12" s="512" t="str">
        <f>IF(E11="SI SE REPORTA","¿Qué programas o proyectos del Plan de Acción están asociados al indicador? ","")</f>
        <v/>
      </c>
      <c r="E12" s="1415" t="str">
        <f>'Anexo 1 Matriz Inf Gestión'!E60:H60</f>
        <v>Proyecto No 3.2. Protección y conservación de la biodiversidad (7).</v>
      </c>
      <c r="F12" s="1415"/>
      <c r="G12" s="1415"/>
      <c r="H12" s="1415"/>
      <c r="I12" s="1415"/>
      <c r="J12" s="1415"/>
      <c r="K12" s="1415"/>
      <c r="L12" s="1415"/>
      <c r="M12" s="1415"/>
      <c r="N12" s="1415"/>
      <c r="O12" s="1415"/>
      <c r="P12" s="1415"/>
      <c r="Q12" s="1415"/>
      <c r="R12" s="1415"/>
    </row>
    <row r="13" spans="1:21" s="413" customFormat="1" ht="21.95" customHeight="1">
      <c r="A13" s="245"/>
      <c r="B13" s="507"/>
      <c r="C13" s="304"/>
      <c r="D13" s="512" t="s">
        <v>1267</v>
      </c>
      <c r="E13" s="1416"/>
      <c r="F13" s="1417"/>
      <c r="G13" s="1417"/>
      <c r="H13" s="1417"/>
      <c r="I13" s="1417"/>
      <c r="J13" s="1417"/>
      <c r="K13" s="1417"/>
      <c r="L13" s="1417"/>
      <c r="M13" s="1417"/>
      <c r="N13" s="1417"/>
      <c r="O13" s="1417"/>
      <c r="P13" s="1417"/>
      <c r="Q13" s="1417"/>
      <c r="R13" s="1418"/>
    </row>
    <row r="14" spans="1:21" s="413" customFormat="1" ht="6.95" customHeight="1" thickBot="1">
      <c r="B14" s="507"/>
      <c r="C14" s="89"/>
      <c r="D14" s="6"/>
      <c r="E14" s="6"/>
      <c r="F14" s="6"/>
      <c r="G14" s="6"/>
      <c r="H14" s="6"/>
      <c r="I14" s="6"/>
    </row>
    <row r="15" spans="1:21" ht="15.6" customHeight="1" thickBot="1">
      <c r="B15" s="1447" t="s">
        <v>2</v>
      </c>
      <c r="C15" s="90"/>
      <c r="D15" s="1458" t="s">
        <v>344</v>
      </c>
      <c r="E15" s="1459"/>
      <c r="F15" s="1459"/>
      <c r="G15" s="1459"/>
      <c r="H15" s="1459"/>
      <c r="I15" s="1460"/>
      <c r="K15" s="411" t="s">
        <v>420</v>
      </c>
      <c r="L15" s="411" t="s">
        <v>1243</v>
      </c>
      <c r="M15" s="411" t="s">
        <v>1081</v>
      </c>
      <c r="N15" s="411" t="s">
        <v>110</v>
      </c>
      <c r="O15" s="225"/>
    </row>
    <row r="16" spans="1:21" ht="21.6" customHeight="1" thickBot="1">
      <c r="B16" s="1448"/>
      <c r="C16" s="99" t="s">
        <v>24</v>
      </c>
      <c r="D16" s="44" t="s">
        <v>156</v>
      </c>
      <c r="E16" s="39" t="s">
        <v>157</v>
      </c>
      <c r="F16" s="6"/>
      <c r="G16" s="6"/>
      <c r="I16" s="22"/>
      <c r="K16" s="411" t="s">
        <v>1235</v>
      </c>
      <c r="L16" s="434" t="s">
        <v>1244</v>
      </c>
      <c r="M16" s="414">
        <v>0.05</v>
      </c>
      <c r="N16" s="414">
        <v>0.05</v>
      </c>
      <c r="O16" s="225"/>
    </row>
    <row r="17" spans="2:18" ht="34.700000000000003" customHeight="1" thickBot="1">
      <c r="B17" s="1448"/>
      <c r="C17" s="3" t="s">
        <v>158</v>
      </c>
      <c r="D17" s="41" t="s">
        <v>1877</v>
      </c>
      <c r="E17" s="218">
        <v>43480</v>
      </c>
      <c r="F17" s="6"/>
      <c r="G17" s="6"/>
      <c r="I17" s="22"/>
      <c r="K17" s="411" t="s">
        <v>1232</v>
      </c>
      <c r="L17" s="434" t="s">
        <v>1246</v>
      </c>
      <c r="M17" s="414">
        <v>0.15</v>
      </c>
      <c r="N17" s="414">
        <f>+M17+N16</f>
        <v>0.2</v>
      </c>
      <c r="O17" s="225"/>
    </row>
    <row r="18" spans="2:18" ht="34.700000000000003" customHeight="1" thickBot="1">
      <c r="B18" s="1448"/>
      <c r="C18" s="3" t="s">
        <v>160</v>
      </c>
      <c r="D18" s="41" t="s">
        <v>439</v>
      </c>
      <c r="E18" s="218">
        <v>169000</v>
      </c>
      <c r="F18" s="6"/>
      <c r="G18" s="6"/>
      <c r="I18" s="22"/>
      <c r="K18" s="411" t="s">
        <v>1233</v>
      </c>
      <c r="L18" s="434" t="s">
        <v>1247</v>
      </c>
      <c r="M18" s="414">
        <v>0.15</v>
      </c>
      <c r="N18" s="414">
        <f>+M18+N17</f>
        <v>0.35</v>
      </c>
      <c r="O18" s="225"/>
    </row>
    <row r="19" spans="2:18" ht="34.700000000000003" customHeight="1" thickBot="1">
      <c r="B19" s="1448"/>
      <c r="C19" s="3" t="s">
        <v>162</v>
      </c>
      <c r="D19" s="41" t="s">
        <v>440</v>
      </c>
      <c r="E19" s="218"/>
      <c r="F19" s="6"/>
      <c r="G19" s="6"/>
      <c r="I19" s="22"/>
      <c r="K19" s="411" t="s">
        <v>1234</v>
      </c>
      <c r="L19" s="434" t="s">
        <v>1248</v>
      </c>
      <c r="M19" s="414">
        <v>0.2</v>
      </c>
      <c r="N19" s="414">
        <f>+M19+N18</f>
        <v>0.55000000000000004</v>
      </c>
      <c r="O19" s="225"/>
    </row>
    <row r="20" spans="2:18" ht="34.700000000000003" customHeight="1" thickBot="1">
      <c r="B20" s="1448"/>
      <c r="C20" s="3" t="s">
        <v>266</v>
      </c>
      <c r="D20" s="41" t="s">
        <v>441</v>
      </c>
      <c r="E20" s="142">
        <f>+E18+E19</f>
        <v>169000</v>
      </c>
      <c r="F20" s="6"/>
      <c r="G20" s="6"/>
      <c r="I20" s="22"/>
      <c r="K20" s="411" t="s">
        <v>1231</v>
      </c>
      <c r="L20" s="434" t="s">
        <v>1249</v>
      </c>
      <c r="M20" s="414">
        <v>0.2</v>
      </c>
      <c r="N20" s="414">
        <f>+M20+N19</f>
        <v>0.75</v>
      </c>
      <c r="O20" s="225"/>
    </row>
    <row r="21" spans="2:18" ht="34.700000000000003" customHeight="1" thickBot="1">
      <c r="B21" s="1448"/>
      <c r="C21" s="3" t="s">
        <v>268</v>
      </c>
      <c r="D21" s="41" t="s">
        <v>442</v>
      </c>
      <c r="E21" s="218">
        <v>0</v>
      </c>
      <c r="F21" s="6"/>
      <c r="G21" s="6"/>
      <c r="I21" s="22"/>
      <c r="K21" s="411" t="s">
        <v>1251</v>
      </c>
      <c r="L21" s="434" t="s">
        <v>1250</v>
      </c>
      <c r="M21" s="414">
        <v>0.25</v>
      </c>
      <c r="N21" s="414">
        <f>+M21+N20</f>
        <v>1</v>
      </c>
      <c r="R21" t="s">
        <v>1245</v>
      </c>
    </row>
    <row r="22" spans="2:18" ht="15" customHeight="1">
      <c r="B22" s="1448"/>
      <c r="C22" s="93"/>
      <c r="D22" s="1464"/>
      <c r="E22" s="1465"/>
      <c r="F22" s="1465"/>
      <c r="G22" s="1465"/>
      <c r="H22" s="1465"/>
      <c r="I22" s="1466"/>
      <c r="K22" s="411" t="s">
        <v>157</v>
      </c>
      <c r="L22" s="411"/>
      <c r="M22" s="414">
        <f>SUM(M16:M21)</f>
        <v>1</v>
      </c>
    </row>
    <row r="23" spans="2:18" ht="15.75" thickBot="1">
      <c r="B23" s="1448"/>
      <c r="C23" s="93"/>
      <c r="D23" s="1492" t="s">
        <v>443</v>
      </c>
      <c r="E23" s="1493"/>
      <c r="F23" s="1493"/>
      <c r="G23" s="1493"/>
      <c r="H23" s="1493"/>
      <c r="I23" s="1494"/>
      <c r="J23" s="6"/>
      <c r="K23" s="6"/>
      <c r="L23" s="6"/>
    </row>
    <row r="24" spans="2:18" ht="15" customHeight="1" thickBot="1">
      <c r="B24" s="1448"/>
      <c r="C24" s="95"/>
      <c r="D24" s="39" t="s">
        <v>156</v>
      </c>
      <c r="E24" s="39" t="s">
        <v>25</v>
      </c>
      <c r="F24" s="39" t="s">
        <v>26</v>
      </c>
      <c r="G24" s="39" t="s">
        <v>27</v>
      </c>
      <c r="H24" s="39" t="s">
        <v>28</v>
      </c>
      <c r="I24" s="39" t="s">
        <v>157</v>
      </c>
      <c r="J24" s="6"/>
      <c r="K24" s="1491" t="s">
        <v>420</v>
      </c>
      <c r="L24" s="1491" t="s">
        <v>1236</v>
      </c>
      <c r="M24" s="1491" t="s">
        <v>25</v>
      </c>
      <c r="N24" s="1491" t="s">
        <v>26</v>
      </c>
      <c r="O24" s="1491" t="s">
        <v>27</v>
      </c>
      <c r="P24" s="1491" t="s">
        <v>28</v>
      </c>
    </row>
    <row r="25" spans="2:18" ht="15" customHeight="1" thickBot="1">
      <c r="B25" s="1448"/>
      <c r="C25" s="95"/>
      <c r="D25" s="40" t="s">
        <v>444</v>
      </c>
      <c r="E25" s="218"/>
      <c r="F25" s="218"/>
      <c r="G25" s="218"/>
      <c r="H25" s="218"/>
      <c r="I25" s="408" t="str">
        <f>Formulas!$I$15</f>
        <v>ERROR: LA SUMA DE LA COLUMNA DEBE SER IGUAL A LA META ANUAL</v>
      </c>
      <c r="J25" s="6"/>
      <c r="K25" s="1491"/>
      <c r="L25" s="1491"/>
      <c r="M25" s="1491"/>
      <c r="N25" s="1491"/>
      <c r="O25" s="1491"/>
      <c r="P25" s="1491"/>
    </row>
    <row r="26" spans="2:18" ht="15" customHeight="1" thickBot="1">
      <c r="B26" s="1448"/>
      <c r="C26" s="95"/>
      <c r="D26" s="40" t="s">
        <v>378</v>
      </c>
      <c r="E26" s="218"/>
      <c r="F26" s="218"/>
      <c r="G26" s="218"/>
      <c r="H26" s="218"/>
      <c r="I26" s="406"/>
      <c r="J26" s="6"/>
      <c r="K26" s="411" t="str">
        <f t="shared" ref="K26:K28" si="0">+D26</f>
        <v>Sin iniciar</v>
      </c>
      <c r="L26" s="410"/>
      <c r="M26" s="407">
        <f>+$L26*E26</f>
        <v>0</v>
      </c>
      <c r="N26" s="407"/>
      <c r="O26" s="407"/>
      <c r="P26" s="407"/>
    </row>
    <row r="27" spans="2:18" ht="15" customHeight="1" thickBot="1">
      <c r="B27" s="1448"/>
      <c r="C27" s="95"/>
      <c r="D27" s="40" t="s">
        <v>445</v>
      </c>
      <c r="E27" s="218"/>
      <c r="F27" s="218"/>
      <c r="G27" s="218"/>
      <c r="H27" s="218"/>
      <c r="I27" s="406"/>
      <c r="J27" s="6"/>
      <c r="K27" s="411" t="str">
        <f t="shared" si="0"/>
        <v>En formulación</v>
      </c>
      <c r="L27" s="410"/>
      <c r="M27" s="407">
        <f>+$L27*E27</f>
        <v>0</v>
      </c>
      <c r="N27" s="407"/>
      <c r="O27" s="407"/>
      <c r="P27" s="407"/>
    </row>
    <row r="28" spans="2:18" ht="15" customHeight="1" thickBot="1">
      <c r="B28" s="1448"/>
      <c r="C28" s="95"/>
      <c r="D28" s="40" t="s">
        <v>446</v>
      </c>
      <c r="E28" s="218"/>
      <c r="F28" s="218"/>
      <c r="G28" s="218"/>
      <c r="H28" s="218"/>
      <c r="I28" s="406"/>
      <c r="J28" s="6"/>
      <c r="K28" s="411" t="str">
        <f t="shared" si="0"/>
        <v>En actualización</v>
      </c>
      <c r="L28" s="410"/>
      <c r="M28" s="407">
        <f>+$L28*E28</f>
        <v>0</v>
      </c>
      <c r="N28" s="407"/>
      <c r="O28" s="407"/>
      <c r="P28" s="407"/>
    </row>
    <row r="29" spans="2:18" ht="15.75" thickBot="1">
      <c r="B29" s="1448"/>
      <c r="C29" s="95"/>
      <c r="D29" s="40" t="s">
        <v>447</v>
      </c>
      <c r="E29" s="218"/>
      <c r="F29" s="218"/>
      <c r="G29" s="218"/>
      <c r="H29" s="218"/>
      <c r="I29" s="406"/>
      <c r="J29" s="6"/>
      <c r="K29" s="411" t="str">
        <f>+D29</f>
        <v>Plan forestal adoptado</v>
      </c>
      <c r="L29" s="410"/>
      <c r="M29" s="407">
        <f>+$L29*E29</f>
        <v>0</v>
      </c>
      <c r="N29" s="407"/>
      <c r="O29" s="407"/>
      <c r="P29" s="407"/>
    </row>
    <row r="30" spans="2:18" ht="15" customHeight="1" thickBot="1">
      <c r="B30" s="1448"/>
      <c r="C30" s="95"/>
      <c r="D30" s="40" t="s">
        <v>157</v>
      </c>
      <c r="E30" s="146" t="str">
        <f>Formulas!D15</f>
        <v>ERROR: LA SUMA DE LA COLUMNA DEBE SER IGUAL A LA META ANUAL</v>
      </c>
      <c r="F30" s="146" t="str">
        <f>Formulas!E15</f>
        <v>ERROR: LA SUMA DE LA COLUMNA DEBE SER IGUAL A LA META ANUAL</v>
      </c>
      <c r="G30" s="146" t="str">
        <f>Formulas!F15</f>
        <v>ERROR: LA SUMA DE LA COLUMNA DEBE SER IGUAL A LA META ANUAL</v>
      </c>
      <c r="H30" s="146" t="str">
        <f>Formulas!G15</f>
        <v>ERROR: LA SUMA DE LA COLUMNA DEBE SER IGUAL A LA META ANUAL</v>
      </c>
      <c r="I30" s="406"/>
      <c r="J30" s="6"/>
      <c r="K30" s="411"/>
      <c r="L30" s="411" t="s">
        <v>1227</v>
      </c>
      <c r="M30" s="407">
        <f>SUM(M26:M29)</f>
        <v>0</v>
      </c>
      <c r="N30" s="407"/>
      <c r="O30" s="407"/>
      <c r="P30" s="407"/>
    </row>
    <row r="31" spans="2:18" ht="14.45" customHeight="1">
      <c r="B31" s="1448"/>
      <c r="C31" s="93"/>
      <c r="D31" s="1458" t="s">
        <v>448</v>
      </c>
      <c r="E31" s="1459"/>
      <c r="F31" s="1459"/>
      <c r="G31" s="1459"/>
      <c r="H31" s="1459"/>
      <c r="I31" s="1460"/>
      <c r="J31" s="6"/>
      <c r="K31" s="411"/>
      <c r="L31" s="411" t="s">
        <v>1228</v>
      </c>
      <c r="M31" s="409" t="e">
        <f>+M30/$I$25</f>
        <v>#VALUE!</v>
      </c>
      <c r="N31" s="409"/>
      <c r="O31" s="409"/>
      <c r="P31" s="409"/>
    </row>
    <row r="32" spans="2:18" ht="24" customHeight="1">
      <c r="B32" s="1448"/>
      <c r="C32" s="93"/>
      <c r="D32" s="1464" t="s">
        <v>449</v>
      </c>
      <c r="E32" s="1465"/>
      <c r="F32" s="1465"/>
      <c r="G32" s="1465"/>
      <c r="H32" s="1465"/>
      <c r="I32" s="1466"/>
      <c r="J32" s="6"/>
      <c r="K32" s="411"/>
      <c r="L32" s="411" t="s">
        <v>1237</v>
      </c>
      <c r="M32" s="409" t="e">
        <f>+M45</f>
        <v>#DIV/0!</v>
      </c>
      <c r="N32" s="409"/>
      <c r="O32" s="409"/>
      <c r="P32" s="409"/>
    </row>
    <row r="33" spans="2:16" ht="15" customHeight="1" thickBot="1">
      <c r="B33" s="1448"/>
      <c r="C33" s="93"/>
      <c r="D33" s="1461" t="s">
        <v>450</v>
      </c>
      <c r="E33" s="1462"/>
      <c r="F33" s="1462"/>
      <c r="G33" s="1462"/>
      <c r="H33" s="1462"/>
      <c r="I33" s="1463"/>
      <c r="J33" s="6"/>
      <c r="K33" s="411"/>
      <c r="L33" s="411" t="s">
        <v>1241</v>
      </c>
      <c r="M33" s="407">
        <f>+M46</f>
        <v>0</v>
      </c>
      <c r="N33" s="407"/>
      <c r="O33" s="407"/>
      <c r="P33" s="407"/>
    </row>
    <row r="34" spans="2:16" ht="48.75" thickBot="1">
      <c r="B34" s="1448"/>
      <c r="C34" s="95"/>
      <c r="D34" s="44" t="s">
        <v>451</v>
      </c>
      <c r="E34" s="44" t="s">
        <v>452</v>
      </c>
      <c r="F34" s="44" t="s">
        <v>453</v>
      </c>
      <c r="G34" s="44" t="s">
        <v>454</v>
      </c>
      <c r="H34" s="44" t="s">
        <v>455</v>
      </c>
      <c r="I34" s="22"/>
      <c r="J34" s="6"/>
      <c r="K34" s="411"/>
      <c r="L34" s="411" t="s">
        <v>427</v>
      </c>
      <c r="M34" s="409" t="e">
        <f>+M30/M33</f>
        <v>#DIV/0!</v>
      </c>
      <c r="N34" s="409"/>
      <c r="O34" s="409"/>
      <c r="P34" s="409"/>
    </row>
    <row r="35" spans="2:16" ht="15" customHeight="1" thickBot="1">
      <c r="B35" s="1448"/>
      <c r="C35" s="95"/>
      <c r="D35" s="31"/>
      <c r="E35" s="31"/>
      <c r="F35" s="218"/>
      <c r="G35" s="31"/>
      <c r="H35" s="31"/>
      <c r="I35" s="22"/>
      <c r="J35" s="6"/>
      <c r="K35" s="6"/>
      <c r="L35" s="6"/>
      <c r="M35" s="6"/>
      <c r="N35" s="6"/>
      <c r="O35" s="6"/>
      <c r="P35" s="6"/>
    </row>
    <row r="36" spans="2:16" ht="15" customHeight="1" thickBot="1">
      <c r="B36" s="1448"/>
      <c r="C36" s="95"/>
      <c r="D36" s="31"/>
      <c r="E36" s="31"/>
      <c r="F36" s="218"/>
      <c r="G36" s="31"/>
      <c r="H36" s="31"/>
      <c r="I36" s="22"/>
      <c r="J36" s="6"/>
      <c r="K36" s="6"/>
      <c r="L36" s="6"/>
    </row>
    <row r="37" spans="2:16" ht="15" customHeight="1" thickBot="1">
      <c r="B37" s="1448"/>
      <c r="C37" s="95"/>
      <c r="D37" s="31"/>
      <c r="E37" s="31"/>
      <c r="F37" s="218"/>
      <c r="G37" s="31"/>
      <c r="H37" s="31"/>
      <c r="I37" s="22"/>
      <c r="J37" s="6"/>
      <c r="K37" s="6"/>
      <c r="L37" s="413" t="s">
        <v>1238</v>
      </c>
    </row>
    <row r="38" spans="2:16" ht="15" customHeight="1" thickBot="1">
      <c r="B38" s="1448"/>
      <c r="C38" s="95"/>
      <c r="D38" s="31"/>
      <c r="E38" s="31"/>
      <c r="F38" s="218"/>
      <c r="G38" s="31"/>
      <c r="H38" s="31"/>
      <c r="I38" s="22"/>
      <c r="J38" s="6"/>
      <c r="K38" s="6"/>
      <c r="L38" s="6"/>
      <c r="N38" s="413"/>
      <c r="O38" s="413"/>
      <c r="P38" s="413"/>
    </row>
    <row r="39" spans="2:16" ht="15" customHeight="1" thickBot="1">
      <c r="B39" s="1448"/>
      <c r="C39" s="95"/>
      <c r="D39" s="31"/>
      <c r="E39" s="31"/>
      <c r="F39" s="218"/>
      <c r="G39" s="31"/>
      <c r="H39" s="31"/>
      <c r="I39" s="22"/>
      <c r="J39" s="6"/>
      <c r="K39" s="1491" t="s">
        <v>1229</v>
      </c>
      <c r="L39" s="1491" t="s">
        <v>1239</v>
      </c>
      <c r="M39" s="1491" t="s">
        <v>1240</v>
      </c>
      <c r="N39" s="413"/>
      <c r="O39" s="413"/>
      <c r="P39" s="413"/>
    </row>
    <row r="40" spans="2:16" ht="15" customHeight="1" thickBot="1">
      <c r="B40" s="1448"/>
      <c r="C40" s="95"/>
      <c r="D40" s="31"/>
      <c r="E40" s="31"/>
      <c r="F40" s="218"/>
      <c r="G40" s="31"/>
      <c r="H40" s="31"/>
      <c r="I40" s="22"/>
      <c r="J40" s="6"/>
      <c r="K40" s="1491"/>
      <c r="L40" s="1491"/>
      <c r="M40" s="1491"/>
      <c r="N40" s="413"/>
      <c r="O40" s="413"/>
      <c r="P40" s="413"/>
    </row>
    <row r="41" spans="2:16" ht="15.75" thickBot="1">
      <c r="B41" s="1448"/>
      <c r="C41" s="95"/>
      <c r="D41" s="31"/>
      <c r="E41" s="31"/>
      <c r="F41" s="218"/>
      <c r="G41" s="31"/>
      <c r="H41" s="31"/>
      <c r="I41" s="22"/>
      <c r="J41" s="6"/>
      <c r="K41" s="411" t="str">
        <f>+K26</f>
        <v>Sin iniciar</v>
      </c>
      <c r="L41" s="477"/>
      <c r="M41" s="409">
        <v>0</v>
      </c>
      <c r="N41" s="413"/>
      <c r="O41" s="413"/>
      <c r="P41" s="413"/>
    </row>
    <row r="42" spans="2:16" ht="15.75" thickBot="1">
      <c r="B42" s="1448"/>
      <c r="C42" s="95"/>
      <c r="D42" s="31"/>
      <c r="E42" s="31"/>
      <c r="F42" s="218"/>
      <c r="G42" s="31"/>
      <c r="H42" s="31"/>
      <c r="I42" s="22"/>
      <c r="J42" s="6"/>
      <c r="K42" s="411" t="str">
        <f>+K27</f>
        <v>En formulación</v>
      </c>
      <c r="L42" s="477"/>
      <c r="M42" s="415"/>
      <c r="N42" s="413"/>
      <c r="O42" s="413"/>
      <c r="P42" s="413"/>
    </row>
    <row r="43" spans="2:16" ht="24" customHeight="1" thickBot="1">
      <c r="B43" s="1449"/>
      <c r="C43" s="94"/>
      <c r="D43" s="1492" t="s">
        <v>456</v>
      </c>
      <c r="E43" s="1493"/>
      <c r="F43" s="1493"/>
      <c r="G43" s="1493"/>
      <c r="H43" s="1493"/>
      <c r="I43" s="1494"/>
      <c r="J43" s="6"/>
      <c r="K43" s="411" t="str">
        <f>+K28</f>
        <v>En actualización</v>
      </c>
      <c r="L43" s="477"/>
      <c r="M43" s="415"/>
      <c r="N43" s="413"/>
      <c r="O43" s="413"/>
      <c r="P43" s="413"/>
    </row>
    <row r="44" spans="2:16" ht="24" customHeight="1" thickBot="1">
      <c r="B44" s="48" t="s">
        <v>39</v>
      </c>
      <c r="C44" s="94"/>
      <c r="D44" s="1453" t="s">
        <v>457</v>
      </c>
      <c r="E44" s="1454"/>
      <c r="F44" s="1454"/>
      <c r="G44" s="1454"/>
      <c r="H44" s="1454"/>
      <c r="I44" s="1455"/>
      <c r="J44" s="6"/>
      <c r="K44" s="411" t="str">
        <f>+K29</f>
        <v>Plan forestal adoptado</v>
      </c>
      <c r="L44" s="477"/>
      <c r="M44" s="415"/>
      <c r="N44" s="413"/>
      <c r="O44" s="413"/>
      <c r="P44" s="413"/>
    </row>
    <row r="45" spans="2:16" ht="24.75" thickBot="1">
      <c r="B45" s="48" t="s">
        <v>41</v>
      </c>
      <c r="C45" s="94"/>
      <c r="D45" s="1453" t="s">
        <v>354</v>
      </c>
      <c r="E45" s="1454"/>
      <c r="F45" s="1454"/>
      <c r="G45" s="1454"/>
      <c r="H45" s="1454"/>
      <c r="I45" s="1455"/>
      <c r="J45" s="6"/>
      <c r="K45" s="411" t="s">
        <v>157</v>
      </c>
      <c r="L45" s="407">
        <f>SUM(L41:L44)</f>
        <v>0</v>
      </c>
      <c r="M45" s="409" t="e">
        <f>+M46/L45</f>
        <v>#DIV/0!</v>
      </c>
      <c r="N45" s="413"/>
      <c r="O45" s="413"/>
      <c r="P45" s="413"/>
    </row>
    <row r="46" spans="2:16" ht="15" customHeight="1" thickBot="1">
      <c r="B46" s="2"/>
      <c r="C46" s="77"/>
      <c r="D46" s="6"/>
      <c r="E46" s="6"/>
      <c r="F46" s="6"/>
      <c r="G46" s="6"/>
      <c r="H46" s="6"/>
      <c r="I46" s="6"/>
      <c r="J46" s="6"/>
      <c r="K46" s="411"/>
      <c r="L46" s="411" t="s">
        <v>1242</v>
      </c>
      <c r="M46" s="407">
        <f>+L41*M41+L42*M42+L43*M43+L44*M44</f>
        <v>0</v>
      </c>
      <c r="N46" s="413"/>
      <c r="O46" s="413"/>
      <c r="P46" s="413"/>
    </row>
    <row r="47" spans="2:16" ht="24" customHeight="1" thickBot="1">
      <c r="B47" s="1450" t="s">
        <v>43</v>
      </c>
      <c r="C47" s="1451"/>
      <c r="D47" s="1451"/>
      <c r="E47" s="1452"/>
      <c r="F47" s="6"/>
      <c r="G47" s="6"/>
      <c r="H47" s="6"/>
      <c r="I47" s="6"/>
      <c r="J47" s="6"/>
      <c r="K47" s="6"/>
      <c r="L47" s="6"/>
      <c r="M47" s="6"/>
      <c r="N47" s="6"/>
      <c r="O47" s="413"/>
      <c r="P47" s="413"/>
    </row>
    <row r="48" spans="2:16" ht="15" customHeight="1" thickBot="1">
      <c r="B48" s="1447">
        <v>1</v>
      </c>
      <c r="C48" s="95"/>
      <c r="D48" s="49" t="s">
        <v>44</v>
      </c>
      <c r="E48" s="31" t="s">
        <v>1642</v>
      </c>
      <c r="F48" s="6"/>
      <c r="G48" s="6"/>
      <c r="H48" s="6"/>
      <c r="I48" s="6"/>
      <c r="J48" s="6"/>
      <c r="K48" s="6"/>
      <c r="L48" s="6"/>
      <c r="M48" s="6"/>
      <c r="N48" s="6"/>
      <c r="O48" s="413"/>
      <c r="P48" s="413"/>
    </row>
    <row r="49" spans="2:16" ht="15" customHeight="1" thickBot="1">
      <c r="B49" s="1448"/>
      <c r="C49" s="95"/>
      <c r="D49" s="41" t="s">
        <v>45</v>
      </c>
      <c r="E49" s="31" t="s">
        <v>1838</v>
      </c>
      <c r="F49" s="6"/>
      <c r="G49" s="6"/>
      <c r="H49" s="6"/>
      <c r="I49" s="6"/>
      <c r="J49" s="6"/>
      <c r="K49" s="6"/>
      <c r="L49" s="6"/>
      <c r="M49" s="6"/>
      <c r="N49" s="6"/>
      <c r="O49" s="413"/>
      <c r="P49" s="413"/>
    </row>
    <row r="50" spans="2:16" ht="15" customHeight="1" thickBot="1">
      <c r="B50" s="1448"/>
      <c r="C50" s="95"/>
      <c r="D50" s="41" t="s">
        <v>46</v>
      </c>
      <c r="E50" s="31" t="s">
        <v>1730</v>
      </c>
      <c r="F50" s="6"/>
      <c r="G50" s="6"/>
      <c r="H50" s="6"/>
      <c r="I50" s="6"/>
      <c r="J50" s="6"/>
      <c r="K50" s="6"/>
      <c r="L50" s="6"/>
      <c r="M50" s="6"/>
      <c r="N50" s="6"/>
      <c r="O50" s="413"/>
      <c r="P50" s="413"/>
    </row>
    <row r="51" spans="2:16" ht="15" customHeight="1" thickBot="1">
      <c r="B51" s="1448"/>
      <c r="C51" s="95"/>
      <c r="D51" s="41" t="s">
        <v>47</v>
      </c>
      <c r="E51" s="31" t="s">
        <v>1660</v>
      </c>
      <c r="F51" s="6"/>
      <c r="G51" s="6"/>
      <c r="H51" s="6"/>
      <c r="I51" s="6"/>
      <c r="J51" s="6"/>
      <c r="K51" s="6"/>
      <c r="L51" s="6"/>
      <c r="M51" s="6"/>
      <c r="N51" s="6"/>
    </row>
    <row r="52" spans="2:16" ht="15" customHeight="1" thickBot="1">
      <c r="B52" s="1448"/>
      <c r="C52" s="95"/>
      <c r="D52" s="41" t="s">
        <v>48</v>
      </c>
      <c r="E52" s="31" t="s">
        <v>1731</v>
      </c>
      <c r="F52" s="6"/>
      <c r="G52" s="6"/>
      <c r="H52" s="6"/>
      <c r="I52" s="6"/>
      <c r="J52" s="6"/>
      <c r="K52" s="6"/>
      <c r="L52" s="6"/>
    </row>
    <row r="53" spans="2:16" ht="15" customHeight="1" thickBot="1">
      <c r="B53" s="1448"/>
      <c r="C53" s="95"/>
      <c r="D53" s="41" t="s">
        <v>49</v>
      </c>
      <c r="E53" s="31" t="s">
        <v>1839</v>
      </c>
      <c r="F53" s="6"/>
      <c r="G53" s="6"/>
      <c r="H53" s="6"/>
      <c r="I53" s="6"/>
      <c r="J53" s="6"/>
      <c r="K53" s="6"/>
      <c r="L53" s="6"/>
    </row>
    <row r="54" spans="2:16" ht="15" customHeight="1" thickBot="1">
      <c r="B54" s="1449"/>
      <c r="C54" s="3"/>
      <c r="D54" s="41" t="s">
        <v>50</v>
      </c>
      <c r="E54" s="31" t="s">
        <v>1629</v>
      </c>
      <c r="F54" s="6"/>
      <c r="G54" s="6"/>
      <c r="H54" s="6"/>
      <c r="I54" s="6"/>
      <c r="J54" s="6"/>
      <c r="K54" s="6"/>
      <c r="L54" s="6"/>
    </row>
    <row r="55" spans="2:16" ht="15" customHeight="1" thickBot="1">
      <c r="B55" s="2"/>
      <c r="C55" s="77"/>
      <c r="D55" s="6"/>
      <c r="E55" s="6"/>
      <c r="F55" s="6"/>
      <c r="G55" s="6"/>
      <c r="H55" s="6"/>
      <c r="I55" s="6"/>
      <c r="J55" s="6"/>
      <c r="K55" s="6"/>
      <c r="L55" s="6"/>
    </row>
    <row r="56" spans="2:16" ht="15" customHeight="1" thickBot="1">
      <c r="B56" s="1450" t="s">
        <v>51</v>
      </c>
      <c r="C56" s="1451"/>
      <c r="D56" s="1451"/>
      <c r="E56" s="1452"/>
      <c r="F56" s="6"/>
      <c r="G56" s="6"/>
      <c r="H56" s="6"/>
      <c r="I56" s="6"/>
      <c r="J56" s="6"/>
      <c r="K56" s="6"/>
      <c r="L56" s="6"/>
    </row>
    <row r="57" spans="2:16" ht="15" customHeight="1" thickBot="1">
      <c r="B57" s="1447">
        <v>1</v>
      </c>
      <c r="C57" s="95"/>
      <c r="D57" s="49" t="s">
        <v>44</v>
      </c>
      <c r="E57" s="445" t="s">
        <v>52</v>
      </c>
      <c r="F57" s="6"/>
      <c r="G57" s="6"/>
      <c r="H57" s="6"/>
      <c r="I57" s="6"/>
      <c r="J57" s="6"/>
      <c r="K57" s="6"/>
      <c r="L57" s="6"/>
    </row>
    <row r="58" spans="2:16" ht="15" customHeight="1" thickBot="1">
      <c r="B58" s="1448"/>
      <c r="C58" s="95"/>
      <c r="D58" s="41" t="s">
        <v>45</v>
      </c>
      <c r="E58" s="445" t="s">
        <v>166</v>
      </c>
      <c r="F58" s="6"/>
      <c r="G58" s="6"/>
      <c r="H58" s="6"/>
      <c r="I58" s="6"/>
      <c r="J58" s="6"/>
      <c r="K58" s="6"/>
      <c r="L58" s="6"/>
    </row>
    <row r="59" spans="2:16" ht="15" customHeight="1" thickBot="1">
      <c r="B59" s="1448"/>
      <c r="C59" s="95"/>
      <c r="D59" s="41" t="s">
        <v>46</v>
      </c>
      <c r="E59" s="315"/>
      <c r="F59" s="6"/>
      <c r="G59" s="6"/>
      <c r="H59" s="6"/>
      <c r="I59" s="6"/>
      <c r="J59" s="6"/>
      <c r="K59" s="6"/>
      <c r="L59" s="6"/>
    </row>
    <row r="60" spans="2:16" ht="15" customHeight="1" thickBot="1">
      <c r="B60" s="1448"/>
      <c r="C60" s="95"/>
      <c r="D60" s="41" t="s">
        <v>47</v>
      </c>
      <c r="E60" s="315"/>
      <c r="F60" s="6"/>
      <c r="G60" s="6"/>
      <c r="H60" s="6"/>
      <c r="I60" s="6"/>
      <c r="J60" s="6"/>
      <c r="K60" s="6"/>
      <c r="L60" s="6"/>
    </row>
    <row r="61" spans="2:16" ht="15.75" thickBot="1">
      <c r="B61" s="1448"/>
      <c r="C61" s="95"/>
      <c r="D61" s="41" t="s">
        <v>48</v>
      </c>
      <c r="E61" s="315"/>
      <c r="F61" s="6"/>
      <c r="G61" s="6"/>
      <c r="H61" s="6"/>
      <c r="I61" s="6"/>
      <c r="J61" s="6"/>
      <c r="K61" s="6"/>
      <c r="L61" s="6"/>
    </row>
    <row r="62" spans="2:16" ht="15.75" thickBot="1">
      <c r="B62" s="1448"/>
      <c r="C62" s="95"/>
      <c r="D62" s="41" t="s">
        <v>49</v>
      </c>
      <c r="E62" s="315"/>
      <c r="F62" s="6"/>
      <c r="G62" s="6"/>
      <c r="H62" s="6"/>
      <c r="I62" s="6"/>
      <c r="J62" s="6"/>
      <c r="K62" s="6"/>
      <c r="L62" s="6"/>
    </row>
    <row r="63" spans="2:16" ht="15" customHeight="1" thickBot="1">
      <c r="B63" s="1449"/>
      <c r="C63" s="3"/>
      <c r="D63" s="41" t="s">
        <v>50</v>
      </c>
      <c r="E63" s="315"/>
      <c r="F63" s="6"/>
      <c r="G63" s="6"/>
      <c r="H63" s="6"/>
      <c r="I63" s="6"/>
      <c r="J63" s="6"/>
      <c r="K63" s="6"/>
      <c r="L63" s="6"/>
    </row>
    <row r="64" spans="2:16" ht="15" customHeight="1" thickBot="1">
      <c r="B64" s="137"/>
      <c r="C64" s="131"/>
      <c r="D64" s="137"/>
      <c r="E64" s="6"/>
      <c r="F64" s="6"/>
      <c r="G64" s="6"/>
      <c r="H64" s="6"/>
      <c r="I64" s="6"/>
      <c r="J64" s="6"/>
      <c r="K64" s="6"/>
      <c r="L64" s="6"/>
    </row>
    <row r="65" spans="2:12" ht="15" customHeight="1">
      <c r="B65" s="136" t="s">
        <v>426</v>
      </c>
      <c r="C65" s="97"/>
      <c r="D65" s="6"/>
      <c r="E65" s="6"/>
      <c r="F65" s="6"/>
      <c r="G65" s="6"/>
      <c r="H65" s="6"/>
      <c r="I65" s="6"/>
      <c r="J65" s="6"/>
      <c r="K65" s="6"/>
      <c r="L65" s="6"/>
    </row>
    <row r="66" spans="2:12">
      <c r="B66" s="1430"/>
      <c r="C66" s="1431"/>
      <c r="D66" s="1432"/>
      <c r="E66" s="6"/>
      <c r="F66" s="6"/>
      <c r="G66" s="6"/>
      <c r="H66" s="6"/>
      <c r="I66" s="6"/>
      <c r="J66" s="6"/>
      <c r="K66" s="6"/>
      <c r="L66" s="6"/>
    </row>
    <row r="67" spans="2:12">
      <c r="B67" s="1433"/>
      <c r="C67" s="1434"/>
      <c r="D67" s="1435"/>
      <c r="E67" s="6"/>
      <c r="F67" s="6"/>
      <c r="G67" s="6"/>
      <c r="H67" s="6"/>
      <c r="I67" s="6"/>
      <c r="J67" s="6"/>
      <c r="K67" s="6"/>
      <c r="L67" s="6"/>
    </row>
    <row r="68" spans="2:12" ht="15.75" thickBot="1">
      <c r="B68" s="137"/>
      <c r="C68" s="131"/>
      <c r="D68" s="137"/>
      <c r="E68" s="6"/>
      <c r="F68" s="6"/>
      <c r="G68" s="6"/>
      <c r="H68" s="6"/>
      <c r="I68" s="6"/>
      <c r="J68" s="6"/>
      <c r="K68" s="6"/>
      <c r="L68" s="6"/>
    </row>
    <row r="69" spans="2:12" ht="15.75" thickBot="1">
      <c r="B69" s="1450" t="s">
        <v>54</v>
      </c>
      <c r="C69" s="1451"/>
      <c r="D69" s="1451"/>
      <c r="E69" s="1451"/>
      <c r="F69" s="1452"/>
      <c r="G69" s="6"/>
      <c r="H69" s="6"/>
      <c r="I69" s="6"/>
      <c r="J69" s="6"/>
      <c r="K69" s="6"/>
      <c r="L69" s="6"/>
    </row>
    <row r="70" spans="2:12" ht="24.75" thickBot="1">
      <c r="B70" s="48" t="s">
        <v>55</v>
      </c>
      <c r="C70" s="41" t="s">
        <v>56</v>
      </c>
      <c r="D70" s="41" t="s">
        <v>57</v>
      </c>
      <c r="E70" s="41" t="s">
        <v>58</v>
      </c>
      <c r="F70" s="6"/>
      <c r="G70" s="6"/>
      <c r="H70" s="6"/>
      <c r="I70" s="6"/>
      <c r="J70" s="6"/>
      <c r="K70" s="6"/>
      <c r="L70" s="6"/>
    </row>
    <row r="71" spans="2:12" ht="72.75" thickBot="1">
      <c r="B71" s="50">
        <v>42401</v>
      </c>
      <c r="C71" s="41">
        <v>0.01</v>
      </c>
      <c r="D71" s="51" t="s">
        <v>458</v>
      </c>
      <c r="E71" s="41"/>
      <c r="F71" s="6"/>
      <c r="G71" s="6"/>
      <c r="H71" s="6"/>
      <c r="I71" s="6"/>
      <c r="J71" s="6"/>
      <c r="K71" s="6"/>
    </row>
    <row r="72" spans="2:12">
      <c r="B72" s="2"/>
      <c r="C72" s="77"/>
      <c r="D72" s="6"/>
      <c r="E72" s="6"/>
      <c r="F72" s="6"/>
      <c r="G72" s="6"/>
      <c r="H72" s="6"/>
      <c r="I72" s="6"/>
      <c r="J72" s="6"/>
      <c r="K72" s="6"/>
    </row>
    <row r="73" spans="2:12" ht="15.75" thickBot="1">
      <c r="B73" s="6"/>
      <c r="D73" s="6"/>
      <c r="E73" s="6"/>
      <c r="F73" s="6"/>
      <c r="G73" s="6"/>
      <c r="H73" s="6"/>
      <c r="I73" s="6"/>
      <c r="J73" s="6"/>
      <c r="K73" s="6"/>
      <c r="L73" s="6"/>
    </row>
    <row r="74" spans="2:12" ht="15.75" thickBot="1">
      <c r="B74" s="1450" t="s">
        <v>61</v>
      </c>
      <c r="C74" s="1451"/>
      <c r="D74" s="1452"/>
      <c r="E74" s="6"/>
      <c r="F74" s="6"/>
      <c r="G74" s="6"/>
      <c r="H74" s="6"/>
      <c r="I74" s="6"/>
      <c r="J74" s="6"/>
      <c r="K74" s="6"/>
      <c r="L74" s="6"/>
    </row>
    <row r="75" spans="2:12" ht="60.75" thickBot="1">
      <c r="B75" s="48" t="s">
        <v>62</v>
      </c>
      <c r="C75" s="3"/>
      <c r="D75" s="41" t="s">
        <v>428</v>
      </c>
      <c r="E75" s="6"/>
      <c r="F75" s="6"/>
      <c r="G75" s="6"/>
      <c r="H75" s="6"/>
      <c r="I75" s="6"/>
      <c r="J75" s="6"/>
      <c r="K75" s="6"/>
      <c r="L75" s="6"/>
    </row>
    <row r="76" spans="2:12">
      <c r="B76" s="1447" t="s">
        <v>64</v>
      </c>
      <c r="C76" s="95"/>
      <c r="D76" s="54" t="s">
        <v>65</v>
      </c>
      <c r="E76" s="6"/>
      <c r="F76" s="6"/>
      <c r="G76" s="6"/>
      <c r="H76" s="6"/>
      <c r="I76" s="6"/>
      <c r="J76" s="6"/>
      <c r="K76" s="6"/>
      <c r="L76" s="6"/>
    </row>
    <row r="77" spans="2:12" ht="132">
      <c r="B77" s="1448"/>
      <c r="C77" s="95"/>
      <c r="D77" s="47" t="s">
        <v>429</v>
      </c>
      <c r="E77" s="6"/>
      <c r="F77" s="6"/>
      <c r="G77" s="6"/>
      <c r="H77" s="6"/>
      <c r="I77" s="6"/>
      <c r="J77" s="6"/>
      <c r="K77" s="6"/>
      <c r="L77" s="6"/>
    </row>
    <row r="78" spans="2:12">
      <c r="B78" s="1448"/>
      <c r="C78" s="95"/>
      <c r="D78" s="54" t="s">
        <v>68</v>
      </c>
      <c r="E78" s="6"/>
      <c r="F78" s="6"/>
      <c r="G78" s="6"/>
      <c r="H78" s="6"/>
      <c r="I78" s="6"/>
      <c r="J78" s="6"/>
      <c r="K78" s="6"/>
      <c r="L78" s="6"/>
    </row>
    <row r="79" spans="2:12">
      <c r="B79" s="1448"/>
      <c r="C79" s="95"/>
      <c r="D79" s="62" t="s">
        <v>430</v>
      </c>
      <c r="E79" s="6"/>
      <c r="F79" s="6"/>
      <c r="G79" s="6"/>
      <c r="H79" s="6"/>
      <c r="I79" s="6"/>
      <c r="J79" s="6"/>
      <c r="K79" s="6"/>
      <c r="L79" s="6"/>
    </row>
    <row r="80" spans="2:12">
      <c r="B80" s="1448"/>
      <c r="C80" s="95"/>
      <c r="D80" s="62" t="s">
        <v>431</v>
      </c>
      <c r="E80" s="6"/>
      <c r="F80" s="6"/>
      <c r="G80" s="6"/>
      <c r="H80" s="6"/>
      <c r="I80" s="6"/>
      <c r="J80" s="6"/>
      <c r="K80" s="6"/>
      <c r="L80" s="6"/>
    </row>
    <row r="81" spans="2:12">
      <c r="B81" s="1448"/>
      <c r="C81" s="95"/>
      <c r="D81" s="62" t="s">
        <v>432</v>
      </c>
      <c r="E81" s="6"/>
      <c r="F81" s="6"/>
      <c r="G81" s="6"/>
      <c r="H81" s="6"/>
      <c r="I81" s="6"/>
      <c r="J81" s="6"/>
      <c r="K81" s="6"/>
      <c r="L81" s="6"/>
    </row>
    <row r="82" spans="2:12">
      <c r="B82" s="1448"/>
      <c r="C82" s="95"/>
      <c r="D82" s="62" t="s">
        <v>433</v>
      </c>
      <c r="E82" s="6"/>
      <c r="F82" s="6"/>
      <c r="G82" s="6"/>
      <c r="H82" s="6"/>
      <c r="I82" s="6"/>
      <c r="J82" s="6"/>
      <c r="K82" s="6"/>
      <c r="L82" s="6"/>
    </row>
    <row r="83" spans="2:12">
      <c r="B83" s="1448"/>
      <c r="C83" s="95"/>
      <c r="D83" s="54" t="s">
        <v>296</v>
      </c>
      <c r="E83" s="6"/>
      <c r="F83" s="6"/>
      <c r="G83" s="6"/>
      <c r="H83" s="6"/>
      <c r="I83" s="6"/>
      <c r="J83" s="6"/>
      <c r="K83" s="6"/>
      <c r="L83" s="6"/>
    </row>
    <row r="84" spans="2:12" ht="36.75" thickBot="1">
      <c r="B84" s="1449"/>
      <c r="C84" s="3"/>
      <c r="D84" s="41" t="s">
        <v>361</v>
      </c>
      <c r="E84" s="6"/>
      <c r="F84" s="6"/>
      <c r="G84" s="6"/>
      <c r="H84" s="6"/>
      <c r="I84" s="6"/>
      <c r="J84" s="6"/>
      <c r="K84" s="6"/>
      <c r="L84" s="6"/>
    </row>
    <row r="85" spans="2:12">
      <c r="B85" s="1447" t="s">
        <v>77</v>
      </c>
      <c r="C85" s="100"/>
      <c r="D85" s="1447"/>
      <c r="E85" s="6"/>
      <c r="F85" s="6"/>
      <c r="G85" s="6"/>
      <c r="H85" s="6"/>
      <c r="I85" s="6"/>
      <c r="J85" s="6"/>
      <c r="K85" s="6"/>
      <c r="L85" s="6"/>
    </row>
    <row r="86" spans="2:12" ht="15.75" thickBot="1">
      <c r="B86" s="1449"/>
      <c r="C86" s="101"/>
      <c r="D86" s="1449"/>
      <c r="E86" s="6"/>
      <c r="F86" s="6"/>
      <c r="G86" s="6"/>
      <c r="H86" s="6"/>
      <c r="I86" s="6"/>
      <c r="J86" s="6"/>
      <c r="K86" s="6"/>
      <c r="L86" s="6"/>
    </row>
    <row r="87" spans="2:12" ht="132">
      <c r="B87" s="1447" t="s">
        <v>78</v>
      </c>
      <c r="C87" s="95"/>
      <c r="D87" s="47" t="s">
        <v>434</v>
      </c>
      <c r="E87" s="6"/>
      <c r="F87" s="6"/>
      <c r="G87" s="6"/>
      <c r="H87" s="6"/>
      <c r="I87" s="6"/>
      <c r="J87" s="6"/>
      <c r="K87" s="6"/>
      <c r="L87" s="6"/>
    </row>
    <row r="88" spans="2:12" ht="120.75" thickBot="1">
      <c r="B88" s="1449"/>
      <c r="C88" s="3"/>
      <c r="D88" s="41" t="s">
        <v>435</v>
      </c>
      <c r="E88" s="6"/>
      <c r="F88" s="6"/>
      <c r="G88" s="6"/>
      <c r="H88" s="6"/>
      <c r="I88" s="6"/>
      <c r="J88" s="6"/>
      <c r="K88" s="6"/>
      <c r="L88" s="6"/>
    </row>
    <row r="89" spans="2:12" ht="24">
      <c r="B89" s="1447" t="s">
        <v>95</v>
      </c>
      <c r="C89" s="95"/>
      <c r="D89" s="54" t="s">
        <v>427</v>
      </c>
      <c r="E89" s="6"/>
      <c r="F89" s="6"/>
      <c r="G89" s="6"/>
      <c r="H89" s="6"/>
      <c r="I89" s="6"/>
      <c r="J89" s="6"/>
      <c r="K89" s="6"/>
      <c r="L89" s="6"/>
    </row>
    <row r="90" spans="2:12">
      <c r="B90" s="1448"/>
      <c r="C90" s="95"/>
      <c r="D90" s="17"/>
      <c r="E90" s="6"/>
      <c r="F90" s="6"/>
      <c r="G90" s="6"/>
      <c r="H90" s="6"/>
      <c r="I90" s="6"/>
      <c r="J90" s="6"/>
      <c r="K90" s="6"/>
      <c r="L90" s="6"/>
    </row>
    <row r="91" spans="2:12">
      <c r="B91" s="1448"/>
      <c r="C91" s="95"/>
      <c r="D91" s="47" t="s">
        <v>96</v>
      </c>
      <c r="E91" s="6"/>
      <c r="F91" s="6"/>
      <c r="G91" s="6"/>
      <c r="H91" s="6"/>
      <c r="I91" s="6"/>
      <c r="J91" s="6"/>
      <c r="K91" s="6"/>
      <c r="L91" s="6"/>
    </row>
    <row r="92" spans="2:12" ht="37.5">
      <c r="B92" s="1448"/>
      <c r="C92" s="95"/>
      <c r="D92" s="47" t="s">
        <v>436</v>
      </c>
      <c r="E92" s="6"/>
      <c r="F92" s="6"/>
      <c r="G92" s="6"/>
      <c r="H92" s="6"/>
      <c r="I92" s="6"/>
      <c r="J92" s="6"/>
      <c r="K92" s="6"/>
      <c r="L92" s="6"/>
    </row>
    <row r="93" spans="2:12" ht="37.5">
      <c r="B93" s="1448"/>
      <c r="C93" s="95"/>
      <c r="D93" s="47" t="s">
        <v>437</v>
      </c>
      <c r="E93" s="6"/>
      <c r="F93" s="6"/>
      <c r="G93" s="6"/>
      <c r="H93" s="6"/>
      <c r="I93" s="6"/>
      <c r="J93" s="6"/>
      <c r="K93" s="6"/>
      <c r="L93" s="6"/>
    </row>
    <row r="94" spans="2:12" ht="38.25" thickBot="1">
      <c r="B94" s="1449"/>
      <c r="C94" s="3"/>
      <c r="D94" s="41" t="s">
        <v>438</v>
      </c>
      <c r="E94" s="6"/>
      <c r="F94" s="6"/>
      <c r="G94" s="6"/>
      <c r="H94" s="6"/>
      <c r="I94" s="6"/>
      <c r="J94" s="6"/>
      <c r="K94" s="6"/>
      <c r="L94" s="6"/>
    </row>
    <row r="95" spans="2:12">
      <c r="B95" s="6"/>
      <c r="D95" s="6"/>
      <c r="E95" s="6"/>
      <c r="F95" s="6"/>
      <c r="G95" s="6"/>
      <c r="H95" s="6"/>
      <c r="I95" s="6"/>
      <c r="J95" s="6"/>
      <c r="K95" s="6"/>
      <c r="L95" s="6"/>
    </row>
    <row r="96" spans="2:12">
      <c r="B96" s="6"/>
      <c r="D96" s="6"/>
      <c r="E96" s="6"/>
      <c r="F96" s="6"/>
      <c r="G96" s="6"/>
      <c r="H96" s="6"/>
      <c r="I96" s="6"/>
      <c r="J96" s="6"/>
      <c r="K96" s="6"/>
      <c r="L96" s="6"/>
    </row>
    <row r="97" spans="2:12">
      <c r="B97" s="6"/>
      <c r="D97" s="6"/>
      <c r="E97" s="6"/>
      <c r="F97" s="6"/>
      <c r="G97" s="6"/>
      <c r="H97" s="6"/>
      <c r="I97" s="6"/>
      <c r="J97" s="6"/>
      <c r="K97" s="6"/>
      <c r="L97" s="6"/>
    </row>
    <row r="98" spans="2:12">
      <c r="B98" s="6"/>
      <c r="D98" s="6"/>
      <c r="E98" s="6"/>
      <c r="F98" s="6"/>
      <c r="G98" s="6"/>
      <c r="H98" s="6"/>
      <c r="I98" s="6"/>
      <c r="J98" s="6"/>
      <c r="K98" s="6"/>
      <c r="L98" s="6"/>
    </row>
    <row r="99" spans="2:12">
      <c r="B99" s="6"/>
      <c r="D99" s="6"/>
      <c r="E99" s="6"/>
      <c r="F99" s="6"/>
      <c r="G99" s="6"/>
      <c r="H99" s="6"/>
      <c r="I99" s="6"/>
      <c r="J99" s="6"/>
      <c r="K99" s="6"/>
      <c r="L99" s="6"/>
    </row>
    <row r="100" spans="2:12">
      <c r="B100" s="6"/>
      <c r="D100" s="6"/>
      <c r="E100" s="6"/>
      <c r="F100" s="6"/>
      <c r="G100" s="6"/>
      <c r="H100" s="6"/>
      <c r="I100" s="6"/>
      <c r="J100" s="6"/>
      <c r="K100" s="6"/>
      <c r="L100" s="6"/>
    </row>
    <row r="101" spans="2:12">
      <c r="B101" s="6"/>
      <c r="D101" s="6"/>
      <c r="E101" s="6"/>
      <c r="F101" s="6"/>
      <c r="G101" s="6"/>
      <c r="H101" s="6"/>
      <c r="I101" s="6"/>
      <c r="J101" s="6"/>
      <c r="K101" s="6"/>
      <c r="L101" s="6"/>
    </row>
    <row r="102" spans="2:12">
      <c r="B102" s="6"/>
      <c r="D102" s="6"/>
      <c r="E102" s="6"/>
      <c r="F102" s="6"/>
      <c r="G102" s="6"/>
      <c r="H102" s="6"/>
      <c r="I102" s="6"/>
      <c r="J102" s="6"/>
      <c r="K102" s="6"/>
      <c r="L102" s="6"/>
    </row>
    <row r="103" spans="2:12">
      <c r="B103" s="6"/>
      <c r="D103" s="6"/>
      <c r="E103" s="6"/>
      <c r="F103" s="6"/>
      <c r="G103" s="6"/>
      <c r="H103" s="6"/>
      <c r="I103" s="6"/>
      <c r="J103" s="6"/>
      <c r="K103" s="6"/>
      <c r="L103" s="6"/>
    </row>
    <row r="104" spans="2:12">
      <c r="B104" s="6"/>
      <c r="D104" s="6"/>
      <c r="E104" s="6"/>
      <c r="F104" s="6"/>
      <c r="G104" s="6"/>
      <c r="H104" s="6"/>
      <c r="I104" s="6"/>
      <c r="J104" s="6"/>
      <c r="K104" s="6"/>
      <c r="L104" s="6"/>
    </row>
    <row r="105" spans="2:12">
      <c r="B105" s="6"/>
      <c r="D105" s="6"/>
      <c r="E105" s="6"/>
      <c r="F105" s="6"/>
      <c r="G105" s="6"/>
      <c r="H105" s="6"/>
      <c r="I105" s="6"/>
      <c r="J105" s="6"/>
      <c r="K105" s="6"/>
      <c r="L105" s="6"/>
    </row>
    <row r="106" spans="2:12">
      <c r="B106" s="6"/>
      <c r="D106" s="6"/>
      <c r="E106" s="6"/>
      <c r="F106" s="6"/>
      <c r="G106" s="6"/>
      <c r="H106" s="6"/>
      <c r="I106" s="6"/>
      <c r="J106" s="6"/>
      <c r="K106" s="6"/>
      <c r="L106" s="6"/>
    </row>
    <row r="107" spans="2:12">
      <c r="B107" s="6"/>
      <c r="D107" s="6"/>
      <c r="E107" s="6"/>
      <c r="F107" s="6"/>
      <c r="G107" s="6"/>
      <c r="H107" s="6"/>
      <c r="I107" s="6"/>
      <c r="J107" s="6"/>
      <c r="K107" s="6"/>
      <c r="L107" s="6"/>
    </row>
    <row r="108" spans="2:12">
      <c r="B108" s="6"/>
      <c r="D108" s="6"/>
      <c r="E108" s="6"/>
      <c r="F108" s="6"/>
      <c r="G108" s="6"/>
      <c r="H108" s="6"/>
      <c r="I108" s="6"/>
      <c r="J108" s="6"/>
      <c r="K108" s="6"/>
      <c r="L108" s="6"/>
    </row>
    <row r="109" spans="2:12">
      <c r="B109" s="6"/>
      <c r="D109" s="6"/>
      <c r="E109" s="6"/>
      <c r="F109" s="6"/>
      <c r="G109" s="6"/>
      <c r="H109" s="6"/>
      <c r="I109" s="6"/>
      <c r="J109" s="6"/>
      <c r="K109" s="6"/>
      <c r="L109" s="6"/>
    </row>
    <row r="110" spans="2:12">
      <c r="B110" s="6"/>
      <c r="D110" s="6"/>
      <c r="E110" s="6"/>
      <c r="F110" s="6"/>
      <c r="G110" s="6"/>
      <c r="H110" s="6"/>
      <c r="I110" s="6"/>
      <c r="J110" s="6"/>
      <c r="K110" s="6"/>
      <c r="L110" s="6"/>
    </row>
    <row r="111" spans="2:12">
      <c r="B111" s="6"/>
      <c r="D111" s="6"/>
      <c r="E111" s="6"/>
      <c r="F111" s="6"/>
      <c r="G111" s="6"/>
      <c r="H111" s="6"/>
      <c r="I111" s="6"/>
      <c r="J111" s="6"/>
      <c r="K111" s="6"/>
      <c r="L111" s="6"/>
    </row>
    <row r="112" spans="2:12">
      <c r="B112" s="6"/>
      <c r="D112" s="6"/>
      <c r="E112" s="6"/>
      <c r="F112" s="6"/>
      <c r="G112" s="6"/>
      <c r="H112" s="6"/>
      <c r="I112" s="6"/>
      <c r="J112" s="6"/>
      <c r="K112" s="6"/>
      <c r="L112" s="6"/>
    </row>
    <row r="113" spans="2:12">
      <c r="B113" s="6"/>
      <c r="D113" s="6"/>
      <c r="E113" s="6"/>
      <c r="F113" s="6"/>
      <c r="G113" s="6"/>
      <c r="H113" s="6"/>
      <c r="I113" s="6"/>
      <c r="J113" s="6"/>
      <c r="K113" s="6"/>
      <c r="L113" s="6"/>
    </row>
    <row r="114" spans="2:12">
      <c r="B114" s="6"/>
      <c r="D114" s="6"/>
      <c r="E114" s="6"/>
      <c r="F114" s="6"/>
      <c r="G114" s="6"/>
      <c r="H114" s="6"/>
      <c r="I114" s="6"/>
      <c r="J114" s="6"/>
      <c r="K114" s="6"/>
      <c r="L114" s="6"/>
    </row>
    <row r="115" spans="2:12">
      <c r="B115" s="6"/>
      <c r="D115" s="6"/>
      <c r="E115" s="6"/>
      <c r="F115" s="6"/>
      <c r="G115" s="6"/>
      <c r="H115" s="6"/>
      <c r="I115" s="6"/>
      <c r="J115" s="6"/>
      <c r="K115" s="6"/>
      <c r="L115" s="6"/>
    </row>
    <row r="116" spans="2:12">
      <c r="B116" s="6"/>
      <c r="D116" s="6"/>
      <c r="E116" s="6"/>
      <c r="F116" s="6"/>
      <c r="G116" s="6"/>
      <c r="H116" s="6"/>
      <c r="I116" s="6"/>
      <c r="J116" s="6"/>
      <c r="K116" s="6"/>
      <c r="L116" s="6"/>
    </row>
    <row r="117" spans="2:12">
      <c r="B117" s="6"/>
      <c r="D117" s="6"/>
      <c r="E117" s="6"/>
      <c r="F117" s="6"/>
      <c r="G117" s="6"/>
      <c r="H117" s="6"/>
      <c r="I117" s="6"/>
      <c r="J117" s="6"/>
      <c r="K117" s="6"/>
      <c r="L117" s="6"/>
    </row>
    <row r="118" spans="2:12">
      <c r="B118" s="6"/>
      <c r="D118" s="6"/>
      <c r="E118" s="6"/>
      <c r="F118" s="6"/>
      <c r="G118" s="6"/>
      <c r="H118" s="6"/>
      <c r="I118" s="6"/>
      <c r="J118" s="6"/>
      <c r="K118" s="6"/>
      <c r="L118" s="6"/>
    </row>
    <row r="119" spans="2:12">
      <c r="B119" s="6"/>
      <c r="D119" s="6"/>
      <c r="E119" s="6"/>
      <c r="F119" s="6"/>
      <c r="G119" s="6"/>
      <c r="H119" s="6"/>
      <c r="I119" s="6"/>
      <c r="J119" s="6"/>
      <c r="K119" s="6"/>
      <c r="L119" s="6"/>
    </row>
    <row r="120" spans="2:12">
      <c r="B120" s="6"/>
      <c r="D120" s="6"/>
      <c r="E120" s="6"/>
      <c r="F120" s="6"/>
      <c r="G120" s="6"/>
      <c r="H120" s="6"/>
      <c r="I120" s="6"/>
      <c r="J120" s="6"/>
      <c r="K120" s="6"/>
      <c r="L120" s="6"/>
    </row>
    <row r="121" spans="2:12">
      <c r="B121" s="6"/>
      <c r="D121" s="6"/>
      <c r="E121" s="6"/>
      <c r="F121" s="6"/>
      <c r="G121" s="6"/>
      <c r="H121" s="6"/>
      <c r="I121" s="6"/>
      <c r="J121" s="6"/>
      <c r="K121" s="6"/>
      <c r="L121" s="6"/>
    </row>
    <row r="122" spans="2:12">
      <c r="B122" s="6"/>
      <c r="D122" s="6"/>
      <c r="E122" s="6"/>
      <c r="F122" s="6"/>
      <c r="G122" s="6"/>
      <c r="H122" s="6"/>
      <c r="I122" s="6"/>
      <c r="J122" s="6"/>
      <c r="K122" s="6"/>
      <c r="L122" s="6"/>
    </row>
    <row r="123" spans="2:12">
      <c r="B123" s="6"/>
      <c r="D123" s="6"/>
      <c r="E123" s="6"/>
      <c r="F123" s="6"/>
      <c r="G123" s="6"/>
      <c r="H123" s="6"/>
      <c r="I123" s="6"/>
      <c r="J123" s="6"/>
      <c r="K123" s="6"/>
      <c r="L123" s="6"/>
    </row>
    <row r="124" spans="2:12">
      <c r="B124" s="6"/>
      <c r="D124" s="6"/>
      <c r="E124" s="6"/>
      <c r="F124" s="6"/>
      <c r="G124" s="6"/>
      <c r="H124" s="6"/>
      <c r="I124" s="6"/>
      <c r="J124" s="6"/>
      <c r="K124" s="6"/>
      <c r="L124" s="6"/>
    </row>
    <row r="125" spans="2:12">
      <c r="B125" s="6"/>
      <c r="D125" s="6"/>
      <c r="E125" s="6"/>
      <c r="F125" s="6"/>
      <c r="G125" s="6"/>
      <c r="H125" s="6"/>
      <c r="I125" s="6"/>
      <c r="J125" s="6"/>
      <c r="K125" s="6"/>
      <c r="L125" s="6"/>
    </row>
    <row r="126" spans="2:12">
      <c r="B126" s="6"/>
      <c r="D126" s="6"/>
      <c r="E126" s="6"/>
      <c r="F126" s="6"/>
      <c r="G126" s="6"/>
      <c r="H126" s="6"/>
      <c r="I126" s="6"/>
      <c r="J126" s="6"/>
      <c r="K126" s="6"/>
      <c r="L126" s="6"/>
    </row>
    <row r="127" spans="2:12">
      <c r="B127" s="6"/>
      <c r="D127" s="6"/>
      <c r="E127" s="6"/>
      <c r="F127" s="6"/>
      <c r="G127" s="6"/>
      <c r="H127" s="6"/>
      <c r="I127" s="6"/>
      <c r="J127" s="6"/>
      <c r="K127" s="6"/>
      <c r="L127" s="6"/>
    </row>
    <row r="128" spans="2:12">
      <c r="B128" s="6"/>
      <c r="D128" s="6"/>
      <c r="E128" s="6"/>
      <c r="F128" s="6"/>
      <c r="G128" s="6"/>
      <c r="H128" s="6"/>
      <c r="I128" s="6"/>
      <c r="J128" s="6"/>
      <c r="K128" s="6"/>
      <c r="L128" s="6"/>
    </row>
    <row r="129" spans="2:12">
      <c r="B129" s="6"/>
      <c r="D129" s="6"/>
      <c r="E129" s="6"/>
      <c r="F129" s="6"/>
      <c r="G129" s="6"/>
      <c r="H129" s="6"/>
      <c r="I129" s="6"/>
      <c r="J129" s="6"/>
      <c r="K129" s="6"/>
      <c r="L129" s="6"/>
    </row>
    <row r="130" spans="2:12">
      <c r="B130" s="6"/>
      <c r="D130" s="6"/>
      <c r="E130" s="6"/>
      <c r="F130" s="6"/>
      <c r="G130" s="6"/>
      <c r="H130" s="6"/>
      <c r="I130" s="6"/>
      <c r="J130" s="6"/>
      <c r="K130" s="6"/>
      <c r="L130" s="6"/>
    </row>
    <row r="131" spans="2:12">
      <c r="B131" s="6"/>
      <c r="D131" s="6"/>
      <c r="E131" s="6"/>
      <c r="F131" s="6"/>
      <c r="G131" s="6"/>
      <c r="H131" s="6"/>
      <c r="I131" s="6"/>
      <c r="J131" s="6"/>
      <c r="K131" s="6"/>
      <c r="L131" s="6"/>
    </row>
    <row r="132" spans="2:12">
      <c r="B132" s="6"/>
      <c r="D132" s="6"/>
      <c r="E132" s="6"/>
      <c r="F132" s="6"/>
      <c r="G132" s="6"/>
      <c r="H132" s="6"/>
      <c r="I132" s="6"/>
      <c r="J132" s="6"/>
      <c r="K132" s="6"/>
      <c r="L132" s="6"/>
    </row>
    <row r="133" spans="2:12">
      <c r="B133" s="6"/>
      <c r="D133" s="6"/>
      <c r="E133" s="6"/>
      <c r="F133" s="6"/>
      <c r="G133" s="6"/>
      <c r="H133" s="6"/>
      <c r="I133" s="6"/>
      <c r="J133" s="6"/>
      <c r="K133" s="6"/>
      <c r="L133" s="6"/>
    </row>
    <row r="134" spans="2:12">
      <c r="B134" s="6"/>
      <c r="D134" s="6"/>
      <c r="E134" s="6"/>
      <c r="F134" s="6"/>
      <c r="G134" s="6"/>
      <c r="H134" s="6"/>
      <c r="I134" s="6"/>
      <c r="J134" s="6"/>
      <c r="K134" s="6"/>
      <c r="L134" s="6"/>
    </row>
    <row r="135" spans="2:12">
      <c r="B135" s="6"/>
      <c r="D135" s="6"/>
      <c r="E135" s="6"/>
      <c r="F135" s="6"/>
      <c r="G135" s="6"/>
      <c r="H135" s="6"/>
      <c r="I135" s="6"/>
      <c r="J135" s="6"/>
      <c r="K135" s="6"/>
      <c r="L135" s="6"/>
    </row>
    <row r="136" spans="2:12">
      <c r="B136" s="6"/>
      <c r="D136" s="6"/>
      <c r="E136" s="6"/>
      <c r="F136" s="6"/>
      <c r="G136" s="6"/>
      <c r="H136" s="6"/>
      <c r="I136" s="6"/>
      <c r="J136" s="6"/>
      <c r="K136" s="6"/>
      <c r="L136" s="6"/>
    </row>
    <row r="137" spans="2:12">
      <c r="B137" s="6"/>
      <c r="D137" s="6"/>
      <c r="E137" s="6"/>
      <c r="F137" s="6"/>
      <c r="G137" s="6"/>
      <c r="H137" s="6"/>
      <c r="I137" s="6"/>
      <c r="J137" s="6"/>
      <c r="K137" s="6"/>
      <c r="L137" s="6"/>
    </row>
    <row r="138" spans="2:12">
      <c r="B138" s="6"/>
      <c r="D138" s="6"/>
      <c r="E138" s="6"/>
      <c r="F138" s="6"/>
      <c r="G138" s="6"/>
      <c r="H138" s="6"/>
      <c r="I138" s="6"/>
      <c r="J138" s="6"/>
      <c r="K138" s="6"/>
      <c r="L138" s="6"/>
    </row>
    <row r="139" spans="2:12">
      <c r="B139" s="6"/>
      <c r="D139" s="6"/>
      <c r="E139" s="6"/>
      <c r="F139" s="6"/>
      <c r="G139" s="6"/>
      <c r="H139" s="6"/>
      <c r="I139" s="6"/>
      <c r="J139" s="6"/>
      <c r="K139" s="6"/>
      <c r="L139" s="6"/>
    </row>
    <row r="140" spans="2:12">
      <c r="B140" s="6"/>
      <c r="D140" s="6"/>
      <c r="E140" s="6"/>
      <c r="F140" s="6"/>
      <c r="G140" s="6"/>
      <c r="H140" s="6"/>
      <c r="I140" s="6"/>
      <c r="J140" s="6"/>
      <c r="K140" s="6"/>
      <c r="L140" s="6"/>
    </row>
    <row r="141" spans="2:12">
      <c r="B141" s="6"/>
      <c r="D141" s="6"/>
      <c r="E141" s="6"/>
      <c r="F141" s="6"/>
      <c r="G141" s="6"/>
      <c r="H141" s="6"/>
      <c r="I141" s="6"/>
      <c r="J141" s="6"/>
      <c r="K141" s="6"/>
      <c r="L141" s="6"/>
    </row>
    <row r="142" spans="2:12">
      <c r="B142" s="6"/>
      <c r="D142" s="6"/>
      <c r="E142" s="6"/>
      <c r="F142" s="6"/>
      <c r="G142" s="6"/>
      <c r="H142" s="6"/>
      <c r="I142" s="6"/>
      <c r="J142" s="6"/>
      <c r="K142" s="6"/>
      <c r="L142" s="6"/>
    </row>
    <row r="143" spans="2:12">
      <c r="B143" s="6"/>
      <c r="D143" s="6"/>
      <c r="E143" s="6"/>
      <c r="F143" s="6"/>
      <c r="G143" s="6"/>
      <c r="H143" s="6"/>
      <c r="I143" s="6"/>
      <c r="J143" s="6"/>
      <c r="K143" s="6"/>
      <c r="L143" s="6"/>
    </row>
    <row r="144" spans="2:12">
      <c r="B144" s="6"/>
      <c r="D144" s="6"/>
      <c r="E144" s="6"/>
      <c r="F144" s="6"/>
      <c r="G144" s="6"/>
      <c r="H144" s="6"/>
      <c r="I144" s="6"/>
      <c r="J144" s="6"/>
      <c r="K144" s="6"/>
      <c r="L144" s="6"/>
    </row>
    <row r="145" spans="2:12">
      <c r="B145" s="6"/>
      <c r="D145" s="6"/>
      <c r="E145" s="6"/>
      <c r="F145" s="6"/>
      <c r="G145" s="6"/>
      <c r="H145" s="6"/>
      <c r="I145" s="6"/>
      <c r="J145" s="6"/>
      <c r="K145" s="6"/>
      <c r="L145" s="6"/>
    </row>
    <row r="146" spans="2:12">
      <c r="B146" s="6"/>
      <c r="D146" s="6"/>
      <c r="E146" s="6"/>
      <c r="F146" s="6"/>
      <c r="G146" s="6"/>
      <c r="H146" s="6"/>
      <c r="I146" s="6"/>
      <c r="J146" s="6"/>
      <c r="K146" s="6"/>
      <c r="L146" s="6"/>
    </row>
    <row r="147" spans="2:12">
      <c r="B147" s="6"/>
      <c r="D147" s="6"/>
      <c r="E147" s="6"/>
      <c r="F147" s="6"/>
      <c r="G147" s="6"/>
      <c r="H147" s="6"/>
      <c r="I147" s="6"/>
      <c r="J147" s="6"/>
      <c r="K147" s="6"/>
      <c r="L147" s="6"/>
    </row>
    <row r="148" spans="2:12">
      <c r="B148" s="6"/>
      <c r="D148" s="6"/>
      <c r="E148" s="6"/>
      <c r="F148" s="6"/>
      <c r="G148" s="6"/>
      <c r="H148" s="6"/>
      <c r="I148" s="6"/>
      <c r="J148" s="6"/>
      <c r="K148" s="6"/>
      <c r="L148" s="6"/>
    </row>
    <row r="149" spans="2:12">
      <c r="B149" s="6"/>
      <c r="D149" s="6"/>
      <c r="E149" s="6"/>
      <c r="F149" s="6"/>
      <c r="G149" s="6"/>
      <c r="H149" s="6"/>
      <c r="I149" s="6"/>
      <c r="J149" s="6"/>
      <c r="K149" s="6"/>
      <c r="L149" s="6"/>
    </row>
    <row r="150" spans="2:12">
      <c r="B150" s="6"/>
      <c r="D150" s="6"/>
      <c r="E150" s="6"/>
      <c r="F150" s="6"/>
      <c r="G150" s="6"/>
      <c r="H150" s="6"/>
      <c r="I150" s="6"/>
      <c r="J150" s="6"/>
      <c r="K150" s="6"/>
      <c r="L150" s="6"/>
    </row>
    <row r="151" spans="2:12">
      <c r="B151" s="6"/>
      <c r="D151" s="6"/>
      <c r="E151" s="6"/>
      <c r="F151" s="6"/>
      <c r="G151" s="6"/>
      <c r="H151" s="6"/>
      <c r="I151" s="6"/>
      <c r="J151" s="6"/>
      <c r="K151" s="6"/>
      <c r="L151" s="6"/>
    </row>
    <row r="152" spans="2:12">
      <c r="B152" s="6"/>
      <c r="D152" s="6"/>
      <c r="E152" s="6"/>
      <c r="F152" s="6"/>
      <c r="G152" s="6"/>
      <c r="H152" s="6"/>
      <c r="I152" s="6"/>
      <c r="J152" s="6"/>
      <c r="K152" s="6"/>
      <c r="L152" s="6"/>
    </row>
    <row r="153" spans="2:12">
      <c r="B153" s="6"/>
      <c r="D153" s="6"/>
      <c r="E153" s="6"/>
      <c r="F153" s="6"/>
      <c r="G153" s="6"/>
      <c r="H153" s="6"/>
      <c r="I153" s="6"/>
      <c r="J153" s="6"/>
      <c r="K153" s="6"/>
      <c r="L153" s="6"/>
    </row>
    <row r="154" spans="2:12">
      <c r="B154" s="6"/>
      <c r="D154" s="6"/>
      <c r="E154" s="6"/>
      <c r="F154" s="6"/>
      <c r="G154" s="6"/>
      <c r="H154" s="6"/>
      <c r="I154" s="6"/>
      <c r="J154" s="6"/>
      <c r="K154" s="6"/>
      <c r="L154" s="6"/>
    </row>
    <row r="155" spans="2:12">
      <c r="B155" s="6"/>
      <c r="D155" s="6"/>
      <c r="E155" s="6"/>
      <c r="F155" s="6"/>
      <c r="G155" s="6"/>
      <c r="H155" s="6"/>
      <c r="I155" s="6"/>
      <c r="J155" s="6"/>
      <c r="K155" s="6"/>
      <c r="L155" s="6"/>
    </row>
    <row r="156" spans="2:12">
      <c r="B156" s="6"/>
      <c r="D156" s="6"/>
      <c r="E156" s="6"/>
      <c r="F156" s="6"/>
      <c r="G156" s="6"/>
      <c r="H156" s="6"/>
      <c r="I156" s="6"/>
      <c r="J156" s="6"/>
      <c r="K156" s="6"/>
      <c r="L156" s="6"/>
    </row>
    <row r="157" spans="2:12">
      <c r="B157" s="6"/>
      <c r="D157" s="6"/>
      <c r="E157" s="6"/>
      <c r="F157" s="6"/>
      <c r="G157" s="6"/>
      <c r="H157" s="6"/>
      <c r="I157" s="6"/>
      <c r="J157" s="6"/>
      <c r="K157" s="6"/>
      <c r="L157" s="6"/>
    </row>
    <row r="158" spans="2:12">
      <c r="B158" s="6"/>
      <c r="D158" s="6"/>
      <c r="E158" s="6"/>
      <c r="F158" s="6"/>
      <c r="G158" s="6"/>
      <c r="H158" s="6"/>
      <c r="I158" s="6"/>
      <c r="J158" s="6"/>
      <c r="K158" s="6"/>
      <c r="L158" s="6"/>
    </row>
    <row r="159" spans="2:12">
      <c r="B159" s="6"/>
      <c r="D159" s="6"/>
      <c r="E159" s="6"/>
      <c r="F159" s="6"/>
      <c r="G159" s="6"/>
      <c r="H159" s="6"/>
      <c r="I159" s="6"/>
      <c r="J159" s="6"/>
      <c r="K159" s="6"/>
      <c r="L159" s="6"/>
    </row>
    <row r="160" spans="2:12">
      <c r="B160" s="6"/>
      <c r="D160" s="6"/>
      <c r="E160" s="6"/>
      <c r="F160" s="6"/>
      <c r="G160" s="6"/>
      <c r="H160" s="6"/>
      <c r="I160" s="6"/>
      <c r="J160" s="6"/>
      <c r="K160" s="6"/>
      <c r="L160" s="6"/>
    </row>
    <row r="161" spans="2:12">
      <c r="B161" s="6"/>
      <c r="D161" s="6"/>
      <c r="E161" s="6"/>
      <c r="F161" s="6"/>
      <c r="G161" s="6"/>
      <c r="H161" s="6"/>
      <c r="I161" s="6"/>
      <c r="J161" s="6"/>
      <c r="K161" s="6"/>
      <c r="L161" s="6"/>
    </row>
    <row r="162" spans="2:12">
      <c r="B162" s="6"/>
      <c r="D162" s="6"/>
      <c r="E162" s="6"/>
      <c r="F162" s="6"/>
      <c r="G162" s="6"/>
      <c r="H162" s="6"/>
      <c r="I162" s="6"/>
      <c r="J162" s="6"/>
      <c r="K162" s="6"/>
      <c r="L162" s="6"/>
    </row>
    <row r="163" spans="2:12">
      <c r="B163" s="6"/>
      <c r="D163" s="6"/>
      <c r="E163" s="6"/>
      <c r="F163" s="6"/>
      <c r="G163" s="6"/>
      <c r="H163" s="6"/>
      <c r="I163" s="6"/>
      <c r="J163" s="6"/>
      <c r="K163" s="6"/>
      <c r="L163" s="6"/>
    </row>
    <row r="164" spans="2:12">
      <c r="B164" s="6"/>
      <c r="D164" s="6"/>
      <c r="E164" s="6"/>
      <c r="F164" s="6"/>
      <c r="G164" s="6"/>
      <c r="H164" s="6"/>
      <c r="I164" s="6"/>
      <c r="J164" s="6"/>
      <c r="K164" s="6"/>
      <c r="L164" s="6"/>
    </row>
    <row r="165" spans="2:12">
      <c r="B165" s="6"/>
      <c r="D165" s="6"/>
      <c r="E165" s="6"/>
      <c r="F165" s="6"/>
      <c r="G165" s="6"/>
      <c r="H165" s="6"/>
      <c r="I165" s="6"/>
      <c r="J165" s="6"/>
      <c r="K165" s="6"/>
      <c r="L165" s="6"/>
    </row>
    <row r="166" spans="2:12">
      <c r="B166" s="6"/>
      <c r="D166" s="6"/>
      <c r="E166" s="6"/>
      <c r="F166" s="6"/>
      <c r="G166" s="6"/>
      <c r="H166" s="6"/>
      <c r="I166" s="6"/>
      <c r="J166" s="6"/>
      <c r="K166" s="6"/>
      <c r="L166" s="6"/>
    </row>
    <row r="167" spans="2:12">
      <c r="B167" s="6"/>
      <c r="D167" s="6"/>
      <c r="E167" s="6"/>
      <c r="F167" s="6"/>
      <c r="G167" s="6"/>
      <c r="H167" s="6"/>
      <c r="I167" s="6"/>
      <c r="J167" s="6"/>
      <c r="K167" s="6"/>
      <c r="L167" s="6"/>
    </row>
    <row r="168" spans="2:12">
      <c r="B168" s="6"/>
      <c r="D168" s="6"/>
      <c r="E168" s="6"/>
      <c r="F168" s="6"/>
      <c r="G168" s="6"/>
      <c r="H168" s="6"/>
      <c r="I168" s="6"/>
      <c r="J168" s="6"/>
      <c r="K168" s="6"/>
      <c r="L168" s="6"/>
    </row>
    <row r="169" spans="2:12">
      <c r="B169" s="6"/>
      <c r="D169" s="6"/>
      <c r="E169" s="6"/>
      <c r="F169" s="6"/>
      <c r="G169" s="6"/>
      <c r="H169" s="6"/>
      <c r="I169" s="6"/>
      <c r="J169" s="6"/>
      <c r="K169" s="6"/>
      <c r="L169" s="6"/>
    </row>
    <row r="170" spans="2:12">
      <c r="B170" s="6"/>
      <c r="D170" s="6"/>
      <c r="E170" s="6"/>
      <c r="F170" s="6"/>
      <c r="G170" s="6"/>
      <c r="H170" s="6"/>
      <c r="I170" s="6"/>
      <c r="J170" s="6"/>
      <c r="K170" s="6"/>
      <c r="L170" s="6"/>
    </row>
    <row r="171" spans="2:12">
      <c r="B171" s="6"/>
      <c r="D171" s="6"/>
      <c r="E171" s="6"/>
      <c r="F171" s="6"/>
      <c r="G171" s="6"/>
      <c r="H171" s="6"/>
      <c r="I171" s="6"/>
      <c r="J171" s="6"/>
      <c r="K171" s="6"/>
      <c r="L171" s="6"/>
    </row>
    <row r="172" spans="2:12">
      <c r="B172" s="6"/>
      <c r="D172" s="6"/>
      <c r="E172" s="6"/>
      <c r="F172" s="6"/>
      <c r="G172" s="6"/>
      <c r="H172" s="6"/>
      <c r="I172" s="6"/>
      <c r="J172" s="6"/>
      <c r="K172" s="6"/>
      <c r="L172" s="6"/>
    </row>
    <row r="173" spans="2:12">
      <c r="B173" s="6"/>
      <c r="D173" s="6"/>
      <c r="E173" s="6"/>
      <c r="F173" s="6"/>
      <c r="G173" s="6"/>
      <c r="H173" s="6"/>
      <c r="I173" s="6"/>
      <c r="J173" s="6"/>
      <c r="K173" s="6"/>
      <c r="L173" s="6"/>
    </row>
    <row r="174" spans="2:12">
      <c r="B174" s="6"/>
      <c r="D174" s="6"/>
      <c r="E174" s="6"/>
      <c r="F174" s="6"/>
      <c r="G174" s="6"/>
      <c r="H174" s="6"/>
      <c r="I174" s="6"/>
      <c r="J174" s="6"/>
      <c r="K174" s="6"/>
      <c r="L174" s="6"/>
    </row>
    <row r="175" spans="2:12">
      <c r="B175" s="6"/>
      <c r="D175" s="6"/>
      <c r="E175" s="6"/>
      <c r="F175" s="6"/>
      <c r="G175" s="6"/>
      <c r="H175" s="6"/>
      <c r="I175" s="6"/>
      <c r="J175" s="6"/>
      <c r="K175" s="6"/>
      <c r="L175" s="6"/>
    </row>
    <row r="176" spans="2:12">
      <c r="B176" s="6"/>
      <c r="D176" s="6"/>
      <c r="E176" s="6"/>
      <c r="F176" s="6"/>
      <c r="G176" s="6"/>
      <c r="H176" s="6"/>
      <c r="I176" s="6"/>
      <c r="J176" s="6"/>
      <c r="K176" s="6"/>
      <c r="L176" s="6"/>
    </row>
    <row r="177" spans="2:12">
      <c r="B177" s="6"/>
      <c r="D177" s="6"/>
      <c r="E177" s="6"/>
      <c r="F177" s="6"/>
      <c r="G177" s="6"/>
      <c r="H177" s="6"/>
      <c r="I177" s="6"/>
      <c r="J177" s="6"/>
      <c r="K177" s="6"/>
      <c r="L177" s="6"/>
    </row>
    <row r="178" spans="2:12">
      <c r="B178" s="6"/>
      <c r="D178" s="6"/>
      <c r="E178" s="6"/>
      <c r="F178" s="6"/>
      <c r="G178" s="6"/>
      <c r="H178" s="6"/>
      <c r="I178" s="6"/>
      <c r="J178" s="6"/>
      <c r="K178" s="6"/>
      <c r="L178" s="6"/>
    </row>
    <row r="179" spans="2:12">
      <c r="B179" s="6"/>
      <c r="D179" s="6"/>
      <c r="E179" s="6"/>
      <c r="F179" s="6"/>
      <c r="G179" s="6"/>
      <c r="H179" s="6"/>
      <c r="I179" s="6"/>
      <c r="J179" s="6"/>
      <c r="K179" s="6"/>
      <c r="L179" s="6"/>
    </row>
    <row r="180" spans="2:12">
      <c r="B180" s="6"/>
      <c r="D180" s="6"/>
      <c r="E180" s="6"/>
      <c r="F180" s="6"/>
      <c r="G180" s="6"/>
      <c r="H180" s="6"/>
      <c r="I180" s="6"/>
      <c r="J180" s="6"/>
      <c r="K180" s="6"/>
      <c r="L180" s="6"/>
    </row>
    <row r="181" spans="2:12">
      <c r="B181" s="6"/>
      <c r="D181" s="6"/>
      <c r="E181" s="6"/>
      <c r="F181" s="6"/>
      <c r="G181" s="6"/>
      <c r="H181" s="6"/>
      <c r="I181" s="6"/>
      <c r="J181" s="6"/>
      <c r="K181" s="6"/>
      <c r="L181" s="6"/>
    </row>
    <row r="182" spans="2:12">
      <c r="B182" s="6"/>
      <c r="D182" s="6"/>
      <c r="E182" s="6"/>
      <c r="F182" s="6"/>
      <c r="G182" s="6"/>
      <c r="H182" s="6"/>
      <c r="I182" s="6"/>
      <c r="J182" s="6"/>
      <c r="K182" s="6"/>
      <c r="L182" s="6"/>
    </row>
    <row r="183" spans="2:12">
      <c r="B183" s="6"/>
      <c r="D183" s="6"/>
      <c r="E183" s="6"/>
      <c r="F183" s="6"/>
      <c r="G183" s="6"/>
      <c r="H183" s="6"/>
      <c r="I183" s="6"/>
      <c r="J183" s="6"/>
      <c r="K183" s="6"/>
      <c r="L183" s="6"/>
    </row>
    <row r="184" spans="2:12">
      <c r="K184" s="6"/>
      <c r="L184" s="6"/>
    </row>
  </sheetData>
  <sheetProtection sheet="1" objects="1" scenarios="1"/>
  <mergeCells count="41">
    <mergeCell ref="A1:P1"/>
    <mergeCell ref="A2:P2"/>
    <mergeCell ref="A3:P3"/>
    <mergeCell ref="A4:D4"/>
    <mergeCell ref="A5:P5"/>
    <mergeCell ref="B69:F69"/>
    <mergeCell ref="D44:I44"/>
    <mergeCell ref="D45:I45"/>
    <mergeCell ref="B47:E47"/>
    <mergeCell ref="B48:B54"/>
    <mergeCell ref="B56:E56"/>
    <mergeCell ref="B57:B63"/>
    <mergeCell ref="B66:D67"/>
    <mergeCell ref="B15:B43"/>
    <mergeCell ref="D15:I15"/>
    <mergeCell ref="D22:I22"/>
    <mergeCell ref="D23:I23"/>
    <mergeCell ref="D31:I31"/>
    <mergeCell ref="D32:I32"/>
    <mergeCell ref="D33:I33"/>
    <mergeCell ref="D43:I43"/>
    <mergeCell ref="B89:B94"/>
    <mergeCell ref="B74:D74"/>
    <mergeCell ref="B76:B84"/>
    <mergeCell ref="B85:B86"/>
    <mergeCell ref="D85:D86"/>
    <mergeCell ref="B87:B88"/>
    <mergeCell ref="N24:N25"/>
    <mergeCell ref="O24:O25"/>
    <mergeCell ref="P24:P25"/>
    <mergeCell ref="K24:K25"/>
    <mergeCell ref="K39:K40"/>
    <mergeCell ref="L39:L40"/>
    <mergeCell ref="M39:M40"/>
    <mergeCell ref="L24:L25"/>
    <mergeCell ref="M24:M25"/>
    <mergeCell ref="B10:D10"/>
    <mergeCell ref="F10:S10"/>
    <mergeCell ref="F11:S11"/>
    <mergeCell ref="E12:R12"/>
    <mergeCell ref="E13:R13"/>
  </mergeCells>
  <conditionalFormatting sqref="I20">
    <cfRule type="containsErrors" dxfId="88" priority="6">
      <formula>ISERROR(I20)</formula>
    </cfRule>
  </conditionalFormatting>
  <conditionalFormatting sqref="I25">
    <cfRule type="containsText" dxfId="87" priority="5" operator="containsText" text="debe">
      <formula>NOT(ISERROR(SEARCH("debe",I25)))</formula>
    </cfRule>
  </conditionalFormatting>
  <conditionalFormatting sqref="F10">
    <cfRule type="notContainsBlanks" dxfId="86" priority="4">
      <formula>LEN(TRIM(F10))&gt;0</formula>
    </cfRule>
  </conditionalFormatting>
  <conditionalFormatting sqref="F11:S11">
    <cfRule type="expression" dxfId="85" priority="2">
      <formula>E11="NO SE REPORTA"</formula>
    </cfRule>
    <cfRule type="expression" dxfId="84" priority="3">
      <formula>E10="NO APLICA"</formula>
    </cfRule>
  </conditionalFormatting>
  <conditionalFormatting sqref="E12:R12">
    <cfRule type="expression" dxfId="83" priority="1">
      <formula>E11="SI SE REPORTA"</formula>
    </cfRule>
  </conditionalFormatting>
  <dataValidations count="6">
    <dataValidation type="whole" operator="greaterThanOrEqual" allowBlank="1" showInputMessage="1" showErrorMessage="1" errorTitle="ERROR" error="Valor en HECTAREAS (sin decimales)" sqref="E17:E19 E21 E25:H29 F35:F42 I26:I30 L41:L45">
      <formula1>0</formula1>
    </dataValidation>
    <dataValidation allowBlank="1" showInputMessage="1" showErrorMessage="1" promptTitle="ESTADO" prompt="en formulación_x000a_en actualización_x000a_en adopción_x000a_adoptado" sqref="G35:G42"/>
    <dataValidation type="whole" errorStyle="warning" operator="equal" allowBlank="1" showInputMessage="1" showErrorMessage="1" error="LA SUMA DEBE SER IGUAL A LA META CUATRIENAL" promptTitle="OJO" prompt="LA SUMA DEBE SER IGUAL A LA META CUATRIENAL" sqref="I25">
      <formula1>E20</formula1>
    </dataValidation>
    <dataValidation type="decimal" allowBlank="1" showInputMessage="1" showErrorMessage="1" errorTitle="ERROR" error="Escriba un valor entre 0% y 100%" sqref="L26:L29">
      <formula1>0</formula1>
      <formula2>1</formula2>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91"/>
  <sheetViews>
    <sheetView showGridLines="0" zoomScale="98" zoomScaleNormal="98" workbookViewId="0">
      <selection sqref="A1:XFD1048576"/>
    </sheetView>
  </sheetViews>
  <sheetFormatPr baseColWidth="10" defaultRowHeight="15"/>
  <cols>
    <col min="1" max="1" width="1.85546875" customWidth="1"/>
    <col min="2" max="2" width="12.85546875" customWidth="1"/>
    <col min="3" max="3" width="5" style="88" bestFit="1" customWidth="1"/>
    <col min="4" max="4" width="34.85546875" customWidth="1"/>
    <col min="5" max="5" width="12.140625" customWidth="1"/>
  </cols>
  <sheetData>
    <row r="1" spans="1:21" s="551" customFormat="1" ht="100.5" customHeight="1" thickBot="1">
      <c r="A1" s="1344"/>
      <c r="B1" s="1345"/>
      <c r="C1" s="1345"/>
      <c r="D1" s="1345"/>
      <c r="E1" s="1345"/>
      <c r="F1" s="1345"/>
      <c r="G1" s="1345"/>
      <c r="H1" s="1345"/>
      <c r="I1" s="1345"/>
      <c r="J1" s="1345"/>
      <c r="K1" s="1345"/>
      <c r="L1" s="1345"/>
      <c r="M1" s="1345"/>
      <c r="N1" s="1345"/>
      <c r="O1" s="1345"/>
      <c r="P1" s="1346"/>
      <c r="Q1" s="413"/>
      <c r="R1" s="413"/>
    </row>
    <row r="2" spans="1:21" s="552" customFormat="1" ht="16.5" thickBot="1">
      <c r="A2" s="1352" t="str">
        <f>'Datos Generales'!C5</f>
        <v>Corporación Autónoma Regional de La Guajira – CORPOGUAJIRA</v>
      </c>
      <c r="B2" s="1353"/>
      <c r="C2" s="1353"/>
      <c r="D2" s="1353"/>
      <c r="E2" s="1353"/>
      <c r="F2" s="1353"/>
      <c r="G2" s="1353"/>
      <c r="H2" s="1353"/>
      <c r="I2" s="1353"/>
      <c r="J2" s="1353"/>
      <c r="K2" s="1353"/>
      <c r="L2" s="1353"/>
      <c r="M2" s="1353"/>
      <c r="N2" s="1353"/>
      <c r="O2" s="1353"/>
      <c r="P2" s="1354"/>
      <c r="Q2" s="413"/>
      <c r="R2" s="413"/>
    </row>
    <row r="3" spans="1:21" s="552" customFormat="1" ht="16.5" thickBot="1">
      <c r="A3" s="1347" t="s">
        <v>1419</v>
      </c>
      <c r="B3" s="1348"/>
      <c r="C3" s="1348"/>
      <c r="D3" s="1348"/>
      <c r="E3" s="1348"/>
      <c r="F3" s="1348"/>
      <c r="G3" s="1348"/>
      <c r="H3" s="1348"/>
      <c r="I3" s="1348"/>
      <c r="J3" s="1348"/>
      <c r="K3" s="1348"/>
      <c r="L3" s="1348"/>
      <c r="M3" s="1348"/>
      <c r="N3" s="1348"/>
      <c r="O3" s="1348"/>
      <c r="P3" s="1349"/>
      <c r="Q3" s="413"/>
      <c r="R3" s="413"/>
    </row>
    <row r="4" spans="1:21" s="552" customFormat="1" ht="16.5" thickBot="1">
      <c r="A4" s="1350" t="s">
        <v>1418</v>
      </c>
      <c r="B4" s="1351"/>
      <c r="C4" s="1351"/>
      <c r="D4" s="1351"/>
      <c r="E4" s="571" t="str">
        <f>'Datos Generales'!C6</f>
        <v>2016-II</v>
      </c>
      <c r="F4" s="571"/>
      <c r="G4" s="571"/>
      <c r="H4" s="571"/>
      <c r="I4" s="571"/>
      <c r="J4" s="571"/>
      <c r="K4" s="571"/>
      <c r="L4" s="572"/>
      <c r="M4" s="572"/>
      <c r="N4" s="572"/>
      <c r="O4" s="572"/>
      <c r="P4" s="573"/>
      <c r="Q4" s="413"/>
      <c r="R4" s="413"/>
    </row>
    <row r="5" spans="1:21" s="245" customFormat="1" ht="16.5" customHeight="1" thickBot="1">
      <c r="A5" s="1347" t="s">
        <v>459</v>
      </c>
      <c r="B5" s="1348"/>
      <c r="C5" s="1348"/>
      <c r="D5" s="1348"/>
      <c r="E5" s="1348"/>
      <c r="F5" s="1348"/>
      <c r="G5" s="1348"/>
      <c r="H5" s="1348"/>
      <c r="I5" s="1348"/>
      <c r="J5" s="1348"/>
      <c r="K5" s="1348"/>
      <c r="L5" s="1348"/>
      <c r="M5" s="1348"/>
      <c r="N5" s="1348"/>
      <c r="O5" s="1348"/>
      <c r="P5" s="1349"/>
    </row>
    <row r="6" spans="1:21">
      <c r="B6" s="2" t="s">
        <v>1</v>
      </c>
      <c r="C6" s="77"/>
      <c r="D6" s="6"/>
      <c r="E6" s="75"/>
      <c r="F6" s="6" t="s">
        <v>133</v>
      </c>
      <c r="G6" s="6"/>
      <c r="H6" s="6"/>
      <c r="I6" s="6"/>
      <c r="J6" s="6"/>
      <c r="K6" s="6"/>
    </row>
    <row r="7" spans="1:21" ht="15.75" thickBot="1">
      <c r="B7" s="76"/>
      <c r="C7" s="78"/>
      <c r="D7" s="6"/>
      <c r="E7" s="18"/>
      <c r="F7" s="6" t="s">
        <v>134</v>
      </c>
      <c r="G7" s="6"/>
      <c r="H7" s="6"/>
      <c r="I7" s="6"/>
      <c r="J7" s="6"/>
      <c r="K7" s="6"/>
    </row>
    <row r="8" spans="1:21" ht="15.75" thickBot="1">
      <c r="B8" s="177" t="s">
        <v>1204</v>
      </c>
      <c r="C8" s="222">
        <v>2017</v>
      </c>
      <c r="D8" s="226">
        <f>IF(E10="NO APLICA","NO APLICA",IF(E11="NO SE REPORTA","SIN INFORMACION",+G20))</f>
        <v>1</v>
      </c>
      <c r="E8" s="223"/>
      <c r="F8" s="6" t="s">
        <v>135</v>
      </c>
      <c r="G8" s="6"/>
      <c r="H8" s="6"/>
      <c r="I8" s="6"/>
      <c r="J8" s="6"/>
      <c r="K8" s="6"/>
    </row>
    <row r="9" spans="1:21">
      <c r="B9" s="507" t="s">
        <v>1205</v>
      </c>
      <c r="D9" s="6"/>
      <c r="E9" s="6"/>
      <c r="F9" s="6"/>
      <c r="G9" s="6"/>
      <c r="H9" s="6"/>
      <c r="I9" s="6"/>
      <c r="J9" s="6"/>
      <c r="K9" s="6"/>
    </row>
    <row r="10" spans="1:21" s="413" customFormat="1">
      <c r="A10" s="245"/>
      <c r="B10" s="1412" t="s">
        <v>1265</v>
      </c>
      <c r="C10" s="1412"/>
      <c r="D10" s="1412"/>
      <c r="E10" s="513" t="s">
        <v>1262</v>
      </c>
      <c r="F10" s="1419"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420"/>
      <c r="H10" s="1420"/>
      <c r="I10" s="1420"/>
      <c r="J10" s="1420"/>
      <c r="K10" s="1420"/>
      <c r="L10" s="1420"/>
      <c r="M10" s="1420"/>
      <c r="N10" s="1420"/>
      <c r="O10" s="1420"/>
      <c r="P10" s="1420"/>
      <c r="Q10" s="1420"/>
      <c r="R10" s="1420"/>
      <c r="S10" s="1420"/>
      <c r="T10" s="509"/>
      <c r="U10" s="509"/>
    </row>
    <row r="11" spans="1:21" s="413" customFormat="1" ht="14.45" customHeight="1">
      <c r="A11" s="245"/>
      <c r="B11" s="510"/>
      <c r="C11" s="511"/>
      <c r="D11" s="512" t="str">
        <f>IF(E10="SI APLICA","¿El indicador no se reporta por limitaciones de información disponible? ","")</f>
        <v xml:space="preserve">¿El indicador no se reporta por limitaciones de información disponible? </v>
      </c>
      <c r="E11" s="514" t="s">
        <v>1264</v>
      </c>
      <c r="F11" s="1413"/>
      <c r="G11" s="1414"/>
      <c r="H11" s="1414"/>
      <c r="I11" s="1414"/>
      <c r="J11" s="1414"/>
      <c r="K11" s="1414"/>
      <c r="L11" s="1414"/>
      <c r="M11" s="1414"/>
      <c r="N11" s="1414"/>
      <c r="O11" s="1414"/>
      <c r="P11" s="1414"/>
      <c r="Q11" s="1414"/>
      <c r="R11" s="1414"/>
      <c r="S11" s="1414"/>
    </row>
    <row r="12" spans="1:21" s="413" customFormat="1" ht="23.45" customHeight="1">
      <c r="A12" s="245"/>
      <c r="B12" s="507"/>
      <c r="C12" s="304"/>
      <c r="D12" s="512" t="str">
        <f>IF(E11="SI SE REPORTA","¿Qué programas o proyectos del Plan de Acción están asociados al indicador? ","")</f>
        <v xml:space="preserve">¿Qué programas o proyectos del Plan de Acción están asociados al indicador? </v>
      </c>
      <c r="E12" s="1415" t="str">
        <f>'Anexo 1 Matriz Inf Gestión'!E49:H49</f>
        <v>Proyecto No 3.1. Ecosistemas estratégicos continentales y marinos (6).</v>
      </c>
      <c r="F12" s="1415"/>
      <c r="G12" s="1415"/>
      <c r="H12" s="1415"/>
      <c r="I12" s="1415"/>
      <c r="J12" s="1415"/>
      <c r="K12" s="1415"/>
      <c r="L12" s="1415"/>
      <c r="M12" s="1415"/>
      <c r="N12" s="1415"/>
      <c r="O12" s="1415"/>
      <c r="P12" s="1415"/>
      <c r="Q12" s="1415"/>
      <c r="R12" s="1415"/>
    </row>
    <row r="13" spans="1:21" s="413" customFormat="1" ht="21.95" customHeight="1">
      <c r="A13" s="245"/>
      <c r="B13" s="507"/>
      <c r="C13" s="304"/>
      <c r="D13" s="512" t="s">
        <v>1267</v>
      </c>
      <c r="E13" s="1416"/>
      <c r="F13" s="1417"/>
      <c r="G13" s="1417"/>
      <c r="H13" s="1417"/>
      <c r="I13" s="1417"/>
      <c r="J13" s="1417"/>
      <c r="K13" s="1417"/>
      <c r="L13" s="1417"/>
      <c r="M13" s="1417"/>
      <c r="N13" s="1417"/>
      <c r="O13" s="1417"/>
      <c r="P13" s="1417"/>
      <c r="Q13" s="1417"/>
      <c r="R13" s="1418"/>
    </row>
    <row r="14" spans="1:21" s="413" customFormat="1" ht="6.95" customHeight="1" thickBot="1">
      <c r="B14" s="507"/>
      <c r="C14" s="88"/>
      <c r="D14" s="6"/>
      <c r="E14" s="6"/>
      <c r="F14" s="6"/>
      <c r="G14" s="6"/>
      <c r="H14" s="6"/>
      <c r="I14" s="6"/>
      <c r="J14" s="6"/>
      <c r="K14" s="6"/>
    </row>
    <row r="15" spans="1:21" ht="15.6" customHeight="1" thickTop="1" thickBot="1">
      <c r="B15" s="1503" t="s">
        <v>2</v>
      </c>
      <c r="C15" s="90"/>
      <c r="D15" s="1458" t="s">
        <v>344</v>
      </c>
      <c r="E15" s="1459"/>
      <c r="F15" s="1459"/>
      <c r="G15" s="1459"/>
      <c r="H15" s="1459"/>
      <c r="I15" s="1459"/>
      <c r="J15" s="1459"/>
      <c r="K15" s="1459"/>
      <c r="L15" s="1509"/>
    </row>
    <row r="16" spans="1:21" ht="36.75" thickBot="1">
      <c r="B16" s="1504"/>
      <c r="C16" s="95"/>
      <c r="D16" s="44" t="s">
        <v>473</v>
      </c>
      <c r="E16" s="44" t="s">
        <v>474</v>
      </c>
      <c r="F16" s="44" t="s">
        <v>475</v>
      </c>
      <c r="G16" s="44" t="s">
        <v>476</v>
      </c>
      <c r="H16" s="6"/>
      <c r="I16" s="6"/>
      <c r="J16" s="6"/>
      <c r="K16" s="6"/>
      <c r="L16" s="14"/>
    </row>
    <row r="17" spans="2:12" ht="36.75" thickBot="1">
      <c r="B17" s="1504"/>
      <c r="C17" s="95"/>
      <c r="D17" s="41" t="s">
        <v>477</v>
      </c>
      <c r="E17" s="217">
        <v>8</v>
      </c>
      <c r="F17" s="217">
        <v>0</v>
      </c>
      <c r="G17" s="151">
        <f>+E17+F17</f>
        <v>8</v>
      </c>
      <c r="H17" s="6"/>
      <c r="I17" s="6"/>
      <c r="J17" s="6"/>
      <c r="K17" s="6"/>
      <c r="L17" s="14"/>
    </row>
    <row r="18" spans="2:12" ht="24.75" thickBot="1">
      <c r="B18" s="1504"/>
      <c r="C18" s="95"/>
      <c r="D18" s="41" t="s">
        <v>478</v>
      </c>
      <c r="E18" s="217">
        <v>7</v>
      </c>
      <c r="F18" s="217"/>
      <c r="G18" s="151">
        <f t="shared" ref="G18:G19" si="0">+E18+F18</f>
        <v>7</v>
      </c>
      <c r="H18" s="6"/>
      <c r="I18" s="6"/>
      <c r="J18" s="6"/>
      <c r="K18" s="6"/>
      <c r="L18" s="14"/>
    </row>
    <row r="19" spans="2:12" ht="24.75" thickBot="1">
      <c r="B19" s="1504"/>
      <c r="C19" s="95"/>
      <c r="D19" s="41" t="s">
        <v>479</v>
      </c>
      <c r="E19" s="217">
        <v>7</v>
      </c>
      <c r="F19" s="217"/>
      <c r="G19" s="151">
        <f t="shared" si="0"/>
        <v>7</v>
      </c>
      <c r="H19" s="6"/>
      <c r="I19" s="6"/>
      <c r="J19" s="6"/>
      <c r="K19" s="6"/>
      <c r="L19" s="14"/>
    </row>
    <row r="20" spans="2:12" ht="24.75" thickBot="1">
      <c r="B20" s="1504"/>
      <c r="C20" s="95"/>
      <c r="D20" s="41" t="s">
        <v>459</v>
      </c>
      <c r="E20" s="196">
        <f>IFERROR(E19/E18,"N.A.")</f>
        <v>1</v>
      </c>
      <c r="F20" s="196" t="str">
        <f>IFERROR(F19/F18,"N.A.")</f>
        <v>N.A.</v>
      </c>
      <c r="G20" s="145">
        <f t="shared" ref="G20" si="1">IFERROR(G19/G18,0)</f>
        <v>1</v>
      </c>
      <c r="H20" s="6"/>
      <c r="I20" s="6"/>
      <c r="J20" s="6"/>
      <c r="K20" s="6"/>
      <c r="L20" s="14"/>
    </row>
    <row r="21" spans="2:12">
      <c r="B21" s="1504"/>
      <c r="C21" s="93"/>
      <c r="D21" s="1464"/>
      <c r="E21" s="1465"/>
      <c r="F21" s="1465"/>
      <c r="G21" s="1465"/>
      <c r="H21" s="1465"/>
      <c r="I21" s="1465"/>
      <c r="J21" s="1465"/>
      <c r="K21" s="1465"/>
      <c r="L21" s="1516"/>
    </row>
    <row r="22" spans="2:12">
      <c r="B22" s="1504"/>
      <c r="C22" s="93"/>
      <c r="D22" s="1461" t="s">
        <v>254</v>
      </c>
      <c r="E22" s="1462"/>
      <c r="F22" s="1462"/>
      <c r="G22" s="1462"/>
      <c r="H22" s="1462"/>
      <c r="I22" s="1462"/>
      <c r="J22" s="1462"/>
      <c r="K22" s="1462"/>
      <c r="L22" s="1517"/>
    </row>
    <row r="23" spans="2:12">
      <c r="B23" s="1504"/>
      <c r="C23" s="93"/>
      <c r="D23" s="1461" t="s">
        <v>1739</v>
      </c>
      <c r="E23" s="1462"/>
      <c r="F23" s="1462"/>
      <c r="G23" s="1462"/>
      <c r="H23" s="1462"/>
      <c r="I23" s="1462"/>
      <c r="J23" s="1462"/>
      <c r="K23" s="1462"/>
      <c r="L23" s="1517"/>
    </row>
    <row r="24" spans="2:12" ht="15.75" thickBot="1">
      <c r="B24" s="1504"/>
      <c r="C24" s="93"/>
      <c r="D24" s="1492" t="s">
        <v>348</v>
      </c>
      <c r="E24" s="1493"/>
      <c r="F24" s="1493"/>
      <c r="G24" s="1493"/>
      <c r="H24" s="1493"/>
      <c r="I24" s="1493"/>
      <c r="J24" s="1493"/>
      <c r="K24" s="1493"/>
      <c r="L24" s="1518"/>
    </row>
    <row r="25" spans="2:12" ht="15.6" customHeight="1">
      <c r="B25" s="437"/>
      <c r="C25" s="1507" t="s">
        <v>24</v>
      </c>
      <c r="D25" s="1505" t="s">
        <v>278</v>
      </c>
      <c r="E25" s="1505" t="s">
        <v>480</v>
      </c>
      <c r="F25" s="1505" t="s">
        <v>390</v>
      </c>
      <c r="G25" s="1505" t="s">
        <v>481</v>
      </c>
      <c r="H25" s="74" t="s">
        <v>482</v>
      </c>
      <c r="I25" s="74" t="s">
        <v>484</v>
      </c>
      <c r="J25" s="1505" t="s">
        <v>282</v>
      </c>
      <c r="K25" s="1505" t="s">
        <v>283</v>
      </c>
      <c r="L25" s="1505" t="s">
        <v>60</v>
      </c>
    </row>
    <row r="26" spans="2:12" ht="15.75" thickBot="1">
      <c r="B26" s="437"/>
      <c r="C26" s="1508"/>
      <c r="D26" s="1506"/>
      <c r="E26" s="1506"/>
      <c r="F26" s="1506"/>
      <c r="G26" s="1506"/>
      <c r="H26" s="66" t="s">
        <v>483</v>
      </c>
      <c r="I26" s="66" t="s">
        <v>485</v>
      </c>
      <c r="J26" s="1506"/>
      <c r="K26" s="1506"/>
      <c r="L26" s="1506"/>
    </row>
    <row r="27" spans="2:12" ht="15.75" thickBot="1">
      <c r="B27" s="437"/>
      <c r="C27" s="92"/>
      <c r="D27" s="31" t="s">
        <v>1734</v>
      </c>
      <c r="E27" s="31" t="s">
        <v>1738</v>
      </c>
      <c r="F27" s="31" t="s">
        <v>1715</v>
      </c>
      <c r="G27" s="31" t="s">
        <v>1735</v>
      </c>
      <c r="H27" s="218"/>
      <c r="I27" s="218"/>
      <c r="J27" s="218"/>
      <c r="K27" s="218"/>
      <c r="L27" s="218"/>
    </row>
    <row r="28" spans="2:12" s="413" customFormat="1" ht="15.75" thickBot="1">
      <c r="B28" s="437"/>
      <c r="C28" s="92"/>
      <c r="D28" s="31" t="s">
        <v>1736</v>
      </c>
      <c r="E28" s="31" t="s">
        <v>1738</v>
      </c>
      <c r="F28" s="31" t="s">
        <v>1715</v>
      </c>
      <c r="G28" s="31" t="s">
        <v>1735</v>
      </c>
      <c r="H28" s="218"/>
      <c r="I28" s="218"/>
      <c r="J28" s="218"/>
      <c r="K28" s="218"/>
      <c r="L28" s="218"/>
    </row>
    <row r="29" spans="2:12" s="413" customFormat="1" ht="15.75" thickBot="1">
      <c r="B29" s="437"/>
      <c r="C29" s="92"/>
      <c r="D29" s="31" t="s">
        <v>1737</v>
      </c>
      <c r="E29" s="31" t="s">
        <v>1738</v>
      </c>
      <c r="F29" s="31" t="s">
        <v>1715</v>
      </c>
      <c r="G29" s="31" t="s">
        <v>1735</v>
      </c>
      <c r="H29" s="218"/>
      <c r="I29" s="218"/>
      <c r="J29" s="218"/>
      <c r="K29" s="218"/>
      <c r="L29" s="218"/>
    </row>
    <row r="30" spans="2:12" s="413" customFormat="1" ht="15.75" thickBot="1">
      <c r="B30" s="437"/>
      <c r="C30" s="92"/>
      <c r="D30" s="31" t="s">
        <v>1740</v>
      </c>
      <c r="E30" s="31" t="s">
        <v>1738</v>
      </c>
      <c r="F30" s="31" t="s">
        <v>1715</v>
      </c>
      <c r="G30" s="31" t="s">
        <v>1735</v>
      </c>
      <c r="H30" s="218"/>
      <c r="I30" s="1495"/>
      <c r="J30" s="1495"/>
      <c r="K30" s="218"/>
      <c r="L30" s="218"/>
    </row>
    <row r="31" spans="2:12" s="413" customFormat="1" ht="15.75" thickBot="1">
      <c r="B31" s="1045"/>
      <c r="C31" s="92"/>
      <c r="D31" s="31" t="s">
        <v>1786</v>
      </c>
      <c r="E31" s="31" t="s">
        <v>1788</v>
      </c>
      <c r="F31" s="31" t="s">
        <v>1715</v>
      </c>
      <c r="G31" s="31" t="s">
        <v>1787</v>
      </c>
      <c r="H31" s="218"/>
      <c r="I31" s="1496"/>
      <c r="J31" s="1496"/>
      <c r="K31" s="218"/>
      <c r="L31" s="218"/>
    </row>
    <row r="32" spans="2:12" s="413" customFormat="1" ht="15.75" thickBot="1">
      <c r="B32" s="437"/>
      <c r="C32" s="92"/>
      <c r="D32" s="31" t="s">
        <v>1734</v>
      </c>
      <c r="E32" s="31" t="s">
        <v>1741</v>
      </c>
      <c r="F32" s="31" t="s">
        <v>1715</v>
      </c>
      <c r="G32" s="31" t="s">
        <v>1742</v>
      </c>
      <c r="H32" s="218"/>
      <c r="I32" s="218"/>
      <c r="J32" s="218"/>
      <c r="K32" s="218"/>
      <c r="L32" s="218"/>
    </row>
    <row r="33" spans="2:15" s="413" customFormat="1" ht="15.75" thickBot="1">
      <c r="B33" s="437"/>
      <c r="C33" s="92"/>
      <c r="D33" s="31" t="s">
        <v>1743</v>
      </c>
      <c r="E33" s="31" t="s">
        <v>1744</v>
      </c>
      <c r="F33" s="31" t="s">
        <v>1715</v>
      </c>
      <c r="G33" s="31" t="s">
        <v>1742</v>
      </c>
      <c r="H33" s="218"/>
      <c r="I33" s="218"/>
      <c r="J33" s="218"/>
      <c r="K33" s="218"/>
      <c r="L33" s="218"/>
    </row>
    <row r="34" spans="2:15" s="413" customFormat="1" ht="15.75" thickBot="1">
      <c r="B34" s="437"/>
      <c r="C34" s="92"/>
      <c r="D34" s="31" t="s">
        <v>1745</v>
      </c>
      <c r="E34" s="31" t="s">
        <v>1744</v>
      </c>
      <c r="F34" s="31" t="s">
        <v>1715</v>
      </c>
      <c r="G34" s="31" t="s">
        <v>1742</v>
      </c>
      <c r="H34" s="218"/>
      <c r="I34" s="218"/>
      <c r="J34" s="218"/>
      <c r="K34" s="218"/>
      <c r="L34" s="218"/>
    </row>
    <row r="35" spans="2:15" s="413" customFormat="1" ht="24.75" thickBot="1">
      <c r="B35" s="437"/>
      <c r="C35" s="92"/>
      <c r="D35" s="1497" t="s">
        <v>1781</v>
      </c>
      <c r="E35" s="482" t="s">
        <v>1738</v>
      </c>
      <c r="F35" s="31" t="s">
        <v>1715</v>
      </c>
      <c r="G35" s="31" t="s">
        <v>1735</v>
      </c>
      <c r="H35" s="1500"/>
      <c r="I35" s="1500"/>
      <c r="J35" s="1500"/>
      <c r="K35" s="1500"/>
      <c r="L35" s="218"/>
      <c r="O35" s="413">
        <f>584329/2</f>
        <v>292164.5</v>
      </c>
    </row>
    <row r="36" spans="2:15" s="413" customFormat="1" ht="15.75" thickBot="1">
      <c r="B36" s="437"/>
      <c r="C36" s="92"/>
      <c r="D36" s="1498"/>
      <c r="E36" s="31" t="s">
        <v>1741</v>
      </c>
      <c r="F36" s="31" t="s">
        <v>1715</v>
      </c>
      <c r="G36" s="31" t="s">
        <v>1742</v>
      </c>
      <c r="H36" s="1501"/>
      <c r="I36" s="1501"/>
      <c r="J36" s="1501"/>
      <c r="K36" s="1501"/>
      <c r="L36" s="218"/>
    </row>
    <row r="37" spans="2:15" s="413" customFormat="1" ht="15.75" thickBot="1">
      <c r="B37" s="437"/>
      <c r="C37" s="92"/>
      <c r="D37" s="1498"/>
      <c r="E37" s="31" t="s">
        <v>1744</v>
      </c>
      <c r="F37" s="31" t="s">
        <v>1715</v>
      </c>
      <c r="G37" s="31" t="s">
        <v>1742</v>
      </c>
      <c r="H37" s="1501"/>
      <c r="I37" s="1501"/>
      <c r="J37" s="1501"/>
      <c r="K37" s="1501"/>
      <c r="L37" s="218"/>
    </row>
    <row r="38" spans="2:15" ht="15.75" thickBot="1">
      <c r="B38" s="437"/>
      <c r="C38" s="92"/>
      <c r="D38" s="1498"/>
      <c r="E38" s="31" t="s">
        <v>1783</v>
      </c>
      <c r="F38" s="31" t="s">
        <v>1715</v>
      </c>
      <c r="G38" s="31" t="s">
        <v>1742</v>
      </c>
      <c r="H38" s="1501"/>
      <c r="I38" s="1501"/>
      <c r="J38" s="1501"/>
      <c r="K38" s="1501"/>
      <c r="L38" s="218"/>
    </row>
    <row r="39" spans="2:15" ht="24.75" thickBot="1">
      <c r="B39" s="437"/>
      <c r="C39" s="92"/>
      <c r="D39" s="1498"/>
      <c r="E39" s="30" t="s">
        <v>1782</v>
      </c>
      <c r="F39" s="31" t="s">
        <v>1715</v>
      </c>
      <c r="G39" s="31" t="s">
        <v>1742</v>
      </c>
      <c r="H39" s="1501"/>
      <c r="I39" s="1501"/>
      <c r="J39" s="1501"/>
      <c r="K39" s="1501"/>
      <c r="L39" s="218"/>
    </row>
    <row r="40" spans="2:15" s="413" customFormat="1" ht="24.75" thickBot="1">
      <c r="B40" s="1045"/>
      <c r="C40" s="92"/>
      <c r="D40" s="1498"/>
      <c r="E40" s="30" t="s">
        <v>1785</v>
      </c>
      <c r="F40" s="31" t="s">
        <v>1715</v>
      </c>
      <c r="G40" s="31" t="s">
        <v>1742</v>
      </c>
      <c r="H40" s="1501"/>
      <c r="I40" s="1501"/>
      <c r="J40" s="1501"/>
      <c r="K40" s="1501"/>
      <c r="L40" s="218"/>
    </row>
    <row r="41" spans="2:15" ht="15.75" thickBot="1">
      <c r="B41" s="437"/>
      <c r="C41" s="92"/>
      <c r="D41" s="1499"/>
      <c r="E41" s="31" t="s">
        <v>1784</v>
      </c>
      <c r="F41" s="31" t="s">
        <v>1715</v>
      </c>
      <c r="G41" s="31" t="s">
        <v>1735</v>
      </c>
      <c r="H41" s="1502"/>
      <c r="I41" s="1502"/>
      <c r="J41" s="1502"/>
      <c r="K41" s="1502"/>
      <c r="L41" s="218"/>
    </row>
    <row r="42" spans="2:15" ht="15.75" thickBot="1">
      <c r="B42" s="438"/>
      <c r="C42" s="112"/>
      <c r="D42" s="40" t="s">
        <v>157</v>
      </c>
      <c r="E42" s="27"/>
      <c r="F42" s="27"/>
      <c r="G42" s="27"/>
      <c r="H42" s="143">
        <f>SUM(H27:H41)</f>
        <v>0</v>
      </c>
      <c r="I42" s="143">
        <f t="shared" ref="I42:K42" si="2">SUM(I27:I41)</f>
        <v>0</v>
      </c>
      <c r="J42" s="143">
        <f t="shared" si="2"/>
        <v>0</v>
      </c>
      <c r="K42" s="143">
        <f t="shared" si="2"/>
        <v>0</v>
      </c>
      <c r="L42" s="13"/>
    </row>
    <row r="43" spans="2:15" ht="24" customHeight="1" thickBot="1">
      <c r="B43" s="73" t="s">
        <v>39</v>
      </c>
      <c r="C43" s="109"/>
      <c r="D43" s="1453" t="s">
        <v>486</v>
      </c>
      <c r="E43" s="1454"/>
      <c r="F43" s="1454"/>
      <c r="G43" s="1454"/>
      <c r="H43" s="1454"/>
      <c r="I43" s="1454"/>
      <c r="J43" s="1454"/>
      <c r="K43" s="1454"/>
      <c r="L43" s="1519"/>
    </row>
    <row r="44" spans="2:15" ht="24" customHeight="1" thickBot="1">
      <c r="B44" s="73" t="s">
        <v>41</v>
      </c>
      <c r="C44" s="109"/>
      <c r="D44" s="1453" t="s">
        <v>354</v>
      </c>
      <c r="E44" s="1454"/>
      <c r="F44" s="1454"/>
      <c r="G44" s="1454"/>
      <c r="H44" s="1454"/>
      <c r="I44" s="1454"/>
      <c r="J44" s="1454"/>
      <c r="K44" s="1454"/>
      <c r="L44" s="1519"/>
    </row>
    <row r="45" spans="2:15" ht="15.75" thickBot="1">
      <c r="B45" s="2"/>
      <c r="C45" s="77"/>
      <c r="D45" s="6"/>
      <c r="E45" s="6"/>
      <c r="F45" s="6"/>
      <c r="G45" s="6"/>
      <c r="H45" s="6"/>
      <c r="I45" s="6"/>
      <c r="J45" s="6"/>
      <c r="K45" s="6"/>
    </row>
    <row r="46" spans="2:15" ht="24" customHeight="1" thickBot="1">
      <c r="B46" s="1450" t="s">
        <v>43</v>
      </c>
      <c r="C46" s="1451"/>
      <c r="D46" s="1451"/>
      <c r="E46" s="1452"/>
      <c r="F46" s="6"/>
      <c r="G46" s="6"/>
      <c r="H46" s="6"/>
      <c r="I46" s="6"/>
      <c r="J46" s="6"/>
      <c r="K46" s="6"/>
    </row>
    <row r="47" spans="2:15" ht="15.75" thickBot="1">
      <c r="B47" s="1447">
        <v>1</v>
      </c>
      <c r="C47" s="95"/>
      <c r="D47" s="49" t="s">
        <v>44</v>
      </c>
      <c r="E47" s="31" t="s">
        <v>1642</v>
      </c>
      <c r="F47" s="6"/>
      <c r="G47" s="6"/>
      <c r="H47" s="6"/>
      <c r="I47" s="6"/>
      <c r="J47" s="6"/>
      <c r="K47" s="6"/>
    </row>
    <row r="48" spans="2:15" ht="15.75" thickBot="1">
      <c r="B48" s="1448"/>
      <c r="C48" s="95"/>
      <c r="D48" s="41" t="s">
        <v>45</v>
      </c>
      <c r="E48" s="31" t="s">
        <v>1729</v>
      </c>
      <c r="F48" s="6"/>
      <c r="G48" s="6"/>
      <c r="H48" s="6"/>
      <c r="I48" s="6"/>
      <c r="J48" s="6"/>
      <c r="K48" s="6"/>
    </row>
    <row r="49" spans="2:11" ht="15.75" thickBot="1">
      <c r="B49" s="1448"/>
      <c r="C49" s="95"/>
      <c r="D49" s="41" t="s">
        <v>46</v>
      </c>
      <c r="E49" s="31" t="s">
        <v>1730</v>
      </c>
      <c r="F49" s="6"/>
      <c r="G49" s="6"/>
      <c r="H49" s="6"/>
      <c r="I49" s="6"/>
      <c r="J49" s="6"/>
      <c r="K49" s="6"/>
    </row>
    <row r="50" spans="2:11" ht="15.75" thickBot="1">
      <c r="B50" s="1448"/>
      <c r="C50" s="95"/>
      <c r="D50" s="41" t="s">
        <v>47</v>
      </c>
      <c r="E50" s="31" t="s">
        <v>1660</v>
      </c>
      <c r="F50" s="6"/>
      <c r="G50" s="6"/>
      <c r="H50" s="6"/>
      <c r="I50" s="6"/>
      <c r="J50" s="6"/>
      <c r="K50" s="6"/>
    </row>
    <row r="51" spans="2:11" ht="15.75" thickBot="1">
      <c r="B51" s="1448"/>
      <c r="C51" s="95"/>
      <c r="D51" s="41" t="s">
        <v>48</v>
      </c>
      <c r="E51" s="1036" t="s">
        <v>1731</v>
      </c>
      <c r="F51" s="6"/>
      <c r="G51" s="6"/>
      <c r="H51" s="6"/>
      <c r="I51" s="6"/>
      <c r="J51" s="6"/>
      <c r="K51" s="6"/>
    </row>
    <row r="52" spans="2:11" ht="15.75" thickBot="1">
      <c r="B52" s="1448"/>
      <c r="C52" s="95"/>
      <c r="D52" s="41" t="s">
        <v>49</v>
      </c>
      <c r="E52" s="31" t="s">
        <v>1747</v>
      </c>
      <c r="F52" s="6"/>
      <c r="G52" s="6"/>
      <c r="H52" s="6"/>
      <c r="I52" s="6"/>
      <c r="J52" s="6"/>
      <c r="K52" s="6"/>
    </row>
    <row r="53" spans="2:11" ht="15.75" thickBot="1">
      <c r="B53" s="1449"/>
      <c r="C53" s="3"/>
      <c r="D53" s="41" t="s">
        <v>50</v>
      </c>
      <c r="E53" s="31"/>
      <c r="F53" s="6"/>
      <c r="G53" s="6"/>
      <c r="H53" s="6"/>
      <c r="I53" s="6"/>
      <c r="J53" s="6"/>
      <c r="K53" s="6"/>
    </row>
    <row r="54" spans="2:11" ht="15.75" thickBot="1">
      <c r="B54" s="2"/>
      <c r="C54" s="77"/>
      <c r="D54" s="6"/>
      <c r="E54" s="6"/>
      <c r="F54" s="6"/>
      <c r="G54" s="6"/>
      <c r="H54" s="6"/>
      <c r="I54" s="6"/>
      <c r="J54" s="6"/>
      <c r="K54" s="6"/>
    </row>
    <row r="55" spans="2:11" ht="15.75" thickBot="1">
      <c r="B55" s="1450" t="s">
        <v>51</v>
      </c>
      <c r="C55" s="1451"/>
      <c r="D55" s="1451"/>
      <c r="E55" s="1452"/>
      <c r="F55" s="6"/>
      <c r="G55" s="6"/>
      <c r="H55" s="6"/>
      <c r="I55" s="6"/>
      <c r="J55" s="6"/>
      <c r="K55" s="6"/>
    </row>
    <row r="56" spans="2:11" ht="15.75" thickBot="1">
      <c r="B56" s="1447">
        <v>1</v>
      </c>
      <c r="C56" s="95"/>
      <c r="D56" s="49" t="s">
        <v>44</v>
      </c>
      <c r="E56" s="445" t="s">
        <v>52</v>
      </c>
      <c r="F56" s="6"/>
      <c r="G56" s="6"/>
      <c r="H56" s="6"/>
      <c r="I56" s="6"/>
      <c r="J56" s="6"/>
      <c r="K56" s="6"/>
    </row>
    <row r="57" spans="2:11" ht="15.75" thickBot="1">
      <c r="B57" s="1448"/>
      <c r="C57" s="95"/>
      <c r="D57" s="41" t="s">
        <v>45</v>
      </c>
      <c r="E57" s="445" t="s">
        <v>53</v>
      </c>
      <c r="F57" s="6"/>
      <c r="G57" s="6"/>
      <c r="H57" s="6"/>
      <c r="I57" s="6"/>
      <c r="J57" s="6"/>
      <c r="K57" s="6"/>
    </row>
    <row r="58" spans="2:11" ht="15.75" thickBot="1">
      <c r="B58" s="1448"/>
      <c r="C58" s="95"/>
      <c r="D58" s="41" t="s">
        <v>46</v>
      </c>
      <c r="E58" s="315"/>
      <c r="F58" s="6"/>
      <c r="G58" s="6"/>
      <c r="H58" s="6"/>
      <c r="I58" s="6"/>
      <c r="J58" s="6"/>
      <c r="K58" s="6"/>
    </row>
    <row r="59" spans="2:11" ht="15.75" thickBot="1">
      <c r="B59" s="1448"/>
      <c r="C59" s="95"/>
      <c r="D59" s="41" t="s">
        <v>47</v>
      </c>
      <c r="E59" s="315"/>
      <c r="F59" s="6"/>
      <c r="G59" s="6"/>
      <c r="H59" s="6"/>
      <c r="I59" s="6"/>
      <c r="J59" s="6"/>
      <c r="K59" s="6"/>
    </row>
    <row r="60" spans="2:11" ht="15.75" thickBot="1">
      <c r="B60" s="1448"/>
      <c r="C60" s="95"/>
      <c r="D60" s="41" t="s">
        <v>48</v>
      </c>
      <c r="E60" s="315"/>
      <c r="F60" s="6"/>
      <c r="G60" s="6"/>
      <c r="H60" s="6"/>
      <c r="I60" s="6"/>
      <c r="J60" s="6"/>
      <c r="K60" s="6"/>
    </row>
    <row r="61" spans="2:11" ht="15.75" thickBot="1">
      <c r="B61" s="1448"/>
      <c r="C61" s="95"/>
      <c r="D61" s="41" t="s">
        <v>49</v>
      </c>
      <c r="E61" s="315"/>
      <c r="F61" s="6"/>
      <c r="G61" s="6"/>
      <c r="H61" s="6"/>
      <c r="I61" s="6"/>
      <c r="J61" s="6"/>
      <c r="K61" s="6"/>
    </row>
    <row r="62" spans="2:11" ht="15.75" thickBot="1">
      <c r="B62" s="1449"/>
      <c r="C62" s="3"/>
      <c r="D62" s="41" t="s">
        <v>50</v>
      </c>
      <c r="E62" s="315"/>
      <c r="F62" s="6"/>
      <c r="G62" s="6"/>
      <c r="H62" s="6"/>
      <c r="I62" s="6"/>
      <c r="J62" s="6"/>
      <c r="K62" s="6"/>
    </row>
    <row r="63" spans="2:11" ht="15.75" thickBot="1">
      <c r="B63" s="2"/>
      <c r="C63" s="77"/>
      <c r="D63" s="6"/>
      <c r="E63" s="6"/>
      <c r="F63" s="6"/>
      <c r="G63" s="6"/>
      <c r="H63" s="6"/>
      <c r="I63" s="6"/>
      <c r="J63" s="6"/>
      <c r="K63" s="6"/>
    </row>
    <row r="64" spans="2:11" ht="15" customHeight="1" thickBot="1">
      <c r="B64" s="125" t="s">
        <v>54</v>
      </c>
      <c r="C64" s="126"/>
      <c r="D64" s="126"/>
      <c r="E64" s="127"/>
      <c r="F64" s="6"/>
      <c r="G64" s="6"/>
      <c r="H64" s="6"/>
      <c r="I64" s="6"/>
      <c r="J64" s="6"/>
      <c r="K64" s="6"/>
    </row>
    <row r="65" spans="2:11" ht="24.75" thickBot="1">
      <c r="B65" s="48" t="s">
        <v>55</v>
      </c>
      <c r="C65" s="41" t="s">
        <v>56</v>
      </c>
      <c r="D65" s="41" t="s">
        <v>57</v>
      </c>
      <c r="E65" s="41" t="s">
        <v>58</v>
      </c>
      <c r="F65" s="6"/>
      <c r="G65" s="6"/>
      <c r="H65" s="6"/>
      <c r="I65" s="6"/>
      <c r="J65" s="6"/>
    </row>
    <row r="66" spans="2:11" ht="72.75" thickBot="1">
      <c r="B66" s="50">
        <v>42401</v>
      </c>
      <c r="C66" s="41">
        <v>0.01</v>
      </c>
      <c r="D66" s="51" t="s">
        <v>487</v>
      </c>
      <c r="E66" s="41"/>
      <c r="F66" s="6"/>
      <c r="G66" s="6"/>
      <c r="H66" s="6"/>
      <c r="I66" s="6"/>
      <c r="J66" s="6"/>
    </row>
    <row r="67" spans="2:11" ht="15.75" thickBot="1">
      <c r="B67" s="2"/>
      <c r="C67" s="77"/>
      <c r="D67" s="6"/>
      <c r="E67" s="6"/>
      <c r="F67" s="6"/>
      <c r="G67" s="6"/>
      <c r="H67" s="6"/>
      <c r="I67" s="6"/>
      <c r="J67" s="6"/>
      <c r="K67" s="6"/>
    </row>
    <row r="68" spans="2:11">
      <c r="B68" s="136" t="s">
        <v>60</v>
      </c>
      <c r="C68" s="97"/>
      <c r="D68" s="6"/>
      <c r="E68" s="6"/>
      <c r="F68" s="6"/>
      <c r="G68" s="6"/>
      <c r="H68" s="6"/>
      <c r="I68" s="6"/>
      <c r="J68" s="6"/>
      <c r="K68" s="6"/>
    </row>
    <row r="69" spans="2:11" ht="14.45" customHeight="1">
      <c r="B69" s="1510" t="s">
        <v>488</v>
      </c>
      <c r="C69" s="1511"/>
      <c r="D69" s="1511"/>
      <c r="E69" s="1511"/>
      <c r="F69" s="1511"/>
      <c r="G69" s="1512"/>
      <c r="H69" s="6"/>
      <c r="I69" s="6"/>
      <c r="J69" s="6"/>
      <c r="K69" s="6"/>
    </row>
    <row r="70" spans="2:11">
      <c r="B70" s="1513"/>
      <c r="C70" s="1514"/>
      <c r="D70" s="1514"/>
      <c r="E70" s="1514"/>
      <c r="F70" s="1514"/>
      <c r="G70" s="1515"/>
      <c r="H70" s="6"/>
      <c r="I70" s="6"/>
      <c r="J70" s="6"/>
      <c r="K70" s="6"/>
    </row>
    <row r="71" spans="2:11">
      <c r="B71" s="168"/>
      <c r="C71" s="169"/>
      <c r="D71" s="169"/>
      <c r="E71" s="169"/>
      <c r="F71" s="169"/>
      <c r="G71" s="170"/>
      <c r="H71" s="6"/>
      <c r="I71" s="6"/>
      <c r="J71" s="6"/>
      <c r="K71" s="6"/>
    </row>
    <row r="72" spans="2:11" ht="15.75" thickBot="1">
      <c r="B72" s="6"/>
      <c r="D72" s="6"/>
      <c r="E72" s="6"/>
      <c r="F72" s="6"/>
      <c r="G72" s="6"/>
      <c r="H72" s="6"/>
      <c r="I72" s="6"/>
      <c r="J72" s="6"/>
      <c r="K72" s="6"/>
    </row>
    <row r="73" spans="2:11" ht="15.75" thickBot="1">
      <c r="B73" s="1450" t="s">
        <v>460</v>
      </c>
      <c r="C73" s="1451"/>
      <c r="D73" s="1452"/>
      <c r="E73" s="6"/>
      <c r="F73" s="6"/>
      <c r="G73" s="6"/>
      <c r="H73" s="6"/>
      <c r="I73" s="6"/>
      <c r="J73" s="6"/>
      <c r="K73" s="6"/>
    </row>
    <row r="74" spans="2:11" ht="108.75" thickBot="1">
      <c r="B74" s="48" t="s">
        <v>62</v>
      </c>
      <c r="C74" s="3"/>
      <c r="D74" s="41" t="s">
        <v>461</v>
      </c>
      <c r="E74" s="6"/>
      <c r="F74" s="6"/>
      <c r="G74" s="6"/>
      <c r="H74" s="6"/>
      <c r="I74" s="6"/>
      <c r="J74" s="6"/>
      <c r="K74" s="6"/>
    </row>
    <row r="75" spans="2:11">
      <c r="B75" s="1447" t="s">
        <v>64</v>
      </c>
      <c r="C75" s="95"/>
      <c r="D75" s="54" t="s">
        <v>65</v>
      </c>
      <c r="E75" s="6"/>
      <c r="F75" s="6"/>
      <c r="G75" s="6"/>
      <c r="H75" s="6"/>
      <c r="I75" s="6"/>
      <c r="J75" s="6"/>
      <c r="K75" s="6"/>
    </row>
    <row r="76" spans="2:11" ht="120">
      <c r="B76" s="1448"/>
      <c r="C76" s="95"/>
      <c r="D76" s="47" t="s">
        <v>462</v>
      </c>
      <c r="E76" s="6"/>
      <c r="F76" s="6"/>
      <c r="G76" s="6"/>
      <c r="H76" s="6"/>
      <c r="I76" s="6"/>
      <c r="J76" s="6"/>
      <c r="K76" s="6"/>
    </row>
    <row r="77" spans="2:11">
      <c r="B77" s="1448"/>
      <c r="C77" s="95"/>
      <c r="D77" s="54" t="s">
        <v>68</v>
      </c>
      <c r="E77" s="6"/>
      <c r="F77" s="6"/>
      <c r="G77" s="6"/>
      <c r="H77" s="6"/>
      <c r="I77" s="6"/>
      <c r="J77" s="6"/>
      <c r="K77" s="6"/>
    </row>
    <row r="78" spans="2:11">
      <c r="B78" s="1448"/>
      <c r="C78" s="95"/>
      <c r="D78" s="47" t="s">
        <v>70</v>
      </c>
      <c r="E78" s="6"/>
      <c r="F78" s="6"/>
      <c r="G78" s="6"/>
      <c r="H78" s="6"/>
      <c r="I78" s="6"/>
      <c r="J78" s="6"/>
      <c r="K78" s="6"/>
    </row>
    <row r="79" spans="2:11">
      <c r="B79" s="1448"/>
      <c r="C79" s="95"/>
      <c r="D79" s="54" t="s">
        <v>296</v>
      </c>
      <c r="E79" s="6"/>
      <c r="F79" s="6"/>
      <c r="G79" s="6"/>
      <c r="H79" s="6"/>
      <c r="I79" s="6"/>
      <c r="J79" s="6"/>
      <c r="K79" s="6"/>
    </row>
    <row r="80" spans="2:11" ht="36.75" thickBot="1">
      <c r="B80" s="1449"/>
      <c r="C80" s="3"/>
      <c r="D80" s="41" t="s">
        <v>463</v>
      </c>
      <c r="E80" s="6"/>
      <c r="F80" s="6"/>
      <c r="G80" s="6"/>
      <c r="H80" s="6"/>
      <c r="I80" s="6"/>
      <c r="J80" s="6"/>
      <c r="K80" s="6"/>
    </row>
    <row r="81" spans="2:11">
      <c r="B81" s="1447" t="s">
        <v>77</v>
      </c>
      <c r="C81" s="100"/>
      <c r="D81" s="1447"/>
      <c r="E81" s="6"/>
      <c r="F81" s="6"/>
      <c r="G81" s="6"/>
      <c r="H81" s="6"/>
      <c r="I81" s="6"/>
      <c r="J81" s="6"/>
      <c r="K81" s="6"/>
    </row>
    <row r="82" spans="2:11" ht="15.75" thickBot="1">
      <c r="B82" s="1449"/>
      <c r="C82" s="101"/>
      <c r="D82" s="1449"/>
      <c r="E82" s="6"/>
      <c r="F82" s="6"/>
      <c r="G82" s="6"/>
      <c r="H82" s="6"/>
      <c r="I82" s="6"/>
      <c r="J82" s="6"/>
      <c r="K82" s="6"/>
    </row>
    <row r="83" spans="2:11" ht="108">
      <c r="B83" s="1447" t="s">
        <v>78</v>
      </c>
      <c r="C83" s="95"/>
      <c r="D83" s="47" t="s">
        <v>364</v>
      </c>
      <c r="E83" s="6"/>
      <c r="F83" s="6"/>
      <c r="G83" s="6"/>
      <c r="H83" s="6"/>
      <c r="I83" s="6"/>
      <c r="J83" s="6"/>
      <c r="K83" s="6"/>
    </row>
    <row r="84" spans="2:11" ht="144">
      <c r="B84" s="1448"/>
      <c r="C84" s="95"/>
      <c r="D84" s="47" t="s">
        <v>365</v>
      </c>
      <c r="E84" s="6"/>
      <c r="F84" s="6"/>
      <c r="G84" s="6"/>
      <c r="H84" s="6"/>
      <c r="I84" s="6"/>
      <c r="J84" s="6"/>
      <c r="K84" s="6"/>
    </row>
    <row r="85" spans="2:11" ht="72">
      <c r="B85" s="1448"/>
      <c r="C85" s="95"/>
      <c r="D85" s="47" t="s">
        <v>367</v>
      </c>
      <c r="E85" s="6"/>
      <c r="F85" s="6"/>
      <c r="G85" s="6"/>
      <c r="H85" s="6"/>
      <c r="I85" s="6"/>
      <c r="J85" s="6"/>
      <c r="K85" s="6"/>
    </row>
    <row r="86" spans="2:11" ht="36">
      <c r="B86" s="1448"/>
      <c r="C86" s="95"/>
      <c r="D86" s="47" t="s">
        <v>464</v>
      </c>
      <c r="E86" s="6"/>
      <c r="F86" s="6"/>
      <c r="G86" s="6"/>
      <c r="H86" s="6"/>
      <c r="I86" s="6"/>
      <c r="J86" s="6"/>
      <c r="K86" s="6"/>
    </row>
    <row r="87" spans="2:11" ht="192.75" thickBot="1">
      <c r="B87" s="1449"/>
      <c r="C87" s="3"/>
      <c r="D87" s="41" t="s">
        <v>465</v>
      </c>
      <c r="E87" s="6"/>
      <c r="F87" s="6"/>
      <c r="G87" s="6"/>
      <c r="H87" s="6"/>
      <c r="I87" s="6"/>
      <c r="J87" s="6"/>
      <c r="K87" s="6"/>
    </row>
    <row r="88" spans="2:11" ht="24">
      <c r="B88" s="1447" t="s">
        <v>95</v>
      </c>
      <c r="C88" s="95"/>
      <c r="D88" s="54" t="s">
        <v>466</v>
      </c>
      <c r="E88" s="6"/>
      <c r="F88" s="6"/>
      <c r="G88" s="6"/>
      <c r="H88" s="6"/>
      <c r="I88" s="6"/>
      <c r="J88" s="6"/>
      <c r="K88" s="6"/>
    </row>
    <row r="89" spans="2:11">
      <c r="B89" s="1448"/>
      <c r="C89" s="95"/>
      <c r="D89" s="17"/>
      <c r="E89" s="6"/>
      <c r="F89" s="6"/>
      <c r="G89" s="6"/>
      <c r="H89" s="6"/>
      <c r="I89" s="6"/>
      <c r="J89" s="6"/>
      <c r="K89" s="6"/>
    </row>
    <row r="90" spans="2:11">
      <c r="B90" s="1448"/>
      <c r="C90" s="95"/>
      <c r="D90" s="47" t="s">
        <v>96</v>
      </c>
      <c r="E90" s="6"/>
      <c r="F90" s="6"/>
      <c r="G90" s="6"/>
      <c r="H90" s="6"/>
      <c r="I90" s="6"/>
      <c r="J90" s="6"/>
      <c r="K90" s="6"/>
    </row>
    <row r="91" spans="2:11" ht="37.5">
      <c r="B91" s="1448"/>
      <c r="C91" s="95"/>
      <c r="D91" s="47" t="s">
        <v>467</v>
      </c>
      <c r="E91" s="6"/>
      <c r="F91" s="6"/>
      <c r="G91" s="6"/>
      <c r="H91" s="6"/>
      <c r="I91" s="6"/>
      <c r="J91" s="6"/>
      <c r="K91" s="6"/>
    </row>
    <row r="92" spans="2:11" ht="37.5">
      <c r="B92" s="1448"/>
      <c r="C92" s="95"/>
      <c r="D92" s="47" t="s">
        <v>468</v>
      </c>
      <c r="E92" s="6"/>
      <c r="F92" s="6"/>
      <c r="G92" s="6"/>
      <c r="H92" s="6"/>
      <c r="I92" s="6"/>
      <c r="J92" s="6"/>
      <c r="K92" s="6"/>
    </row>
    <row r="93" spans="2:11" ht="49.5">
      <c r="B93" s="1448"/>
      <c r="C93" s="95"/>
      <c r="D93" s="47" t="s">
        <v>469</v>
      </c>
      <c r="E93" s="6"/>
      <c r="F93" s="6"/>
      <c r="G93" s="6"/>
      <c r="H93" s="6"/>
      <c r="I93" s="6"/>
      <c r="J93" s="6"/>
      <c r="K93" s="6"/>
    </row>
    <row r="94" spans="2:11">
      <c r="B94" s="1448"/>
      <c r="C94" s="95"/>
      <c r="D94" s="54" t="s">
        <v>254</v>
      </c>
      <c r="E94" s="6"/>
      <c r="F94" s="6"/>
      <c r="G94" s="6"/>
      <c r="H94" s="6"/>
      <c r="I94" s="6"/>
      <c r="J94" s="6"/>
      <c r="K94" s="6"/>
    </row>
    <row r="95" spans="2:11" ht="24">
      <c r="B95" s="1448"/>
      <c r="C95" s="95"/>
      <c r="D95" s="54" t="s">
        <v>470</v>
      </c>
      <c r="E95" s="6"/>
      <c r="F95" s="6"/>
      <c r="G95" s="6"/>
      <c r="H95" s="6"/>
      <c r="I95" s="6"/>
      <c r="J95" s="6"/>
      <c r="K95" s="6"/>
    </row>
    <row r="96" spans="2:11">
      <c r="B96" s="1448"/>
      <c r="C96" s="95"/>
      <c r="D96" s="17"/>
      <c r="E96" s="6"/>
      <c r="F96" s="6"/>
      <c r="G96" s="6"/>
      <c r="H96" s="6"/>
      <c r="I96" s="6"/>
      <c r="J96" s="6"/>
      <c r="K96" s="6"/>
    </row>
    <row r="97" spans="2:11">
      <c r="B97" s="1448"/>
      <c r="C97" s="95"/>
      <c r="D97" s="47" t="s">
        <v>96</v>
      </c>
      <c r="E97" s="6"/>
      <c r="F97" s="6"/>
      <c r="G97" s="6"/>
      <c r="H97" s="6"/>
      <c r="I97" s="6"/>
      <c r="J97" s="6"/>
      <c r="K97" s="6"/>
    </row>
    <row r="98" spans="2:11" ht="61.5">
      <c r="B98" s="1448"/>
      <c r="C98" s="95"/>
      <c r="D98" s="47" t="s">
        <v>471</v>
      </c>
      <c r="E98" s="6"/>
      <c r="F98" s="6"/>
      <c r="G98" s="6"/>
      <c r="H98" s="6"/>
      <c r="I98" s="6"/>
      <c r="J98" s="6"/>
      <c r="K98" s="6"/>
    </row>
    <row r="99" spans="2:11" ht="38.25" thickBot="1">
      <c r="B99" s="1449"/>
      <c r="C99" s="3"/>
      <c r="D99" s="41" t="s">
        <v>472</v>
      </c>
      <c r="E99" s="6"/>
      <c r="F99" s="6"/>
      <c r="G99" s="6"/>
      <c r="H99" s="6"/>
      <c r="I99" s="6"/>
      <c r="J99" s="6"/>
      <c r="K99" s="6"/>
    </row>
    <row r="100" spans="2:11">
      <c r="B100" s="6"/>
      <c r="D100" s="6"/>
      <c r="E100" s="6"/>
      <c r="F100" s="6"/>
      <c r="G100" s="6"/>
      <c r="H100" s="6"/>
      <c r="I100" s="6"/>
      <c r="J100" s="6"/>
      <c r="K100" s="6"/>
    </row>
    <row r="101" spans="2:11">
      <c r="B101" s="6"/>
      <c r="D101" s="6"/>
      <c r="E101" s="6"/>
      <c r="F101" s="6"/>
      <c r="G101" s="6"/>
      <c r="H101" s="6"/>
      <c r="I101" s="6"/>
      <c r="J101" s="6"/>
      <c r="K101" s="6"/>
    </row>
    <row r="102" spans="2:11">
      <c r="B102" s="6"/>
      <c r="D102" s="6"/>
      <c r="E102" s="6"/>
      <c r="F102" s="6"/>
      <c r="G102" s="6"/>
      <c r="H102" s="6"/>
      <c r="I102" s="6"/>
      <c r="J102" s="6"/>
      <c r="K102" s="6"/>
    </row>
    <row r="103" spans="2:11">
      <c r="B103" s="6"/>
      <c r="D103" s="6"/>
      <c r="E103" s="6"/>
      <c r="F103" s="6"/>
      <c r="G103" s="6"/>
      <c r="H103" s="6"/>
      <c r="I103" s="6"/>
      <c r="J103" s="6"/>
      <c r="K103" s="6"/>
    </row>
    <row r="104" spans="2:11">
      <c r="B104" s="6"/>
      <c r="D104" s="6"/>
      <c r="E104" s="6"/>
      <c r="F104" s="6"/>
      <c r="G104" s="6"/>
      <c r="H104" s="6"/>
      <c r="I104" s="6"/>
      <c r="J104" s="6"/>
      <c r="K104" s="6"/>
    </row>
    <row r="105" spans="2:11">
      <c r="B105" s="6"/>
      <c r="D105" s="6"/>
      <c r="E105" s="6"/>
      <c r="F105" s="6"/>
      <c r="G105" s="6"/>
      <c r="H105" s="6"/>
      <c r="I105" s="6"/>
      <c r="J105" s="6"/>
      <c r="K105" s="6"/>
    </row>
    <row r="106" spans="2:11">
      <c r="B106" s="6"/>
      <c r="D106" s="6"/>
      <c r="E106" s="6"/>
      <c r="F106" s="6"/>
      <c r="G106" s="6"/>
      <c r="H106" s="6"/>
      <c r="I106" s="6"/>
      <c r="J106" s="6"/>
      <c r="K106" s="6"/>
    </row>
    <row r="107" spans="2:11">
      <c r="B107" s="6"/>
      <c r="D107" s="6"/>
      <c r="E107" s="6"/>
      <c r="F107" s="6"/>
      <c r="G107" s="6"/>
      <c r="H107" s="6"/>
      <c r="I107" s="6"/>
      <c r="J107" s="6"/>
      <c r="K107" s="6"/>
    </row>
    <row r="108" spans="2:11">
      <c r="B108" s="6"/>
      <c r="D108" s="6"/>
      <c r="E108" s="6"/>
      <c r="F108" s="6"/>
      <c r="G108" s="6"/>
      <c r="H108" s="6"/>
      <c r="I108" s="6"/>
      <c r="J108" s="6"/>
      <c r="K108" s="6"/>
    </row>
    <row r="109" spans="2:11">
      <c r="B109" s="6"/>
      <c r="D109" s="6"/>
      <c r="E109" s="6"/>
      <c r="F109" s="6"/>
      <c r="G109" s="6"/>
      <c r="H109" s="6"/>
      <c r="I109" s="6"/>
      <c r="J109" s="6"/>
      <c r="K109" s="6"/>
    </row>
    <row r="110" spans="2:11">
      <c r="B110" s="6"/>
      <c r="D110" s="6"/>
      <c r="E110" s="6"/>
      <c r="F110" s="6"/>
      <c r="G110" s="6"/>
      <c r="H110" s="6"/>
      <c r="I110" s="6"/>
      <c r="J110" s="6"/>
      <c r="K110" s="6"/>
    </row>
    <row r="111" spans="2:11">
      <c r="B111" s="6"/>
      <c r="D111" s="6"/>
      <c r="E111" s="6"/>
      <c r="F111" s="6"/>
      <c r="G111" s="6"/>
      <c r="H111" s="6"/>
      <c r="I111" s="6"/>
      <c r="J111" s="6"/>
      <c r="K111" s="6"/>
    </row>
    <row r="112" spans="2:11">
      <c r="B112" s="6"/>
      <c r="D112" s="6"/>
      <c r="E112" s="6"/>
      <c r="F112" s="6"/>
      <c r="G112" s="6"/>
      <c r="H112" s="6"/>
      <c r="I112" s="6"/>
      <c r="J112" s="6"/>
      <c r="K112" s="6"/>
    </row>
    <row r="113" spans="2:11">
      <c r="B113" s="6"/>
      <c r="D113" s="6"/>
      <c r="E113" s="6"/>
      <c r="F113" s="6"/>
      <c r="G113" s="6"/>
      <c r="H113" s="6"/>
      <c r="I113" s="6"/>
      <c r="J113" s="6"/>
      <c r="K113" s="6"/>
    </row>
    <row r="114" spans="2:11">
      <c r="B114" s="6"/>
      <c r="D114" s="6"/>
      <c r="E114" s="6"/>
      <c r="F114" s="6"/>
      <c r="G114" s="6"/>
      <c r="H114" s="6"/>
      <c r="I114" s="6"/>
      <c r="J114" s="6"/>
      <c r="K114" s="6"/>
    </row>
    <row r="115" spans="2:11">
      <c r="B115" s="6"/>
      <c r="D115" s="6"/>
      <c r="E115" s="6"/>
      <c r="F115" s="6"/>
      <c r="G115" s="6"/>
      <c r="H115" s="6"/>
      <c r="I115" s="6"/>
      <c r="J115" s="6"/>
      <c r="K115" s="6"/>
    </row>
    <row r="116" spans="2:11">
      <c r="B116" s="6"/>
      <c r="D116" s="6"/>
      <c r="E116" s="6"/>
      <c r="F116" s="6"/>
      <c r="G116" s="6"/>
      <c r="H116" s="6"/>
      <c r="I116" s="6"/>
      <c r="J116" s="6"/>
      <c r="K116" s="6"/>
    </row>
    <row r="117" spans="2:11">
      <c r="B117" s="6"/>
      <c r="D117" s="6"/>
      <c r="E117" s="6"/>
      <c r="F117" s="6"/>
      <c r="G117" s="6"/>
      <c r="H117" s="6"/>
      <c r="I117" s="6"/>
      <c r="J117" s="6"/>
      <c r="K117" s="6"/>
    </row>
    <row r="118" spans="2:11">
      <c r="B118" s="6"/>
      <c r="D118" s="6"/>
      <c r="E118" s="6"/>
      <c r="F118" s="6"/>
      <c r="G118" s="6"/>
      <c r="H118" s="6"/>
      <c r="I118" s="6"/>
      <c r="J118" s="6"/>
      <c r="K118" s="6"/>
    </row>
    <row r="119" spans="2:11">
      <c r="B119" s="6"/>
      <c r="D119" s="6"/>
      <c r="E119" s="6"/>
      <c r="F119" s="6"/>
      <c r="G119" s="6"/>
      <c r="H119" s="6"/>
      <c r="I119" s="6"/>
      <c r="J119" s="6"/>
      <c r="K119" s="6"/>
    </row>
    <row r="120" spans="2:11">
      <c r="B120" s="6"/>
      <c r="D120" s="6"/>
      <c r="E120" s="6"/>
      <c r="F120" s="6"/>
      <c r="G120" s="6"/>
      <c r="H120" s="6"/>
      <c r="I120" s="6"/>
      <c r="J120" s="6"/>
      <c r="K120" s="6"/>
    </row>
    <row r="121" spans="2:11">
      <c r="B121" s="6"/>
      <c r="D121" s="6"/>
      <c r="E121" s="6"/>
      <c r="F121" s="6"/>
      <c r="G121" s="6"/>
      <c r="H121" s="6"/>
      <c r="I121" s="6"/>
      <c r="J121" s="6"/>
      <c r="K121" s="6"/>
    </row>
    <row r="122" spans="2:11">
      <c r="B122" s="6"/>
      <c r="D122" s="6"/>
      <c r="E122" s="6"/>
      <c r="F122" s="6"/>
      <c r="G122" s="6"/>
      <c r="H122" s="6"/>
      <c r="I122" s="6"/>
      <c r="J122" s="6"/>
      <c r="K122" s="6"/>
    </row>
    <row r="123" spans="2:11">
      <c r="B123" s="6"/>
      <c r="D123" s="6"/>
      <c r="E123" s="6"/>
      <c r="F123" s="6"/>
      <c r="G123" s="6"/>
      <c r="H123" s="6"/>
      <c r="I123" s="6"/>
      <c r="J123" s="6"/>
      <c r="K123" s="6"/>
    </row>
    <row r="124" spans="2:11">
      <c r="B124" s="6"/>
      <c r="D124" s="6"/>
      <c r="E124" s="6"/>
      <c r="F124" s="6"/>
      <c r="G124" s="6"/>
      <c r="H124" s="6"/>
      <c r="I124" s="6"/>
      <c r="J124" s="6"/>
      <c r="K124" s="6"/>
    </row>
    <row r="125" spans="2:11">
      <c r="B125" s="6"/>
      <c r="D125" s="6"/>
      <c r="E125" s="6"/>
      <c r="F125" s="6"/>
      <c r="G125" s="6"/>
      <c r="H125" s="6"/>
      <c r="I125" s="6"/>
      <c r="J125" s="6"/>
      <c r="K125" s="6"/>
    </row>
    <row r="126" spans="2:11">
      <c r="B126" s="6"/>
      <c r="D126" s="6"/>
      <c r="E126" s="6"/>
      <c r="F126" s="6"/>
      <c r="G126" s="6"/>
      <c r="H126" s="6"/>
      <c r="I126" s="6"/>
      <c r="J126" s="6"/>
      <c r="K126" s="6"/>
    </row>
    <row r="127" spans="2:11">
      <c r="B127" s="6"/>
      <c r="D127" s="6"/>
      <c r="E127" s="6"/>
      <c r="F127" s="6"/>
      <c r="G127" s="6"/>
      <c r="H127" s="6"/>
      <c r="I127" s="6"/>
      <c r="J127" s="6"/>
      <c r="K127" s="6"/>
    </row>
    <row r="128" spans="2:11">
      <c r="B128" s="6"/>
      <c r="D128" s="6"/>
      <c r="E128" s="6"/>
      <c r="F128" s="6"/>
      <c r="G128" s="6"/>
      <c r="H128" s="6"/>
      <c r="I128" s="6"/>
      <c r="J128" s="6"/>
      <c r="K128" s="6"/>
    </row>
    <row r="129" spans="2:11">
      <c r="B129" s="6"/>
      <c r="D129" s="6"/>
      <c r="E129" s="6"/>
      <c r="F129" s="6"/>
      <c r="G129" s="6"/>
      <c r="H129" s="6"/>
      <c r="I129" s="6"/>
      <c r="J129" s="6"/>
      <c r="K129" s="6"/>
    </row>
    <row r="130" spans="2:11">
      <c r="B130" s="6"/>
      <c r="D130" s="6"/>
      <c r="E130" s="6"/>
      <c r="F130" s="6"/>
      <c r="G130" s="6"/>
      <c r="H130" s="6"/>
      <c r="I130" s="6"/>
      <c r="J130" s="6"/>
      <c r="K130" s="6"/>
    </row>
    <row r="131" spans="2:11">
      <c r="B131" s="6"/>
      <c r="D131" s="6"/>
      <c r="E131" s="6"/>
      <c r="F131" s="6"/>
      <c r="G131" s="6"/>
      <c r="H131" s="6"/>
      <c r="I131" s="6"/>
      <c r="J131" s="6"/>
      <c r="K131" s="6"/>
    </row>
    <row r="132" spans="2:11">
      <c r="B132" s="6"/>
      <c r="D132" s="6"/>
      <c r="E132" s="6"/>
      <c r="F132" s="6"/>
      <c r="G132" s="6"/>
      <c r="H132" s="6"/>
      <c r="I132" s="6"/>
      <c r="J132" s="6"/>
      <c r="K132" s="6"/>
    </row>
    <row r="133" spans="2:11">
      <c r="B133" s="6"/>
      <c r="D133" s="6"/>
      <c r="E133" s="6"/>
      <c r="F133" s="6"/>
      <c r="G133" s="6"/>
      <c r="H133" s="6"/>
      <c r="I133" s="6"/>
      <c r="J133" s="6"/>
      <c r="K133" s="6"/>
    </row>
    <row r="134" spans="2:11">
      <c r="B134" s="6"/>
      <c r="D134" s="6"/>
      <c r="E134" s="6"/>
      <c r="F134" s="6"/>
      <c r="G134" s="6"/>
      <c r="H134" s="6"/>
      <c r="I134" s="6"/>
      <c r="J134" s="6"/>
      <c r="K134" s="6"/>
    </row>
    <row r="135" spans="2:11">
      <c r="B135" s="6"/>
      <c r="D135" s="6"/>
      <c r="E135" s="6"/>
      <c r="F135" s="6"/>
      <c r="G135" s="6"/>
      <c r="H135" s="6"/>
      <c r="I135" s="6"/>
      <c r="J135" s="6"/>
      <c r="K135" s="6"/>
    </row>
    <row r="136" spans="2:11">
      <c r="B136" s="6"/>
      <c r="D136" s="6"/>
      <c r="E136" s="6"/>
      <c r="F136" s="6"/>
      <c r="G136" s="6"/>
      <c r="H136" s="6"/>
      <c r="I136" s="6"/>
      <c r="J136" s="6"/>
      <c r="K136" s="6"/>
    </row>
    <row r="137" spans="2:11">
      <c r="B137" s="6"/>
      <c r="D137" s="6"/>
      <c r="E137" s="6"/>
      <c r="F137" s="6"/>
      <c r="G137" s="6"/>
      <c r="H137" s="6"/>
      <c r="I137" s="6"/>
      <c r="J137" s="6"/>
      <c r="K137" s="6"/>
    </row>
    <row r="138" spans="2:11">
      <c r="B138" s="6"/>
      <c r="D138" s="6"/>
      <c r="E138" s="6"/>
      <c r="F138" s="6"/>
      <c r="G138" s="6"/>
      <c r="H138" s="6"/>
      <c r="I138" s="6"/>
      <c r="J138" s="6"/>
      <c r="K138" s="6"/>
    </row>
    <row r="139" spans="2:11">
      <c r="B139" s="6"/>
      <c r="D139" s="6"/>
      <c r="E139" s="6"/>
      <c r="F139" s="6"/>
      <c r="G139" s="6"/>
      <c r="H139" s="6"/>
      <c r="I139" s="6"/>
      <c r="J139" s="6"/>
      <c r="K139" s="6"/>
    </row>
    <row r="140" spans="2:11">
      <c r="B140" s="6"/>
      <c r="D140" s="6"/>
      <c r="E140" s="6"/>
      <c r="F140" s="6"/>
      <c r="G140" s="6"/>
      <c r="H140" s="6"/>
      <c r="I140" s="6"/>
      <c r="J140" s="6"/>
      <c r="K140" s="6"/>
    </row>
    <row r="141" spans="2:11">
      <c r="B141" s="6"/>
      <c r="D141" s="6"/>
      <c r="E141" s="6"/>
      <c r="F141" s="6"/>
      <c r="G141" s="6"/>
      <c r="H141" s="6"/>
      <c r="I141" s="6"/>
      <c r="J141" s="6"/>
      <c r="K141" s="6"/>
    </row>
    <row r="142" spans="2:11">
      <c r="B142" s="6"/>
      <c r="D142" s="6"/>
      <c r="E142" s="6"/>
      <c r="F142" s="6"/>
      <c r="G142" s="6"/>
      <c r="H142" s="6"/>
      <c r="I142" s="6"/>
      <c r="J142" s="6"/>
      <c r="K142" s="6"/>
    </row>
    <row r="143" spans="2:11">
      <c r="B143" s="6"/>
      <c r="D143" s="6"/>
      <c r="E143" s="6"/>
      <c r="F143" s="6"/>
      <c r="G143" s="6"/>
      <c r="H143" s="6"/>
      <c r="I143" s="6"/>
      <c r="J143" s="6"/>
      <c r="K143" s="6"/>
    </row>
    <row r="144" spans="2:11">
      <c r="B144" s="6"/>
      <c r="D144" s="6"/>
      <c r="E144" s="6"/>
      <c r="F144" s="6"/>
      <c r="G144" s="6"/>
      <c r="H144" s="6"/>
      <c r="I144" s="6"/>
      <c r="J144" s="6"/>
      <c r="K144" s="6"/>
    </row>
    <row r="145" spans="2:11">
      <c r="B145" s="6"/>
      <c r="D145" s="6"/>
      <c r="E145" s="6"/>
      <c r="F145" s="6"/>
      <c r="G145" s="6"/>
      <c r="H145" s="6"/>
      <c r="I145" s="6"/>
      <c r="J145" s="6"/>
      <c r="K145" s="6"/>
    </row>
    <row r="146" spans="2:11">
      <c r="B146" s="6"/>
      <c r="D146" s="6"/>
      <c r="E146" s="6"/>
      <c r="F146" s="6"/>
      <c r="G146" s="6"/>
      <c r="H146" s="6"/>
      <c r="I146" s="6"/>
      <c r="J146" s="6"/>
      <c r="K146" s="6"/>
    </row>
    <row r="147" spans="2:11">
      <c r="B147" s="6"/>
      <c r="D147" s="6"/>
      <c r="E147" s="6"/>
      <c r="F147" s="6"/>
      <c r="G147" s="6"/>
      <c r="H147" s="6"/>
      <c r="I147" s="6"/>
      <c r="J147" s="6"/>
      <c r="K147" s="6"/>
    </row>
    <row r="148" spans="2:11">
      <c r="B148" s="6"/>
      <c r="D148" s="6"/>
      <c r="E148" s="6"/>
      <c r="F148" s="6"/>
      <c r="G148" s="6"/>
      <c r="H148" s="6"/>
      <c r="I148" s="6"/>
      <c r="J148" s="6"/>
      <c r="K148" s="6"/>
    </row>
    <row r="149" spans="2:11">
      <c r="B149" s="6"/>
      <c r="D149" s="6"/>
      <c r="E149" s="6"/>
      <c r="F149" s="6"/>
      <c r="G149" s="6"/>
      <c r="H149" s="6"/>
      <c r="I149" s="6"/>
      <c r="J149" s="6"/>
      <c r="K149" s="6"/>
    </row>
    <row r="150" spans="2:11">
      <c r="B150" s="6"/>
      <c r="D150" s="6"/>
      <c r="E150" s="6"/>
      <c r="F150" s="6"/>
      <c r="G150" s="6"/>
      <c r="H150" s="6"/>
      <c r="I150" s="6"/>
      <c r="J150" s="6"/>
      <c r="K150" s="6"/>
    </row>
    <row r="151" spans="2:11">
      <c r="B151" s="6"/>
      <c r="D151" s="6"/>
      <c r="E151" s="6"/>
      <c r="F151" s="6"/>
      <c r="G151" s="6"/>
      <c r="H151" s="6"/>
      <c r="I151" s="6"/>
      <c r="J151" s="6"/>
      <c r="K151" s="6"/>
    </row>
    <row r="152" spans="2:11">
      <c r="B152" s="6"/>
      <c r="D152" s="6"/>
      <c r="E152" s="6"/>
      <c r="F152" s="6"/>
      <c r="G152" s="6"/>
      <c r="H152" s="6"/>
      <c r="I152" s="6"/>
      <c r="J152" s="6"/>
      <c r="K152" s="6"/>
    </row>
    <row r="153" spans="2:11">
      <c r="B153" s="6"/>
      <c r="D153" s="6"/>
      <c r="E153" s="6"/>
      <c r="F153" s="6"/>
      <c r="G153" s="6"/>
      <c r="H153" s="6"/>
      <c r="I153" s="6"/>
      <c r="J153" s="6"/>
      <c r="K153" s="6"/>
    </row>
    <row r="154" spans="2:11">
      <c r="B154" s="6"/>
      <c r="D154" s="6"/>
      <c r="E154" s="6"/>
      <c r="F154" s="6"/>
      <c r="G154" s="6"/>
      <c r="H154" s="6"/>
      <c r="I154" s="6"/>
      <c r="J154" s="6"/>
      <c r="K154" s="6"/>
    </row>
    <row r="155" spans="2:11">
      <c r="B155" s="6"/>
      <c r="D155" s="6"/>
      <c r="E155" s="6"/>
      <c r="F155" s="6"/>
      <c r="G155" s="6"/>
      <c r="H155" s="6"/>
      <c r="I155" s="6"/>
      <c r="J155" s="6"/>
      <c r="K155" s="6"/>
    </row>
    <row r="156" spans="2:11">
      <c r="B156" s="6"/>
      <c r="D156" s="6"/>
      <c r="E156" s="6"/>
      <c r="F156" s="6"/>
      <c r="G156" s="6"/>
      <c r="H156" s="6"/>
      <c r="I156" s="6"/>
      <c r="J156" s="6"/>
      <c r="K156" s="6"/>
    </row>
    <row r="157" spans="2:11">
      <c r="B157" s="6"/>
      <c r="D157" s="6"/>
      <c r="E157" s="6"/>
      <c r="F157" s="6"/>
      <c r="G157" s="6"/>
      <c r="H157" s="6"/>
      <c r="I157" s="6"/>
      <c r="J157" s="6"/>
      <c r="K157" s="6"/>
    </row>
    <row r="158" spans="2:11">
      <c r="B158" s="6"/>
      <c r="D158" s="6"/>
      <c r="E158" s="6"/>
      <c r="F158" s="6"/>
      <c r="G158" s="6"/>
      <c r="H158" s="6"/>
      <c r="I158" s="6"/>
      <c r="J158" s="6"/>
      <c r="K158" s="6"/>
    </row>
    <row r="159" spans="2:11">
      <c r="B159" s="6"/>
      <c r="D159" s="6"/>
      <c r="E159" s="6"/>
      <c r="F159" s="6"/>
      <c r="G159" s="6"/>
      <c r="H159" s="6"/>
      <c r="I159" s="6"/>
      <c r="J159" s="6"/>
      <c r="K159" s="6"/>
    </row>
    <row r="160" spans="2:11">
      <c r="B160" s="6"/>
      <c r="D160" s="6"/>
      <c r="E160" s="6"/>
      <c r="F160" s="6"/>
      <c r="G160" s="6"/>
      <c r="H160" s="6"/>
      <c r="I160" s="6"/>
      <c r="J160" s="6"/>
      <c r="K160" s="6"/>
    </row>
    <row r="161" spans="2:11">
      <c r="B161" s="6"/>
      <c r="D161" s="6"/>
      <c r="E161" s="6"/>
      <c r="F161" s="6"/>
      <c r="G161" s="6"/>
      <c r="H161" s="6"/>
      <c r="I161" s="6"/>
      <c r="J161" s="6"/>
      <c r="K161" s="6"/>
    </row>
    <row r="162" spans="2:11">
      <c r="B162" s="6"/>
      <c r="D162" s="6"/>
      <c r="E162" s="6"/>
      <c r="F162" s="6"/>
      <c r="G162" s="6"/>
      <c r="H162" s="6"/>
      <c r="I162" s="6"/>
      <c r="J162" s="6"/>
      <c r="K162" s="6"/>
    </row>
    <row r="163" spans="2:11">
      <c r="B163" s="6"/>
      <c r="D163" s="6"/>
      <c r="E163" s="6"/>
      <c r="F163" s="6"/>
      <c r="G163" s="6"/>
      <c r="H163" s="6"/>
      <c r="I163" s="6"/>
      <c r="J163" s="6"/>
      <c r="K163" s="6"/>
    </row>
    <row r="164" spans="2:11">
      <c r="B164" s="6"/>
      <c r="D164" s="6"/>
      <c r="E164" s="6"/>
      <c r="F164" s="6"/>
      <c r="G164" s="6"/>
      <c r="H164" s="6"/>
      <c r="I164" s="6"/>
      <c r="J164" s="6"/>
      <c r="K164" s="6"/>
    </row>
    <row r="165" spans="2:11">
      <c r="B165" s="6"/>
      <c r="D165" s="6"/>
      <c r="E165" s="6"/>
      <c r="F165" s="6"/>
      <c r="G165" s="6"/>
      <c r="H165" s="6"/>
      <c r="I165" s="6"/>
      <c r="J165" s="6"/>
      <c r="K165" s="6"/>
    </row>
    <row r="166" spans="2:11">
      <c r="B166" s="6"/>
      <c r="D166" s="6"/>
      <c r="E166" s="6"/>
      <c r="F166" s="6"/>
      <c r="G166" s="6"/>
      <c r="H166" s="6"/>
      <c r="I166" s="6"/>
      <c r="J166" s="6"/>
      <c r="K166" s="6"/>
    </row>
    <row r="167" spans="2:11">
      <c r="B167" s="6"/>
      <c r="D167" s="6"/>
      <c r="E167" s="6"/>
      <c r="F167" s="6"/>
      <c r="G167" s="6"/>
      <c r="H167" s="6"/>
      <c r="I167" s="6"/>
      <c r="J167" s="6"/>
      <c r="K167" s="6"/>
    </row>
    <row r="168" spans="2:11">
      <c r="B168" s="6"/>
      <c r="D168" s="6"/>
      <c r="E168" s="6"/>
      <c r="F168" s="6"/>
      <c r="G168" s="6"/>
      <c r="H168" s="6"/>
      <c r="I168" s="6"/>
      <c r="J168" s="6"/>
      <c r="K168" s="6"/>
    </row>
    <row r="169" spans="2:11">
      <c r="B169" s="6"/>
      <c r="D169" s="6"/>
      <c r="E169" s="6"/>
      <c r="F169" s="6"/>
      <c r="G169" s="6"/>
      <c r="H169" s="6"/>
      <c r="I169" s="6"/>
      <c r="J169" s="6"/>
      <c r="K169" s="6"/>
    </row>
    <row r="170" spans="2:11">
      <c r="B170" s="6"/>
      <c r="D170" s="6"/>
      <c r="E170" s="6"/>
      <c r="F170" s="6"/>
      <c r="G170" s="6"/>
      <c r="H170" s="6"/>
      <c r="I170" s="6"/>
      <c r="J170" s="6"/>
      <c r="K170" s="6"/>
    </row>
    <row r="171" spans="2:11">
      <c r="B171" s="6"/>
      <c r="D171" s="6"/>
      <c r="E171" s="6"/>
      <c r="F171" s="6"/>
      <c r="G171" s="6"/>
      <c r="H171" s="6"/>
      <c r="I171" s="6"/>
      <c r="J171" s="6"/>
      <c r="K171" s="6"/>
    </row>
    <row r="172" spans="2:11">
      <c r="B172" s="6"/>
      <c r="D172" s="6"/>
      <c r="E172" s="6"/>
      <c r="F172" s="6"/>
      <c r="G172" s="6"/>
      <c r="H172" s="6"/>
      <c r="I172" s="6"/>
      <c r="J172" s="6"/>
      <c r="K172" s="6"/>
    </row>
    <row r="173" spans="2:11">
      <c r="B173" s="6"/>
      <c r="D173" s="6"/>
      <c r="E173" s="6"/>
      <c r="F173" s="6"/>
      <c r="G173" s="6"/>
      <c r="H173" s="6"/>
      <c r="I173" s="6"/>
      <c r="J173" s="6"/>
      <c r="K173" s="6"/>
    </row>
    <row r="174" spans="2:11">
      <c r="B174" s="6"/>
      <c r="D174" s="6"/>
      <c r="E174" s="6"/>
      <c r="F174" s="6"/>
      <c r="G174" s="6"/>
      <c r="H174" s="6"/>
      <c r="I174" s="6"/>
      <c r="J174" s="6"/>
      <c r="K174" s="6"/>
    </row>
    <row r="175" spans="2:11">
      <c r="B175" s="6"/>
      <c r="D175" s="6"/>
      <c r="E175" s="6"/>
      <c r="F175" s="6"/>
      <c r="G175" s="6"/>
      <c r="H175" s="6"/>
      <c r="I175" s="6"/>
      <c r="J175" s="6"/>
      <c r="K175" s="6"/>
    </row>
    <row r="176" spans="2:11">
      <c r="B176" s="6"/>
      <c r="D176" s="6"/>
      <c r="E176" s="6"/>
      <c r="F176" s="6"/>
      <c r="G176" s="6"/>
      <c r="H176" s="6"/>
      <c r="I176" s="6"/>
      <c r="J176" s="6"/>
      <c r="K176" s="6"/>
    </row>
    <row r="177" spans="2:11">
      <c r="B177" s="6"/>
      <c r="D177" s="6"/>
      <c r="E177" s="6"/>
      <c r="F177" s="6"/>
      <c r="G177" s="6"/>
      <c r="H177" s="6"/>
      <c r="I177" s="6"/>
      <c r="J177" s="6"/>
      <c r="K177" s="6"/>
    </row>
    <row r="178" spans="2:11">
      <c r="B178" s="6"/>
      <c r="D178" s="6"/>
      <c r="E178" s="6"/>
      <c r="F178" s="6"/>
      <c r="G178" s="6"/>
      <c r="H178" s="6"/>
      <c r="I178" s="6"/>
      <c r="J178" s="6"/>
      <c r="K178" s="6"/>
    </row>
    <row r="179" spans="2:11">
      <c r="B179" s="6"/>
      <c r="D179" s="6"/>
      <c r="E179" s="6"/>
      <c r="F179" s="6"/>
      <c r="G179" s="6"/>
      <c r="H179" s="6"/>
      <c r="I179" s="6"/>
      <c r="J179" s="6"/>
      <c r="K179" s="6"/>
    </row>
    <row r="180" spans="2:11">
      <c r="B180" s="6"/>
      <c r="D180" s="6"/>
      <c r="E180" s="6"/>
      <c r="F180" s="6"/>
      <c r="G180" s="6"/>
      <c r="H180" s="6"/>
      <c r="I180" s="6"/>
      <c r="J180" s="6"/>
      <c r="K180" s="6"/>
    </row>
    <row r="181" spans="2:11">
      <c r="B181" s="6"/>
      <c r="D181" s="6"/>
      <c r="E181" s="6"/>
      <c r="F181" s="6"/>
      <c r="G181" s="6"/>
      <c r="H181" s="6"/>
      <c r="I181" s="6"/>
      <c r="J181" s="6"/>
      <c r="K181" s="6"/>
    </row>
    <row r="182" spans="2:11">
      <c r="B182" s="6"/>
      <c r="D182" s="6"/>
      <c r="E182" s="6"/>
      <c r="F182" s="6"/>
      <c r="G182" s="6"/>
      <c r="H182" s="6"/>
      <c r="I182" s="6"/>
      <c r="J182" s="6"/>
      <c r="K182" s="6"/>
    </row>
    <row r="183" spans="2:11">
      <c r="B183" s="6"/>
      <c r="D183" s="6"/>
      <c r="E183" s="6"/>
      <c r="F183" s="6"/>
      <c r="G183" s="6"/>
      <c r="H183" s="6"/>
      <c r="I183" s="6"/>
      <c r="J183" s="6"/>
      <c r="K183" s="6"/>
    </row>
    <row r="184" spans="2:11">
      <c r="B184" s="6"/>
      <c r="D184" s="6"/>
      <c r="E184" s="6"/>
      <c r="F184" s="6"/>
      <c r="G184" s="6"/>
      <c r="H184" s="6"/>
      <c r="I184" s="6"/>
      <c r="J184" s="6"/>
      <c r="K184" s="6"/>
    </row>
    <row r="185" spans="2:11">
      <c r="B185" s="6"/>
      <c r="D185" s="6"/>
      <c r="E185" s="6"/>
      <c r="F185" s="6"/>
      <c r="G185" s="6"/>
      <c r="H185" s="6"/>
      <c r="I185" s="6"/>
      <c r="J185" s="6"/>
      <c r="K185" s="6"/>
    </row>
    <row r="186" spans="2:11">
      <c r="B186" s="6"/>
      <c r="D186" s="6"/>
      <c r="E186" s="6"/>
      <c r="F186" s="6"/>
      <c r="G186" s="6"/>
      <c r="H186" s="6"/>
      <c r="I186" s="6"/>
      <c r="J186" s="6"/>
      <c r="K186" s="6"/>
    </row>
    <row r="187" spans="2:11">
      <c r="B187" s="6"/>
      <c r="D187" s="6"/>
      <c r="E187" s="6"/>
      <c r="F187" s="6"/>
      <c r="G187" s="6"/>
      <c r="H187" s="6"/>
      <c r="I187" s="6"/>
      <c r="J187" s="6"/>
      <c r="K187" s="6"/>
    </row>
    <row r="188" spans="2:11">
      <c r="B188" s="6"/>
      <c r="D188" s="6"/>
      <c r="E188" s="6"/>
      <c r="F188" s="6"/>
      <c r="G188" s="6"/>
      <c r="H188" s="6"/>
      <c r="I188" s="6"/>
      <c r="J188" s="6"/>
      <c r="K188" s="6"/>
    </row>
    <row r="189" spans="2:11">
      <c r="B189" s="6"/>
      <c r="D189" s="6"/>
      <c r="E189" s="6"/>
      <c r="F189" s="6"/>
      <c r="G189" s="6"/>
      <c r="H189" s="6"/>
      <c r="I189" s="6"/>
      <c r="J189" s="6"/>
      <c r="K189" s="6"/>
    </row>
    <row r="190" spans="2:11">
      <c r="B190" s="6"/>
      <c r="D190" s="6"/>
      <c r="E190" s="6"/>
      <c r="F190" s="6"/>
      <c r="G190" s="6"/>
      <c r="H190" s="6"/>
      <c r="I190" s="6"/>
      <c r="J190" s="6"/>
      <c r="K190" s="6"/>
    </row>
    <row r="191" spans="2:11">
      <c r="B191" s="6"/>
      <c r="D191" s="6"/>
      <c r="E191" s="6"/>
      <c r="F191" s="6"/>
      <c r="G191" s="6"/>
      <c r="H191" s="6"/>
      <c r="I191" s="6"/>
      <c r="J191" s="6"/>
      <c r="K191" s="6"/>
    </row>
  </sheetData>
  <sheetProtection sheet="1" objects="1" scenarios="1"/>
  <mergeCells count="44">
    <mergeCell ref="A1:P1"/>
    <mergeCell ref="A2:P2"/>
    <mergeCell ref="A3:P3"/>
    <mergeCell ref="A4:D4"/>
    <mergeCell ref="A5:P5"/>
    <mergeCell ref="B56:B62"/>
    <mergeCell ref="D43:L43"/>
    <mergeCell ref="D44:L44"/>
    <mergeCell ref="B46:E46"/>
    <mergeCell ref="B47:B53"/>
    <mergeCell ref="B55:E55"/>
    <mergeCell ref="D21:L21"/>
    <mergeCell ref="D22:L22"/>
    <mergeCell ref="D23:L23"/>
    <mergeCell ref="D24:L24"/>
    <mergeCell ref="J25:J26"/>
    <mergeCell ref="B69:G70"/>
    <mergeCell ref="B88:B99"/>
    <mergeCell ref="B73:D73"/>
    <mergeCell ref="B75:B80"/>
    <mergeCell ref="B81:B82"/>
    <mergeCell ref="D81:D82"/>
    <mergeCell ref="B83:B87"/>
    <mergeCell ref="K35:K41"/>
    <mergeCell ref="J35:J41"/>
    <mergeCell ref="B10:D10"/>
    <mergeCell ref="F10:S10"/>
    <mergeCell ref="F11:S11"/>
    <mergeCell ref="E12:R12"/>
    <mergeCell ref="E13:R13"/>
    <mergeCell ref="B15:B24"/>
    <mergeCell ref="L25:L26"/>
    <mergeCell ref="C25:C26"/>
    <mergeCell ref="D25:D26"/>
    <mergeCell ref="E25:E26"/>
    <mergeCell ref="F25:F26"/>
    <mergeCell ref="G25:G26"/>
    <mergeCell ref="K25:K26"/>
    <mergeCell ref="D15:L15"/>
    <mergeCell ref="I30:I31"/>
    <mergeCell ref="J30:J31"/>
    <mergeCell ref="D35:D41"/>
    <mergeCell ref="H35:H41"/>
    <mergeCell ref="I35:I41"/>
  </mergeCells>
  <conditionalFormatting sqref="F10">
    <cfRule type="notContainsBlanks" dxfId="82" priority="4">
      <formula>LEN(TRIM(F10))&gt;0</formula>
    </cfRule>
  </conditionalFormatting>
  <conditionalFormatting sqref="F11:S11">
    <cfRule type="expression" dxfId="81" priority="2">
      <formula>E11="NO SE REPORTA"</formula>
    </cfRule>
    <cfRule type="expression" dxfId="80" priority="3">
      <formula>E10="NO APLICA"</formula>
    </cfRule>
  </conditionalFormatting>
  <conditionalFormatting sqref="E12:R12">
    <cfRule type="expression" dxfId="79" priority="1">
      <formula>E11="SI SE REPORTA"</formula>
    </cfRule>
  </conditionalFormatting>
  <dataValidations count="4">
    <dataValidation type="whole" operator="greaterThanOrEqual" allowBlank="1" showErrorMessage="1" errorTitle="ERROR" error="Escriba un número igual o mayor que 0" promptTitle="ERROR" prompt="Escriba un número igual o mayor que 0" sqref="E17:F19">
      <formula1>0</formula1>
    </dataValidation>
    <dataValidation type="whole" operator="greaterThanOrEqual" allowBlank="1" showInputMessage="1" showErrorMessage="1" errorTitle="ERROR" error="Valor en PESOS (sin centavos)" sqref="H27:H35 I32:I35 K27:K35 I27:I30 J27:J30 J32:J35">
      <formula1>0</formula1>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 ref="E51" r:id="rId1"/>
  </hyperlinks>
  <pageMargins left="0.25" right="0.25" top="0.75" bottom="0.75" header="0.3" footer="0.3"/>
  <pageSetup paperSize="178" orientation="landscape" horizontalDpi="1200" verticalDpi="1200" r:id="rId2"/>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86"/>
  <sheetViews>
    <sheetView showGridLines="0" zoomScale="98" zoomScaleNormal="98" workbookViewId="0">
      <selection sqref="A1:XFD1048576"/>
    </sheetView>
  </sheetViews>
  <sheetFormatPr baseColWidth="10" defaultRowHeight="15"/>
  <cols>
    <col min="1" max="1" width="1.85546875" customWidth="1"/>
    <col min="2" max="2" width="10.85546875" customWidth="1"/>
    <col min="3" max="3" width="5" style="88" bestFit="1" customWidth="1"/>
    <col min="4" max="4" width="34.85546875" customWidth="1"/>
    <col min="5" max="5" width="12.140625" customWidth="1"/>
    <col min="8" max="8" width="11.5703125" bestFit="1" customWidth="1"/>
    <col min="9" max="10" width="13.140625" bestFit="1" customWidth="1"/>
    <col min="11" max="11" width="13.140625" customWidth="1"/>
  </cols>
  <sheetData>
    <row r="1" spans="1:21" s="551" customFormat="1" ht="100.5" customHeight="1" thickBot="1">
      <c r="A1" s="1344"/>
      <c r="B1" s="1345"/>
      <c r="C1" s="1345"/>
      <c r="D1" s="1345"/>
      <c r="E1" s="1345"/>
      <c r="F1" s="1345"/>
      <c r="G1" s="1345"/>
      <c r="H1" s="1345"/>
      <c r="I1" s="1345"/>
      <c r="J1" s="1345"/>
      <c r="K1" s="1345"/>
      <c r="L1" s="1345"/>
      <c r="M1" s="1345"/>
      <c r="N1" s="1345"/>
      <c r="O1" s="1345"/>
      <c r="P1" s="1346"/>
      <c r="Q1" s="413"/>
      <c r="R1" s="413"/>
    </row>
    <row r="2" spans="1:21" s="552" customFormat="1" ht="16.5" thickBot="1">
      <c r="A2" s="1352" t="str">
        <f>'Datos Generales'!C5</f>
        <v>Corporación Autónoma Regional de La Guajira – CORPOGUAJIRA</v>
      </c>
      <c r="B2" s="1353"/>
      <c r="C2" s="1353"/>
      <c r="D2" s="1353"/>
      <c r="E2" s="1353"/>
      <c r="F2" s="1353"/>
      <c r="G2" s="1353"/>
      <c r="H2" s="1353"/>
      <c r="I2" s="1353"/>
      <c r="J2" s="1353"/>
      <c r="K2" s="1353"/>
      <c r="L2" s="1353"/>
      <c r="M2" s="1353"/>
      <c r="N2" s="1353"/>
      <c r="O2" s="1353"/>
      <c r="P2" s="1354"/>
      <c r="Q2" s="413"/>
      <c r="R2" s="413"/>
    </row>
    <row r="3" spans="1:21" s="552" customFormat="1" ht="16.5" thickBot="1">
      <c r="A3" s="1347" t="s">
        <v>1419</v>
      </c>
      <c r="B3" s="1348"/>
      <c r="C3" s="1348"/>
      <c r="D3" s="1348"/>
      <c r="E3" s="1348"/>
      <c r="F3" s="1348"/>
      <c r="G3" s="1348"/>
      <c r="H3" s="1348"/>
      <c r="I3" s="1348"/>
      <c r="J3" s="1348"/>
      <c r="K3" s="1348"/>
      <c r="L3" s="1348"/>
      <c r="M3" s="1348"/>
      <c r="N3" s="1348"/>
      <c r="O3" s="1348"/>
      <c r="P3" s="1349"/>
      <c r="Q3" s="413"/>
      <c r="R3" s="413"/>
    </row>
    <row r="4" spans="1:21" s="552" customFormat="1" ht="16.5" thickBot="1">
      <c r="A4" s="1350" t="s">
        <v>1418</v>
      </c>
      <c r="B4" s="1351"/>
      <c r="C4" s="1351"/>
      <c r="D4" s="1351"/>
      <c r="E4" s="571" t="str">
        <f>'Datos Generales'!C6</f>
        <v>2016-II</v>
      </c>
      <c r="F4" s="571"/>
      <c r="G4" s="571"/>
      <c r="H4" s="571"/>
      <c r="I4" s="571"/>
      <c r="J4" s="571"/>
      <c r="K4" s="571"/>
      <c r="L4" s="572"/>
      <c r="M4" s="572"/>
      <c r="N4" s="572"/>
      <c r="O4" s="572"/>
      <c r="P4" s="573"/>
      <c r="Q4" s="413"/>
      <c r="R4" s="413"/>
    </row>
    <row r="5" spans="1:21" s="245" customFormat="1" ht="16.5" customHeight="1" thickBot="1">
      <c r="A5" s="1347" t="s">
        <v>489</v>
      </c>
      <c r="B5" s="1348"/>
      <c r="C5" s="1348"/>
      <c r="D5" s="1348"/>
      <c r="E5" s="1348"/>
      <c r="F5" s="1348"/>
      <c r="G5" s="1348"/>
      <c r="H5" s="1348"/>
      <c r="I5" s="1348"/>
      <c r="J5" s="1348"/>
      <c r="K5" s="1348"/>
      <c r="L5" s="1348"/>
      <c r="M5" s="1348"/>
      <c r="N5" s="1348"/>
      <c r="O5" s="1348"/>
      <c r="P5" s="1349"/>
    </row>
    <row r="6" spans="1:21">
      <c r="B6" s="2" t="s">
        <v>1</v>
      </c>
      <c r="C6" s="77"/>
      <c r="D6" s="6"/>
      <c r="E6" s="75"/>
      <c r="F6" s="6" t="s">
        <v>133</v>
      </c>
      <c r="G6" s="6"/>
      <c r="H6" s="6"/>
      <c r="I6" s="6"/>
      <c r="J6" s="6"/>
      <c r="K6" s="6"/>
    </row>
    <row r="7" spans="1:21" ht="15.75" thickBot="1">
      <c r="B7" s="76"/>
      <c r="C7" s="78"/>
      <c r="D7" s="6"/>
      <c r="E7" s="18"/>
      <c r="F7" s="6" t="s">
        <v>134</v>
      </c>
      <c r="G7" s="6"/>
      <c r="H7" s="6"/>
      <c r="I7" s="6"/>
      <c r="J7" s="6"/>
      <c r="K7" s="6"/>
    </row>
    <row r="8" spans="1:21" ht="15.75" thickBot="1">
      <c r="B8" s="177" t="s">
        <v>1204</v>
      </c>
      <c r="C8" s="222">
        <v>2017</v>
      </c>
      <c r="D8" s="226">
        <f>IF(E10="NO APLICA","NO APLICA",IF(E11="NO SE REPORTA","SIN INFORMACION",+Q22))</f>
        <v>0.26470588235294118</v>
      </c>
      <c r="E8" s="223"/>
      <c r="F8" s="6" t="s">
        <v>135</v>
      </c>
      <c r="G8" s="6"/>
      <c r="H8" s="6"/>
      <c r="I8" s="6"/>
      <c r="J8" s="6"/>
      <c r="K8" s="6"/>
    </row>
    <row r="9" spans="1:21">
      <c r="B9" s="507" t="s">
        <v>1205</v>
      </c>
      <c r="D9" s="6"/>
      <c r="E9" s="6"/>
      <c r="F9" s="6"/>
      <c r="G9" s="6"/>
      <c r="H9" s="6"/>
      <c r="I9" s="6"/>
      <c r="J9" s="6"/>
      <c r="K9" s="6"/>
    </row>
    <row r="10" spans="1:21" s="413" customFormat="1">
      <c r="A10" s="245"/>
      <c r="B10" s="1412" t="s">
        <v>1265</v>
      </c>
      <c r="C10" s="1412"/>
      <c r="D10" s="1412"/>
      <c r="E10" s="513" t="s">
        <v>1262</v>
      </c>
      <c r="F10" s="1419"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420"/>
      <c r="H10" s="1420"/>
      <c r="I10" s="1420"/>
      <c r="J10" s="1420"/>
      <c r="K10" s="1420"/>
      <c r="L10" s="1420"/>
      <c r="M10" s="1420"/>
      <c r="N10" s="1420"/>
      <c r="O10" s="1420"/>
      <c r="P10" s="1420"/>
      <c r="Q10" s="1420"/>
      <c r="R10" s="1420"/>
      <c r="S10" s="1420"/>
      <c r="T10" s="509"/>
      <c r="U10" s="509"/>
    </row>
    <row r="11" spans="1:21" s="413" customFormat="1" ht="14.45" customHeight="1">
      <c r="A11" s="245"/>
      <c r="B11" s="510"/>
      <c r="C11" s="511"/>
      <c r="D11" s="512" t="str">
        <f>IF(E10="SI APLICA","¿El indicador no se reporta por limitaciones de información disponible? ","")</f>
        <v xml:space="preserve">¿El indicador no se reporta por limitaciones de información disponible? </v>
      </c>
      <c r="E11" s="514" t="s">
        <v>1264</v>
      </c>
      <c r="F11" s="1413"/>
      <c r="G11" s="1414"/>
      <c r="H11" s="1414"/>
      <c r="I11" s="1414"/>
      <c r="J11" s="1414"/>
      <c r="K11" s="1414"/>
      <c r="L11" s="1414"/>
      <c r="M11" s="1414"/>
      <c r="N11" s="1414"/>
      <c r="O11" s="1414"/>
      <c r="P11" s="1414"/>
      <c r="Q11" s="1414"/>
      <c r="R11" s="1414"/>
      <c r="S11" s="1414"/>
    </row>
    <row r="12" spans="1:21" s="413" customFormat="1" ht="23.45" customHeight="1">
      <c r="A12" s="245"/>
      <c r="B12" s="507"/>
      <c r="C12" s="304"/>
      <c r="D12" s="512" t="str">
        <f>IF(E11="SI SE REPORTA","¿Qué programas o proyectos del Plan de Acción están asociados al indicador? ","")</f>
        <v xml:space="preserve">¿Qué programas o proyectos del Plan de Acción están asociados al indicador? </v>
      </c>
      <c r="E12" s="1415" t="str">
        <f>'Anexo 1 Matriz Inf Gestión'!E60:H60</f>
        <v>Proyecto No 3.2. Protección y conservación de la biodiversidad (7).</v>
      </c>
      <c r="F12" s="1415"/>
      <c r="G12" s="1415"/>
      <c r="H12" s="1415"/>
      <c r="I12" s="1415"/>
      <c r="J12" s="1415"/>
      <c r="K12" s="1415"/>
      <c r="L12" s="1415"/>
      <c r="M12" s="1415"/>
      <c r="N12" s="1415"/>
      <c r="O12" s="1415"/>
      <c r="P12" s="1415"/>
      <c r="Q12" s="1415"/>
      <c r="R12" s="1415"/>
    </row>
    <row r="13" spans="1:21" s="413" customFormat="1" ht="21.95" customHeight="1">
      <c r="A13" s="245"/>
      <c r="B13" s="507"/>
      <c r="C13" s="304"/>
      <c r="D13" s="512" t="s">
        <v>1267</v>
      </c>
      <c r="E13" s="1416"/>
      <c r="F13" s="1417"/>
      <c r="G13" s="1417"/>
      <c r="H13" s="1417"/>
      <c r="I13" s="1417"/>
      <c r="J13" s="1417"/>
      <c r="K13" s="1417"/>
      <c r="L13" s="1417"/>
      <c r="M13" s="1417"/>
      <c r="N13" s="1417"/>
      <c r="O13" s="1417"/>
      <c r="P13" s="1417"/>
      <c r="Q13" s="1417"/>
      <c r="R13" s="1418"/>
    </row>
    <row r="14" spans="1:21" s="413" customFormat="1" ht="6.95" customHeight="1" thickBot="1">
      <c r="B14" s="507"/>
      <c r="C14" s="88"/>
      <c r="D14" s="6"/>
      <c r="E14" s="6"/>
      <c r="F14" s="6"/>
      <c r="G14" s="6"/>
      <c r="H14" s="6"/>
      <c r="I14" s="6"/>
      <c r="J14" s="6"/>
      <c r="K14" s="6"/>
    </row>
    <row r="15" spans="1:21" ht="15.75" thickBot="1">
      <c r="B15" s="1505" t="s">
        <v>2</v>
      </c>
      <c r="C15" s="103"/>
      <c r="D15" s="1453" t="s">
        <v>344</v>
      </c>
      <c r="E15" s="1454"/>
      <c r="F15" s="1454"/>
      <c r="G15" s="1454"/>
      <c r="H15" s="1454"/>
      <c r="I15" s="1454"/>
      <c r="J15" s="1454"/>
      <c r="K15" s="1454"/>
      <c r="L15" s="1528"/>
      <c r="M15" s="1528"/>
      <c r="N15" s="1528"/>
      <c r="O15" s="1528"/>
      <c r="P15" s="1519"/>
      <c r="Q15" s="1529" t="s">
        <v>157</v>
      </c>
    </row>
    <row r="16" spans="1:21" ht="15.75" thickBot="1">
      <c r="B16" s="1537"/>
      <c r="C16" s="110"/>
      <c r="D16" s="1460" t="s">
        <v>156</v>
      </c>
      <c r="E16" s="1534" t="s">
        <v>513</v>
      </c>
      <c r="F16" s="1535"/>
      <c r="G16" s="1535"/>
      <c r="H16" s="1535"/>
      <c r="I16" s="1535"/>
      <c r="J16" s="1536"/>
      <c r="K16" s="1534" t="s">
        <v>514</v>
      </c>
      <c r="L16" s="1539"/>
      <c r="M16" s="1539"/>
      <c r="N16" s="1539"/>
      <c r="O16" s="1539"/>
      <c r="P16" s="1540"/>
      <c r="Q16" s="1545"/>
    </row>
    <row r="17" spans="2:17" ht="15.75" thickBot="1">
      <c r="B17" s="1537"/>
      <c r="C17" s="110"/>
      <c r="D17" s="1466"/>
      <c r="E17" s="1534" t="s">
        <v>515</v>
      </c>
      <c r="F17" s="1535"/>
      <c r="G17" s="1536"/>
      <c r="H17" s="1534" t="s">
        <v>516</v>
      </c>
      <c r="I17" s="1535"/>
      <c r="J17" s="1536"/>
      <c r="K17" s="1534" t="s">
        <v>515</v>
      </c>
      <c r="L17" s="1539"/>
      <c r="M17" s="1540"/>
      <c r="N17" s="1546" t="s">
        <v>516</v>
      </c>
      <c r="O17" s="1539"/>
      <c r="P17" s="1540"/>
      <c r="Q17" s="1545"/>
    </row>
    <row r="18" spans="2:17" ht="15.75" thickBot="1">
      <c r="B18" s="1537"/>
      <c r="C18" s="110"/>
      <c r="D18" s="1533"/>
      <c r="E18" s="41" t="s">
        <v>517</v>
      </c>
      <c r="F18" s="41" t="s">
        <v>518</v>
      </c>
      <c r="G18" s="41" t="s">
        <v>519</v>
      </c>
      <c r="H18" s="41" t="s">
        <v>517</v>
      </c>
      <c r="I18" s="41" t="s">
        <v>518</v>
      </c>
      <c r="J18" s="41" t="s">
        <v>519</v>
      </c>
      <c r="K18" s="41" t="s">
        <v>517</v>
      </c>
      <c r="L18" s="16" t="s">
        <v>518</v>
      </c>
      <c r="M18" s="16" t="s">
        <v>519</v>
      </c>
      <c r="N18" s="16" t="s">
        <v>517</v>
      </c>
      <c r="O18" s="16" t="s">
        <v>518</v>
      </c>
      <c r="P18" s="16" t="s">
        <v>519</v>
      </c>
      <c r="Q18" s="1530"/>
    </row>
    <row r="19" spans="2:17" ht="24.75" thickBot="1">
      <c r="B19" s="1537"/>
      <c r="C19" s="110"/>
      <c r="D19" s="41" t="s">
        <v>520</v>
      </c>
      <c r="E19" s="7">
        <v>2</v>
      </c>
      <c r="F19" s="7">
        <v>9</v>
      </c>
      <c r="G19" s="7">
        <v>1</v>
      </c>
      <c r="H19" s="7">
        <v>12</v>
      </c>
      <c r="I19" s="7">
        <v>24</v>
      </c>
      <c r="J19" s="7">
        <v>29</v>
      </c>
      <c r="K19" s="7"/>
      <c r="L19" s="7"/>
      <c r="M19" s="7"/>
      <c r="N19" s="7">
        <v>1</v>
      </c>
      <c r="O19" s="7">
        <v>5</v>
      </c>
      <c r="P19" s="7">
        <v>9</v>
      </c>
      <c r="Q19" s="416">
        <f>SUM(E19:P19)</f>
        <v>92</v>
      </c>
    </row>
    <row r="20" spans="2:17" ht="36.75" thickBot="1">
      <c r="B20" s="1537"/>
      <c r="C20" s="110"/>
      <c r="D20" s="41" t="s">
        <v>521</v>
      </c>
      <c r="E20" s="7">
        <v>1</v>
      </c>
      <c r="F20" s="7">
        <v>4</v>
      </c>
      <c r="G20" s="7">
        <v>1</v>
      </c>
      <c r="H20" s="7">
        <v>7</v>
      </c>
      <c r="I20" s="7">
        <v>5</v>
      </c>
      <c r="J20" s="7">
        <v>5</v>
      </c>
      <c r="K20" s="7"/>
      <c r="L20" s="7"/>
      <c r="M20" s="7"/>
      <c r="N20" s="7">
        <v>1</v>
      </c>
      <c r="O20" s="7">
        <v>5</v>
      </c>
      <c r="P20" s="7">
        <v>5</v>
      </c>
      <c r="Q20" s="416">
        <f t="shared" ref="Q20:Q21" si="0">SUM(E20:P20)</f>
        <v>34</v>
      </c>
    </row>
    <row r="21" spans="2:17" ht="36.75" thickBot="1">
      <c r="B21" s="1537"/>
      <c r="C21" s="110"/>
      <c r="D21" s="41" t="s">
        <v>522</v>
      </c>
      <c r="E21" s="7"/>
      <c r="F21" s="7"/>
      <c r="G21" s="7"/>
      <c r="H21" s="7"/>
      <c r="I21" s="7">
        <v>4</v>
      </c>
      <c r="J21" s="7"/>
      <c r="K21" s="7"/>
      <c r="L21" s="7"/>
      <c r="M21" s="7"/>
      <c r="N21" s="7"/>
      <c r="O21" s="7">
        <v>4</v>
      </c>
      <c r="P21" s="7">
        <v>1</v>
      </c>
      <c r="Q21" s="416">
        <f t="shared" si="0"/>
        <v>9</v>
      </c>
    </row>
    <row r="22" spans="2:17" ht="36.75" thickBot="1">
      <c r="B22" s="1537"/>
      <c r="C22" s="110"/>
      <c r="D22" s="41" t="s">
        <v>489</v>
      </c>
      <c r="E22" s="145">
        <f>IFERROR(E21/E20,"N.A.")</f>
        <v>0</v>
      </c>
      <c r="F22" s="145">
        <f t="shared" ref="F22:P22" si="1">IFERROR(F21/F20,"N.A.")</f>
        <v>0</v>
      </c>
      <c r="G22" s="145">
        <f t="shared" si="1"/>
        <v>0</v>
      </c>
      <c r="H22" s="145">
        <f t="shared" si="1"/>
        <v>0</v>
      </c>
      <c r="I22" s="145">
        <f t="shared" si="1"/>
        <v>0.8</v>
      </c>
      <c r="J22" s="145">
        <f t="shared" si="1"/>
        <v>0</v>
      </c>
      <c r="K22" s="145" t="str">
        <f t="shared" si="1"/>
        <v>N.A.</v>
      </c>
      <c r="L22" s="145" t="str">
        <f t="shared" si="1"/>
        <v>N.A.</v>
      </c>
      <c r="M22" s="145" t="str">
        <f t="shared" si="1"/>
        <v>N.A.</v>
      </c>
      <c r="N22" s="145">
        <f t="shared" si="1"/>
        <v>0</v>
      </c>
      <c r="O22" s="145">
        <f t="shared" si="1"/>
        <v>0.8</v>
      </c>
      <c r="P22" s="145">
        <f t="shared" si="1"/>
        <v>0.2</v>
      </c>
      <c r="Q22" s="145">
        <f t="shared" ref="Q22" si="2">IFERROR(Q21/Q20,"N.A.")</f>
        <v>0.26470588235294118</v>
      </c>
    </row>
    <row r="23" spans="2:17">
      <c r="B23" s="1537"/>
      <c r="C23" s="104"/>
      <c r="D23" s="1458" t="s">
        <v>523</v>
      </c>
      <c r="E23" s="1459"/>
      <c r="F23" s="1459"/>
      <c r="G23" s="1459"/>
      <c r="H23" s="1459"/>
      <c r="I23" s="1459"/>
      <c r="J23" s="1459"/>
      <c r="K23" s="1459"/>
      <c r="L23" s="1538"/>
      <c r="M23" s="1538"/>
      <c r="N23" s="1538"/>
      <c r="O23" s="1538"/>
      <c r="P23" s="1509"/>
    </row>
    <row r="24" spans="2:17">
      <c r="B24" s="1537"/>
      <c r="C24" s="104"/>
      <c r="D24" s="1464" t="s">
        <v>524</v>
      </c>
      <c r="E24" s="1465"/>
      <c r="F24" s="1465"/>
      <c r="G24" s="1465"/>
      <c r="H24" s="1465"/>
      <c r="I24" s="1465"/>
      <c r="J24" s="1465"/>
      <c r="K24" s="1465"/>
      <c r="L24" s="1532"/>
      <c r="M24" s="1532"/>
      <c r="N24" s="1532"/>
      <c r="O24" s="1532"/>
      <c r="P24" s="1516"/>
    </row>
    <row r="25" spans="2:17">
      <c r="B25" s="1537"/>
      <c r="C25" s="104"/>
      <c r="D25" s="1464" t="s">
        <v>525</v>
      </c>
      <c r="E25" s="1465"/>
      <c r="F25" s="1465"/>
      <c r="G25" s="1465"/>
      <c r="H25" s="1465"/>
      <c r="I25" s="1465"/>
      <c r="J25" s="1465"/>
      <c r="K25" s="1465"/>
      <c r="L25" s="1532"/>
      <c r="M25" s="1532"/>
      <c r="N25" s="1532"/>
      <c r="O25" s="1532"/>
      <c r="P25" s="1516"/>
    </row>
    <row r="26" spans="2:17">
      <c r="B26" s="1537"/>
      <c r="C26" s="104"/>
      <c r="D26" s="1461" t="s">
        <v>254</v>
      </c>
      <c r="E26" s="1462"/>
      <c r="F26" s="1462"/>
      <c r="G26" s="1462"/>
      <c r="H26" s="1462"/>
      <c r="I26" s="1462"/>
      <c r="J26" s="1462"/>
      <c r="K26" s="1462"/>
      <c r="L26" s="1531"/>
      <c r="M26" s="1531"/>
      <c r="N26" s="1531"/>
      <c r="O26" s="1531"/>
      <c r="P26" s="1517"/>
    </row>
    <row r="27" spans="2:17">
      <c r="B27" s="1537"/>
      <c r="C27" s="104"/>
      <c r="D27" s="1461" t="s">
        <v>526</v>
      </c>
      <c r="E27" s="1462"/>
      <c r="F27" s="1462"/>
      <c r="G27" s="1462"/>
      <c r="H27" s="1462"/>
      <c r="I27" s="1462"/>
      <c r="J27" s="1462"/>
      <c r="K27" s="1462"/>
      <c r="L27" s="1531"/>
      <c r="M27" s="1531"/>
      <c r="N27" s="1531"/>
      <c r="O27" s="1531"/>
      <c r="P27" s="1517"/>
    </row>
    <row r="28" spans="2:17" ht="15.75" thickBot="1">
      <c r="B28" s="1537"/>
      <c r="C28" s="104"/>
      <c r="D28" s="1464" t="s">
        <v>348</v>
      </c>
      <c r="E28" s="1465"/>
      <c r="F28" s="1465"/>
      <c r="G28" s="1465"/>
      <c r="H28" s="1465"/>
      <c r="I28" s="1465"/>
      <c r="J28" s="1465"/>
      <c r="K28" s="1465"/>
      <c r="L28" s="1532"/>
      <c r="M28" s="1532"/>
      <c r="N28" s="1532"/>
      <c r="O28" s="1532"/>
      <c r="P28" s="1516"/>
    </row>
    <row r="29" spans="2:17" ht="21" customHeight="1">
      <c r="B29" s="1537"/>
      <c r="C29" s="1520" t="s">
        <v>24</v>
      </c>
      <c r="D29" s="1529" t="s">
        <v>278</v>
      </c>
      <c r="E29" s="1529" t="s">
        <v>527</v>
      </c>
      <c r="F29" s="1529" t="s">
        <v>528</v>
      </c>
      <c r="G29" s="1529" t="s">
        <v>529</v>
      </c>
      <c r="H29" s="210" t="s">
        <v>482</v>
      </c>
      <c r="I29" s="210" t="s">
        <v>484</v>
      </c>
      <c r="J29" s="1529" t="s">
        <v>282</v>
      </c>
      <c r="K29" s="1529" t="s">
        <v>283</v>
      </c>
      <c r="L29" s="1529" t="s">
        <v>60</v>
      </c>
      <c r="P29" s="14"/>
    </row>
    <row r="30" spans="2:17" ht="15.75" thickBot="1">
      <c r="B30" s="1537"/>
      <c r="C30" s="1521"/>
      <c r="D30" s="1530"/>
      <c r="E30" s="1530"/>
      <c r="F30" s="1530"/>
      <c r="G30" s="1530"/>
      <c r="H30" s="211" t="s">
        <v>483</v>
      </c>
      <c r="I30" s="211" t="s">
        <v>485</v>
      </c>
      <c r="J30" s="1530"/>
      <c r="K30" s="1530"/>
      <c r="L30" s="1530"/>
      <c r="P30" s="14"/>
    </row>
    <row r="31" spans="2:17" ht="36.75" thickBot="1">
      <c r="B31" s="1537"/>
      <c r="C31" s="1111">
        <v>1</v>
      </c>
      <c r="D31" s="30" t="s">
        <v>1723</v>
      </c>
      <c r="E31" s="30" t="s">
        <v>1715</v>
      </c>
      <c r="F31" s="30" t="s">
        <v>1720</v>
      </c>
      <c r="G31" s="30" t="s">
        <v>1721</v>
      </c>
      <c r="H31" s="197"/>
      <c r="I31" s="197"/>
      <c r="J31" s="197"/>
      <c r="K31" s="197"/>
      <c r="L31" s="197" t="s">
        <v>1724</v>
      </c>
      <c r="P31" s="14"/>
    </row>
    <row r="32" spans="2:17" ht="36.75" thickBot="1">
      <c r="B32" s="1537"/>
      <c r="C32" s="1111">
        <v>2</v>
      </c>
      <c r="D32" s="30" t="s">
        <v>1722</v>
      </c>
      <c r="E32" s="30" t="s">
        <v>1715</v>
      </c>
      <c r="F32" s="30" t="s">
        <v>1720</v>
      </c>
      <c r="G32" s="30" t="s">
        <v>1748</v>
      </c>
      <c r="H32" s="197"/>
      <c r="I32" s="197"/>
      <c r="J32" s="197"/>
      <c r="K32" s="197"/>
      <c r="L32" s="197" t="s">
        <v>1724</v>
      </c>
      <c r="P32" s="14"/>
    </row>
    <row r="33" spans="2:16" ht="36.75" thickBot="1">
      <c r="B33" s="1537"/>
      <c r="C33" s="1111">
        <v>3</v>
      </c>
      <c r="D33" s="30" t="s">
        <v>1722</v>
      </c>
      <c r="E33" s="30" t="s">
        <v>1715</v>
      </c>
      <c r="F33" s="30" t="s">
        <v>1720</v>
      </c>
      <c r="G33" s="30" t="s">
        <v>1749</v>
      </c>
      <c r="H33" s="197"/>
      <c r="I33" s="197"/>
      <c r="J33" s="197"/>
      <c r="K33" s="197"/>
      <c r="L33" s="197"/>
      <c r="P33" s="14"/>
    </row>
    <row r="34" spans="2:16" ht="36.75" thickBot="1">
      <c r="B34" s="1537"/>
      <c r="C34" s="1111">
        <v>4</v>
      </c>
      <c r="D34" s="30" t="s">
        <v>1722</v>
      </c>
      <c r="E34" s="30" t="s">
        <v>1715</v>
      </c>
      <c r="F34" s="30" t="s">
        <v>1720</v>
      </c>
      <c r="G34" s="30" t="s">
        <v>1750</v>
      </c>
      <c r="H34" s="197"/>
      <c r="I34" s="197"/>
      <c r="J34" s="197"/>
      <c r="K34" s="197"/>
      <c r="L34" s="197"/>
      <c r="P34" s="14"/>
    </row>
    <row r="35" spans="2:16" ht="36.75" thickBot="1">
      <c r="B35" s="1537"/>
      <c r="C35" s="1111">
        <v>5</v>
      </c>
      <c r="D35" s="30" t="s">
        <v>1722</v>
      </c>
      <c r="E35" s="30" t="s">
        <v>1715</v>
      </c>
      <c r="F35" s="30" t="s">
        <v>1720</v>
      </c>
      <c r="G35" s="30" t="s">
        <v>1751</v>
      </c>
      <c r="H35" s="197"/>
      <c r="I35" s="197"/>
      <c r="J35" s="197"/>
      <c r="K35" s="197"/>
      <c r="L35" s="197"/>
      <c r="P35" s="14"/>
    </row>
    <row r="36" spans="2:16" ht="48.75" thickBot="1">
      <c r="B36" s="1537"/>
      <c r="C36" s="1111">
        <v>6</v>
      </c>
      <c r="D36" s="30" t="s">
        <v>1722</v>
      </c>
      <c r="E36" s="30" t="s">
        <v>1715</v>
      </c>
      <c r="F36" s="30" t="s">
        <v>1720</v>
      </c>
      <c r="G36" s="30" t="s">
        <v>1752</v>
      </c>
      <c r="H36" s="197"/>
      <c r="I36" s="197"/>
      <c r="J36" s="197"/>
      <c r="K36" s="197"/>
      <c r="L36" s="197"/>
      <c r="P36" s="14"/>
    </row>
    <row r="37" spans="2:16" ht="48.75" thickBot="1">
      <c r="B37" s="1537"/>
      <c r="C37" s="1111">
        <v>7</v>
      </c>
      <c r="D37" s="30" t="s">
        <v>1848</v>
      </c>
      <c r="E37" s="30" t="s">
        <v>1715</v>
      </c>
      <c r="F37" s="30" t="s">
        <v>1717</v>
      </c>
      <c r="G37" s="30" t="s">
        <v>1849</v>
      </c>
      <c r="H37" s="197"/>
      <c r="I37" s="1112"/>
      <c r="J37" s="1112"/>
      <c r="K37" s="197"/>
      <c r="L37" s="197"/>
      <c r="P37" s="14"/>
    </row>
    <row r="38" spans="2:16" ht="36.75" thickBot="1">
      <c r="B38" s="1537"/>
      <c r="C38" s="1111">
        <v>8</v>
      </c>
      <c r="D38" s="30" t="s">
        <v>1859</v>
      </c>
      <c r="E38" s="30" t="s">
        <v>1715</v>
      </c>
      <c r="F38" s="30" t="s">
        <v>1717</v>
      </c>
      <c r="G38" s="30" t="s">
        <v>1850</v>
      </c>
      <c r="H38" s="197"/>
      <c r="I38" s="1112"/>
      <c r="J38" s="1112"/>
      <c r="K38" s="197"/>
      <c r="L38" s="197"/>
      <c r="P38" s="14"/>
    </row>
    <row r="39" spans="2:16" s="413" customFormat="1" ht="24.75" thickBot="1">
      <c r="B39" s="1537"/>
      <c r="C39" s="1111">
        <v>9</v>
      </c>
      <c r="D39" s="30" t="s">
        <v>1851</v>
      </c>
      <c r="E39" s="30" t="s">
        <v>1716</v>
      </c>
      <c r="F39" s="30" t="s">
        <v>1717</v>
      </c>
      <c r="G39" s="30"/>
      <c r="H39" s="197"/>
      <c r="I39" s="1112"/>
      <c r="J39" s="1112"/>
      <c r="K39" s="1112"/>
      <c r="L39" s="197"/>
      <c r="P39" s="14"/>
    </row>
    <row r="40" spans="2:16" s="413" customFormat="1" ht="24.75" thickBot="1">
      <c r="B40" s="1537"/>
      <c r="C40" s="380"/>
      <c r="D40" s="1497" t="s">
        <v>1852</v>
      </c>
      <c r="E40" s="1497" t="s">
        <v>1715</v>
      </c>
      <c r="F40" s="1497" t="s">
        <v>1717</v>
      </c>
      <c r="G40" s="30" t="s">
        <v>1853</v>
      </c>
      <c r="H40" s="197"/>
      <c r="I40" s="1525"/>
      <c r="J40" s="1525"/>
      <c r="K40" s="197"/>
      <c r="L40" s="197"/>
      <c r="P40" s="14"/>
    </row>
    <row r="41" spans="2:16" s="413" customFormat="1" ht="15.75" thickBot="1">
      <c r="B41" s="1537"/>
      <c r="C41" s="380"/>
      <c r="D41" s="1498"/>
      <c r="E41" s="1498"/>
      <c r="F41" s="1498"/>
      <c r="G41" s="30" t="s">
        <v>1854</v>
      </c>
      <c r="H41" s="197"/>
      <c r="I41" s="1526"/>
      <c r="J41" s="1526"/>
      <c r="K41" s="197"/>
      <c r="L41" s="197"/>
      <c r="P41" s="14"/>
    </row>
    <row r="42" spans="2:16" s="413" customFormat="1" ht="24.75" thickBot="1">
      <c r="B42" s="1537"/>
      <c r="C42" s="380"/>
      <c r="D42" s="1498"/>
      <c r="E42" s="1498"/>
      <c r="F42" s="1498"/>
      <c r="G42" s="30" t="s">
        <v>1855</v>
      </c>
      <c r="H42" s="197"/>
      <c r="I42" s="1526"/>
      <c r="J42" s="1526"/>
      <c r="K42" s="197"/>
      <c r="L42" s="197"/>
      <c r="P42" s="14"/>
    </row>
    <row r="43" spans="2:16" s="413" customFormat="1" ht="24.75" thickBot="1">
      <c r="B43" s="1537"/>
      <c r="C43" s="380"/>
      <c r="D43" s="1498"/>
      <c r="E43" s="1498"/>
      <c r="F43" s="1498"/>
      <c r="G43" s="30" t="s">
        <v>1856</v>
      </c>
      <c r="H43" s="197"/>
      <c r="I43" s="1526"/>
      <c r="J43" s="1526"/>
      <c r="K43" s="197"/>
      <c r="L43" s="197"/>
      <c r="P43" s="14"/>
    </row>
    <row r="44" spans="2:16" s="413" customFormat="1" ht="24.75" thickBot="1">
      <c r="B44" s="1537"/>
      <c r="C44" s="380"/>
      <c r="D44" s="1498"/>
      <c r="E44" s="1498"/>
      <c r="F44" s="1498"/>
      <c r="G44" s="30" t="s">
        <v>1857</v>
      </c>
      <c r="H44" s="197"/>
      <c r="I44" s="1526"/>
      <c r="J44" s="1526"/>
      <c r="K44" s="197"/>
      <c r="L44" s="197"/>
      <c r="P44" s="14"/>
    </row>
    <row r="45" spans="2:16" s="413" customFormat="1" ht="24.75" thickBot="1">
      <c r="B45" s="1537"/>
      <c r="C45" s="380"/>
      <c r="D45" s="1499"/>
      <c r="E45" s="1499"/>
      <c r="F45" s="1499"/>
      <c r="G45" s="30" t="s">
        <v>1858</v>
      </c>
      <c r="H45" s="197"/>
      <c r="I45" s="1526"/>
      <c r="J45" s="1526"/>
      <c r="K45" s="197"/>
      <c r="L45" s="197"/>
      <c r="P45" s="14"/>
    </row>
    <row r="46" spans="2:16" ht="15.75" thickBot="1">
      <c r="B46" s="1537"/>
      <c r="C46" s="380"/>
      <c r="D46" s="30"/>
      <c r="E46" s="30"/>
      <c r="F46" s="30"/>
      <c r="G46" s="30"/>
      <c r="H46" s="197"/>
      <c r="I46" s="1527"/>
      <c r="J46" s="1527"/>
      <c r="K46" s="197"/>
      <c r="L46" s="197"/>
      <c r="P46" s="14"/>
    </row>
    <row r="47" spans="2:16" ht="15.75" thickBot="1">
      <c r="B47" s="1506"/>
      <c r="C47" s="112"/>
      <c r="D47" s="40" t="s">
        <v>157</v>
      </c>
      <c r="E47" s="27"/>
      <c r="F47" s="27"/>
      <c r="G47" s="27"/>
      <c r="H47" s="1108">
        <f t="shared" ref="H47" si="3">SUM(H31:H46)</f>
        <v>0</v>
      </c>
      <c r="I47" s="1108">
        <f t="shared" ref="I47" si="4">SUM(I31:I46)</f>
        <v>0</v>
      </c>
      <c r="J47" s="1108">
        <f t="shared" ref="J47" si="5">SUM(J31:J46)</f>
        <v>0</v>
      </c>
      <c r="K47" s="1108">
        <f t="shared" ref="K47" si="6">SUM(K31:K46)</f>
        <v>0</v>
      </c>
      <c r="L47" s="197"/>
      <c r="M47" s="15"/>
      <c r="N47" s="15"/>
      <c r="P47" s="11"/>
    </row>
    <row r="48" spans="2:16" ht="24" customHeight="1" thickBot="1">
      <c r="B48" s="73" t="s">
        <v>39</v>
      </c>
      <c r="C48" s="109"/>
      <c r="D48" s="1453" t="s">
        <v>530</v>
      </c>
      <c r="E48" s="1454"/>
      <c r="F48" s="1454"/>
      <c r="G48" s="1454"/>
      <c r="H48" s="1454"/>
      <c r="I48" s="1454"/>
      <c r="J48" s="1454"/>
      <c r="K48" s="1454"/>
      <c r="L48" s="1528"/>
      <c r="M48" s="1528"/>
      <c r="N48" s="1528"/>
      <c r="O48" s="1528"/>
      <c r="P48" s="1519"/>
    </row>
    <row r="49" spans="2:16" ht="23.25" thickBot="1">
      <c r="B49" s="73" t="s">
        <v>41</v>
      </c>
      <c r="C49" s="109"/>
      <c r="D49" s="1453" t="s">
        <v>354</v>
      </c>
      <c r="E49" s="1454"/>
      <c r="F49" s="1454"/>
      <c r="G49" s="1454"/>
      <c r="H49" s="1454"/>
      <c r="I49" s="1454"/>
      <c r="J49" s="1454"/>
      <c r="K49" s="1454"/>
      <c r="L49" s="1528"/>
      <c r="M49" s="1528"/>
      <c r="N49" s="1528"/>
      <c r="O49" s="1528"/>
      <c r="P49" s="1519"/>
    </row>
    <row r="50" spans="2:16" ht="15.75" thickBot="1">
      <c r="B50" s="2"/>
      <c r="C50" s="77"/>
      <c r="D50" s="6"/>
      <c r="E50" s="6"/>
      <c r="F50" s="6"/>
      <c r="G50" s="6"/>
      <c r="H50" s="6"/>
      <c r="I50" s="6"/>
      <c r="J50" s="6"/>
      <c r="K50" s="6"/>
    </row>
    <row r="51" spans="2:16" ht="24" customHeight="1" thickBot="1">
      <c r="B51" s="1450" t="s">
        <v>43</v>
      </c>
      <c r="C51" s="1451"/>
      <c r="D51" s="1451"/>
      <c r="E51" s="1452"/>
      <c r="F51" s="6"/>
      <c r="G51" s="6"/>
      <c r="H51" s="6"/>
      <c r="I51" s="6"/>
      <c r="J51" s="6"/>
      <c r="K51" s="6"/>
    </row>
    <row r="52" spans="2:16" ht="15.75" thickBot="1">
      <c r="B52" s="1447">
        <v>1</v>
      </c>
      <c r="C52" s="95"/>
      <c r="D52" s="49" t="s">
        <v>44</v>
      </c>
      <c r="E52" s="31" t="s">
        <v>1642</v>
      </c>
      <c r="F52" s="6"/>
      <c r="G52" s="6"/>
      <c r="H52" s="6"/>
      <c r="I52" s="6"/>
      <c r="J52" s="6"/>
      <c r="K52" s="6"/>
    </row>
    <row r="53" spans="2:16" ht="15.75" thickBot="1">
      <c r="B53" s="1448"/>
      <c r="C53" s="95"/>
      <c r="D53" s="41" t="s">
        <v>45</v>
      </c>
      <c r="E53" s="31" t="s">
        <v>1753</v>
      </c>
      <c r="F53" s="6"/>
      <c r="G53" s="6"/>
      <c r="H53" s="6"/>
      <c r="I53" s="6"/>
      <c r="J53" s="6"/>
      <c r="K53" s="6"/>
    </row>
    <row r="54" spans="2:16" ht="15.75" thickBot="1">
      <c r="B54" s="1448"/>
      <c r="C54" s="95"/>
      <c r="D54" s="41" t="s">
        <v>46</v>
      </c>
      <c r="E54" s="31" t="s">
        <v>1730</v>
      </c>
      <c r="F54" s="6"/>
      <c r="G54" s="6"/>
      <c r="H54" s="6"/>
      <c r="I54" s="6"/>
      <c r="J54" s="6"/>
      <c r="K54" s="6"/>
    </row>
    <row r="55" spans="2:16" ht="15.75" thickBot="1">
      <c r="B55" s="1448"/>
      <c r="C55" s="95"/>
      <c r="D55" s="41" t="s">
        <v>47</v>
      </c>
      <c r="E55" s="31" t="s">
        <v>1660</v>
      </c>
      <c r="F55" s="6"/>
      <c r="G55" s="6"/>
      <c r="H55" s="6"/>
      <c r="I55" s="6"/>
      <c r="J55" s="6"/>
      <c r="K55" s="6"/>
    </row>
    <row r="56" spans="2:16" ht="15.75" thickBot="1">
      <c r="B56" s="1448"/>
      <c r="C56" s="95"/>
      <c r="D56" s="41" t="s">
        <v>48</v>
      </c>
      <c r="E56" s="31" t="s">
        <v>1731</v>
      </c>
      <c r="F56" s="6"/>
      <c r="G56" s="6"/>
      <c r="H56" s="6"/>
      <c r="I56" s="6"/>
      <c r="J56" s="6"/>
      <c r="K56" s="6"/>
    </row>
    <row r="57" spans="2:16" ht="15.75" thickBot="1">
      <c r="B57" s="1448"/>
      <c r="C57" s="95"/>
      <c r="D57" s="41" t="s">
        <v>49</v>
      </c>
      <c r="E57" s="31" t="s">
        <v>1789</v>
      </c>
      <c r="F57" s="6"/>
      <c r="G57" s="6"/>
      <c r="H57" s="6"/>
      <c r="I57" s="6"/>
      <c r="J57" s="6"/>
      <c r="K57" s="6"/>
    </row>
    <row r="58" spans="2:16" ht="15.75" thickBot="1">
      <c r="B58" s="1449"/>
      <c r="C58" s="3"/>
      <c r="D58" s="41" t="s">
        <v>50</v>
      </c>
      <c r="E58" s="31" t="s">
        <v>1733</v>
      </c>
      <c r="F58" s="6"/>
      <c r="G58" s="6"/>
      <c r="H58" s="6"/>
      <c r="I58" s="6"/>
      <c r="J58" s="6"/>
      <c r="K58" s="6"/>
    </row>
    <row r="59" spans="2:16" ht="15.75" thickBot="1">
      <c r="B59" s="2"/>
      <c r="C59" s="77"/>
      <c r="D59" s="6"/>
      <c r="E59" s="6"/>
      <c r="F59" s="6"/>
      <c r="G59" s="6"/>
      <c r="H59" s="6"/>
      <c r="I59" s="6"/>
      <c r="J59" s="6"/>
      <c r="K59" s="6"/>
    </row>
    <row r="60" spans="2:16" ht="15.75" thickBot="1">
      <c r="B60" s="1450" t="s">
        <v>51</v>
      </c>
      <c r="C60" s="1451"/>
      <c r="D60" s="1451"/>
      <c r="E60" s="1452"/>
      <c r="F60" s="6"/>
      <c r="G60" s="6"/>
      <c r="H60" s="6"/>
      <c r="I60" s="6"/>
      <c r="J60" s="6"/>
      <c r="K60" s="6"/>
    </row>
    <row r="61" spans="2:16" ht="15.75" thickBot="1">
      <c r="B61" s="1447">
        <v>1</v>
      </c>
      <c r="C61" s="95"/>
      <c r="D61" s="49" t="s">
        <v>44</v>
      </c>
      <c r="E61" s="445" t="s">
        <v>531</v>
      </c>
      <c r="F61" s="6"/>
      <c r="G61" s="6"/>
      <c r="H61" s="6"/>
      <c r="I61" s="6"/>
      <c r="J61" s="6"/>
      <c r="K61" s="6"/>
    </row>
    <row r="62" spans="2:16" ht="15.75" thickBot="1">
      <c r="B62" s="1448"/>
      <c r="C62" s="95"/>
      <c r="D62" s="41" t="s">
        <v>45</v>
      </c>
      <c r="E62" s="445" t="s">
        <v>53</v>
      </c>
      <c r="F62" s="6"/>
      <c r="G62" s="6"/>
      <c r="H62" s="6"/>
      <c r="I62" s="6"/>
      <c r="J62" s="6"/>
      <c r="K62" s="6"/>
    </row>
    <row r="63" spans="2:16" ht="15.75" thickBot="1">
      <c r="B63" s="1448"/>
      <c r="C63" s="95"/>
      <c r="D63" s="41" t="s">
        <v>46</v>
      </c>
      <c r="E63" s="315"/>
      <c r="F63" s="6"/>
      <c r="G63" s="6"/>
      <c r="H63" s="6"/>
      <c r="I63" s="6"/>
      <c r="J63" s="6"/>
      <c r="K63" s="6"/>
    </row>
    <row r="64" spans="2:16" ht="15.75" thickBot="1">
      <c r="B64" s="1448"/>
      <c r="C64" s="95"/>
      <c r="D64" s="41" t="s">
        <v>47</v>
      </c>
      <c r="E64" s="315"/>
      <c r="F64" s="6"/>
      <c r="G64" s="6"/>
      <c r="H64" s="6"/>
      <c r="I64" s="6"/>
      <c r="J64" s="6"/>
      <c r="K64" s="6"/>
    </row>
    <row r="65" spans="2:11" ht="15.75" thickBot="1">
      <c r="B65" s="1448"/>
      <c r="C65" s="95"/>
      <c r="D65" s="41" t="s">
        <v>48</v>
      </c>
      <c r="E65" s="315"/>
      <c r="F65" s="6"/>
      <c r="G65" s="6"/>
      <c r="H65" s="6"/>
      <c r="I65" s="6"/>
      <c r="J65" s="6"/>
      <c r="K65" s="6"/>
    </row>
    <row r="66" spans="2:11" ht="15.75" thickBot="1">
      <c r="B66" s="1448"/>
      <c r="C66" s="95"/>
      <c r="D66" s="41" t="s">
        <v>49</v>
      </c>
      <c r="E66" s="315"/>
      <c r="F66" s="6"/>
      <c r="G66" s="6"/>
      <c r="H66" s="6"/>
      <c r="I66" s="6"/>
      <c r="J66" s="6"/>
      <c r="K66" s="6"/>
    </row>
    <row r="67" spans="2:11" ht="15.75" thickBot="1">
      <c r="B67" s="1449"/>
      <c r="C67" s="3"/>
      <c r="D67" s="41" t="s">
        <v>50</v>
      </c>
      <c r="E67" s="315"/>
      <c r="F67" s="6"/>
      <c r="G67" s="6"/>
      <c r="H67" s="6"/>
      <c r="I67" s="6"/>
      <c r="J67" s="6"/>
      <c r="K67" s="6"/>
    </row>
    <row r="68" spans="2:11">
      <c r="B68" s="2"/>
      <c r="C68" s="77"/>
      <c r="D68" s="6"/>
      <c r="E68" s="6"/>
      <c r="F68" s="6"/>
      <c r="G68" s="6"/>
      <c r="H68" s="6"/>
      <c r="I68" s="6"/>
      <c r="J68" s="6"/>
      <c r="K68" s="6"/>
    </row>
    <row r="69" spans="2:11" ht="15.75" thickBot="1">
      <c r="B69" s="2"/>
      <c r="C69" s="77"/>
      <c r="D69" s="6"/>
      <c r="E69" s="6"/>
      <c r="F69" s="6"/>
      <c r="G69" s="6"/>
      <c r="H69" s="6"/>
      <c r="I69" s="6"/>
      <c r="J69" s="6"/>
      <c r="K69" s="6"/>
    </row>
    <row r="70" spans="2:11" ht="15.75" customHeight="1" thickBot="1">
      <c r="B70" s="1522" t="s">
        <v>54</v>
      </c>
      <c r="C70" s="1523"/>
      <c r="D70" s="1523"/>
      <c r="E70" s="1524"/>
      <c r="F70" s="1113"/>
      <c r="G70" s="6"/>
      <c r="H70" s="6"/>
      <c r="I70" s="6"/>
      <c r="J70" s="6"/>
      <c r="K70" s="6"/>
    </row>
    <row r="71" spans="2:11" ht="24.75" thickBot="1">
      <c r="B71" s="48" t="s">
        <v>55</v>
      </c>
      <c r="C71" s="41" t="s">
        <v>56</v>
      </c>
      <c r="D71" s="41" t="s">
        <v>57</v>
      </c>
      <c r="E71" s="41" t="s">
        <v>58</v>
      </c>
      <c r="F71" s="6"/>
      <c r="G71" s="6"/>
      <c r="H71" s="6"/>
      <c r="I71" s="6"/>
      <c r="J71" s="6"/>
    </row>
    <row r="72" spans="2:11" ht="72.75" thickBot="1">
      <c r="B72" s="50">
        <v>42401</v>
      </c>
      <c r="C72" s="41">
        <v>0.01</v>
      </c>
      <c r="D72" s="51" t="s">
        <v>532</v>
      </c>
      <c r="E72" s="41"/>
      <c r="F72" s="6"/>
      <c r="G72" s="6"/>
      <c r="H72" s="6"/>
      <c r="I72" s="6"/>
      <c r="J72" s="6"/>
    </row>
    <row r="73" spans="2:11" ht="15.75" thickBot="1">
      <c r="B73" s="4"/>
      <c r="C73" s="96"/>
      <c r="D73" s="6"/>
      <c r="E73" s="6"/>
      <c r="F73" s="6"/>
      <c r="G73" s="6"/>
      <c r="H73" s="6"/>
      <c r="I73" s="6"/>
      <c r="J73" s="6"/>
      <c r="K73" s="6"/>
    </row>
    <row r="74" spans="2:11" ht="24.75" thickBot="1">
      <c r="B74" s="5" t="s">
        <v>60</v>
      </c>
      <c r="C74" s="97"/>
      <c r="D74" s="6"/>
      <c r="E74" s="6"/>
      <c r="F74" s="6"/>
      <c r="G74" s="6"/>
      <c r="H74" s="6"/>
      <c r="I74" s="6"/>
      <c r="J74" s="6"/>
      <c r="K74" s="6"/>
    </row>
    <row r="75" spans="2:11" s="139" customFormat="1">
      <c r="B75" s="1541" t="s">
        <v>533</v>
      </c>
      <c r="C75" s="1542"/>
      <c r="D75" s="1542"/>
      <c r="E75" s="1542"/>
      <c r="F75" s="1542"/>
      <c r="G75" s="1542"/>
      <c r="H75" s="138"/>
      <c r="I75" s="138"/>
      <c r="J75" s="138"/>
      <c r="K75" s="138"/>
    </row>
    <row r="76" spans="2:11" s="139" customFormat="1">
      <c r="B76" s="1541" t="s">
        <v>534</v>
      </c>
      <c r="C76" s="1542"/>
      <c r="D76" s="1542"/>
      <c r="E76" s="1542"/>
      <c r="F76" s="1542"/>
      <c r="G76" s="1542"/>
      <c r="H76" s="138"/>
      <c r="I76" s="138"/>
      <c r="J76" s="138"/>
      <c r="K76" s="138"/>
    </row>
    <row r="77" spans="2:11" s="139" customFormat="1" ht="35.450000000000003" customHeight="1">
      <c r="B77" s="1543"/>
      <c r="C77" s="1544"/>
      <c r="D77" s="1544"/>
      <c r="E77" s="1544"/>
      <c r="F77" s="1544"/>
      <c r="G77" s="1544"/>
      <c r="H77" s="138"/>
      <c r="I77" s="138"/>
      <c r="J77" s="138"/>
      <c r="K77" s="138"/>
    </row>
    <row r="78" spans="2:11" ht="15.75" thickBot="1">
      <c r="B78" s="2"/>
      <c r="C78" s="77"/>
      <c r="D78" s="6"/>
      <c r="E78" s="6"/>
      <c r="F78" s="6"/>
      <c r="G78" s="6"/>
      <c r="H78" s="6"/>
      <c r="I78" s="6"/>
      <c r="J78" s="6"/>
      <c r="K78" s="6"/>
    </row>
    <row r="79" spans="2:11" ht="24.75" thickBot="1">
      <c r="B79" s="52" t="s">
        <v>61</v>
      </c>
      <c r="C79" s="98"/>
      <c r="D79" s="6"/>
      <c r="E79" s="6"/>
      <c r="F79" s="6"/>
      <c r="G79" s="6"/>
      <c r="H79" s="6"/>
      <c r="I79" s="6"/>
      <c r="J79" s="6"/>
      <c r="K79" s="6"/>
    </row>
    <row r="80" spans="2:11" ht="15.75" thickBot="1">
      <c r="B80" s="38"/>
      <c r="C80" s="89"/>
      <c r="D80" s="6"/>
      <c r="E80" s="6"/>
      <c r="F80" s="6"/>
      <c r="G80" s="6"/>
      <c r="H80" s="6"/>
      <c r="I80" s="6"/>
      <c r="J80" s="6"/>
      <c r="K80" s="6"/>
    </row>
    <row r="81" spans="2:11" ht="84.75" thickBot="1">
      <c r="B81" s="53" t="s">
        <v>62</v>
      </c>
      <c r="C81" s="99"/>
      <c r="D81" s="44" t="s">
        <v>490</v>
      </c>
      <c r="E81" s="6"/>
      <c r="F81" s="6"/>
      <c r="G81" s="6"/>
      <c r="H81" s="6"/>
      <c r="I81" s="6"/>
      <c r="J81" s="6"/>
      <c r="K81" s="6"/>
    </row>
    <row r="82" spans="2:11">
      <c r="B82" s="1447" t="s">
        <v>64</v>
      </c>
      <c r="C82" s="95"/>
      <c r="D82" s="54" t="s">
        <v>65</v>
      </c>
      <c r="E82" s="6"/>
      <c r="F82" s="6"/>
      <c r="G82" s="6"/>
      <c r="H82" s="6"/>
      <c r="I82" s="6"/>
      <c r="J82" s="6"/>
      <c r="K82" s="6"/>
    </row>
    <row r="83" spans="2:11" ht="120">
      <c r="B83" s="1448"/>
      <c r="C83" s="95"/>
      <c r="D83" s="47" t="s">
        <v>491</v>
      </c>
      <c r="E83" s="6"/>
      <c r="F83" s="6"/>
      <c r="G83" s="6"/>
      <c r="H83" s="6"/>
      <c r="I83" s="6"/>
      <c r="J83" s="6"/>
      <c r="K83" s="6"/>
    </row>
    <row r="84" spans="2:11">
      <c r="B84" s="1448"/>
      <c r="C84" s="95"/>
      <c r="D84" s="54" t="s">
        <v>68</v>
      </c>
      <c r="E84" s="6"/>
      <c r="F84" s="6"/>
      <c r="G84" s="6"/>
      <c r="H84" s="6"/>
      <c r="I84" s="6"/>
      <c r="J84" s="6"/>
      <c r="K84" s="6"/>
    </row>
    <row r="85" spans="2:11" ht="72">
      <c r="B85" s="1448"/>
      <c r="C85" s="95"/>
      <c r="D85" s="47" t="s">
        <v>492</v>
      </c>
      <c r="E85" s="6"/>
      <c r="F85" s="6"/>
      <c r="G85" s="6"/>
      <c r="H85" s="6"/>
      <c r="I85" s="6"/>
      <c r="J85" s="6"/>
      <c r="K85" s="6"/>
    </row>
    <row r="86" spans="2:11">
      <c r="B86" s="1448"/>
      <c r="C86" s="95"/>
      <c r="D86" s="47" t="s">
        <v>70</v>
      </c>
      <c r="E86" s="6"/>
      <c r="F86" s="6"/>
      <c r="G86" s="6"/>
      <c r="H86" s="6"/>
      <c r="I86" s="6"/>
      <c r="J86" s="6"/>
      <c r="K86" s="6"/>
    </row>
    <row r="87" spans="2:11">
      <c r="B87" s="1448"/>
      <c r="C87" s="95"/>
      <c r="D87" s="47" t="s">
        <v>493</v>
      </c>
      <c r="E87" s="6"/>
      <c r="F87" s="6"/>
      <c r="G87" s="6"/>
      <c r="H87" s="6"/>
      <c r="I87" s="6"/>
      <c r="J87" s="6"/>
      <c r="K87" s="6"/>
    </row>
    <row r="88" spans="2:11">
      <c r="B88" s="1448"/>
      <c r="C88" s="95"/>
      <c r="D88" s="47" t="s">
        <v>494</v>
      </c>
      <c r="E88" s="6"/>
      <c r="F88" s="6"/>
      <c r="G88" s="6"/>
      <c r="H88" s="6"/>
      <c r="I88" s="6"/>
      <c r="J88" s="6"/>
      <c r="K88" s="6"/>
    </row>
    <row r="89" spans="2:11">
      <c r="B89" s="1448"/>
      <c r="C89" s="95"/>
      <c r="D89" s="54" t="s">
        <v>296</v>
      </c>
      <c r="E89" s="6"/>
      <c r="F89" s="6"/>
      <c r="G89" s="6"/>
      <c r="H89" s="6"/>
      <c r="I89" s="6"/>
      <c r="J89" s="6"/>
      <c r="K89" s="6"/>
    </row>
    <row r="90" spans="2:11" ht="36.75" thickBot="1">
      <c r="B90" s="1449"/>
      <c r="C90" s="3"/>
      <c r="D90" s="41" t="s">
        <v>463</v>
      </c>
      <c r="E90" s="6"/>
      <c r="F90" s="6"/>
      <c r="G90" s="6"/>
      <c r="H90" s="6"/>
      <c r="I90" s="6"/>
      <c r="J90" s="6"/>
      <c r="K90" s="6"/>
    </row>
    <row r="91" spans="2:11" ht="24.75" thickBot="1">
      <c r="B91" s="48" t="s">
        <v>77</v>
      </c>
      <c r="C91" s="3"/>
      <c r="D91" s="41"/>
      <c r="E91" s="6"/>
      <c r="F91" s="6"/>
      <c r="G91" s="6"/>
      <c r="H91" s="6"/>
      <c r="I91" s="6"/>
      <c r="J91" s="6"/>
      <c r="K91" s="6"/>
    </row>
    <row r="92" spans="2:11" ht="48">
      <c r="B92" s="1447" t="s">
        <v>78</v>
      </c>
      <c r="C92" s="95"/>
      <c r="D92" s="47" t="s">
        <v>495</v>
      </c>
      <c r="E92" s="6"/>
      <c r="F92" s="6"/>
      <c r="G92" s="6"/>
      <c r="H92" s="6"/>
      <c r="I92" s="6"/>
      <c r="J92" s="6"/>
      <c r="K92" s="6"/>
    </row>
    <row r="93" spans="2:11" ht="60">
      <c r="B93" s="1448"/>
      <c r="C93" s="95"/>
      <c r="D93" s="26" t="s">
        <v>496</v>
      </c>
      <c r="E93" s="6"/>
      <c r="F93" s="6"/>
      <c r="G93" s="6"/>
      <c r="H93" s="6"/>
      <c r="I93" s="6"/>
      <c r="J93" s="6"/>
      <c r="K93" s="6"/>
    </row>
    <row r="94" spans="2:11" ht="36">
      <c r="B94" s="1448"/>
      <c r="C94" s="95"/>
      <c r="D94" s="26" t="s">
        <v>497</v>
      </c>
      <c r="E94" s="6"/>
      <c r="F94" s="6"/>
      <c r="G94" s="6"/>
      <c r="H94" s="6"/>
      <c r="I94" s="6"/>
      <c r="J94" s="6"/>
      <c r="K94" s="6"/>
    </row>
    <row r="95" spans="2:11" ht="48">
      <c r="B95" s="1448"/>
      <c r="C95" s="95"/>
      <c r="D95" s="26" t="s">
        <v>498</v>
      </c>
      <c r="E95" s="6"/>
      <c r="F95" s="6"/>
      <c r="G95" s="6"/>
      <c r="H95" s="6"/>
      <c r="I95" s="6"/>
      <c r="J95" s="6"/>
      <c r="K95" s="6"/>
    </row>
    <row r="96" spans="2:11" ht="36">
      <c r="B96" s="1448"/>
      <c r="C96" s="95"/>
      <c r="D96" s="26" t="s">
        <v>499</v>
      </c>
      <c r="E96" s="6"/>
      <c r="F96" s="6"/>
      <c r="G96" s="6"/>
      <c r="H96" s="6"/>
      <c r="I96" s="6"/>
      <c r="J96" s="6"/>
      <c r="K96" s="6"/>
    </row>
    <row r="97" spans="2:11" ht="96">
      <c r="B97" s="1448"/>
      <c r="C97" s="95"/>
      <c r="D97" s="47" t="s">
        <v>500</v>
      </c>
      <c r="E97" s="6"/>
      <c r="F97" s="6"/>
      <c r="G97" s="6"/>
      <c r="H97" s="6"/>
      <c r="I97" s="6"/>
      <c r="J97" s="6"/>
      <c r="K97" s="6"/>
    </row>
    <row r="98" spans="2:11" ht="48">
      <c r="B98" s="1448"/>
      <c r="C98" s="95"/>
      <c r="D98" s="47" t="s">
        <v>501</v>
      </c>
      <c r="E98" s="6"/>
      <c r="F98" s="6"/>
      <c r="G98" s="6"/>
      <c r="H98" s="6"/>
      <c r="I98" s="6"/>
      <c r="J98" s="6"/>
      <c r="K98" s="6"/>
    </row>
    <row r="99" spans="2:11" ht="36">
      <c r="B99" s="1448"/>
      <c r="C99" s="95"/>
      <c r="D99" s="47" t="s">
        <v>502</v>
      </c>
      <c r="E99" s="6"/>
      <c r="F99" s="6"/>
      <c r="G99" s="6"/>
      <c r="H99" s="6"/>
      <c r="I99" s="6"/>
      <c r="J99" s="6"/>
      <c r="K99" s="6"/>
    </row>
    <row r="100" spans="2:11" ht="36">
      <c r="B100" s="1448"/>
      <c r="C100" s="95"/>
      <c r="D100" s="47" t="s">
        <v>503</v>
      </c>
      <c r="E100" s="6"/>
      <c r="F100" s="6"/>
      <c r="G100" s="6"/>
      <c r="H100" s="6"/>
      <c r="I100" s="6"/>
      <c r="J100" s="6"/>
      <c r="K100" s="6"/>
    </row>
    <row r="101" spans="2:11" ht="96.75" thickBot="1">
      <c r="B101" s="1449"/>
      <c r="C101" s="3"/>
      <c r="D101" s="41" t="s">
        <v>504</v>
      </c>
      <c r="E101" s="6"/>
      <c r="F101" s="6"/>
      <c r="G101" s="6"/>
      <c r="H101" s="6"/>
      <c r="I101" s="6"/>
      <c r="J101" s="6"/>
      <c r="K101" s="6"/>
    </row>
    <row r="102" spans="2:11" ht="24">
      <c r="B102" s="1447" t="s">
        <v>95</v>
      </c>
      <c r="C102" s="95"/>
      <c r="D102" s="54" t="s">
        <v>505</v>
      </c>
      <c r="E102" s="6"/>
      <c r="F102" s="6"/>
      <c r="G102" s="6"/>
      <c r="H102" s="6"/>
      <c r="I102" s="6"/>
      <c r="J102" s="6"/>
      <c r="K102" s="6"/>
    </row>
    <row r="103" spans="2:11">
      <c r="B103" s="1448"/>
      <c r="C103" s="95"/>
      <c r="D103" s="47" t="s">
        <v>506</v>
      </c>
      <c r="E103" s="6"/>
      <c r="F103" s="6"/>
      <c r="G103" s="6"/>
      <c r="H103" s="6"/>
      <c r="I103" s="6"/>
      <c r="J103" s="6"/>
      <c r="K103" s="6"/>
    </row>
    <row r="104" spans="2:11">
      <c r="B104" s="1448"/>
      <c r="C104" s="95"/>
      <c r="D104" s="47" t="s">
        <v>96</v>
      </c>
      <c r="E104" s="6"/>
      <c r="F104" s="6"/>
      <c r="G104" s="6"/>
      <c r="H104" s="6"/>
      <c r="I104" s="6"/>
      <c r="J104" s="6"/>
      <c r="K104" s="6"/>
    </row>
    <row r="105" spans="2:11" ht="49.5">
      <c r="B105" s="1448"/>
      <c r="C105" s="95"/>
      <c r="D105" s="47" t="s">
        <v>507</v>
      </c>
      <c r="E105" s="6"/>
      <c r="F105" s="6"/>
      <c r="G105" s="6"/>
      <c r="H105" s="6"/>
      <c r="I105" s="6"/>
      <c r="J105" s="6"/>
      <c r="K105" s="6"/>
    </row>
    <row r="106" spans="2:11" ht="49.5">
      <c r="B106" s="1448"/>
      <c r="C106" s="95"/>
      <c r="D106" s="47" t="s">
        <v>508</v>
      </c>
      <c r="E106" s="6"/>
      <c r="F106" s="6"/>
      <c r="G106" s="6"/>
      <c r="H106" s="6"/>
      <c r="I106" s="6"/>
      <c r="J106" s="6"/>
      <c r="K106" s="6"/>
    </row>
    <row r="107" spans="2:11" ht="49.5">
      <c r="B107" s="1448"/>
      <c r="C107" s="95"/>
      <c r="D107" s="47" t="s">
        <v>509</v>
      </c>
      <c r="E107" s="6"/>
      <c r="F107" s="6"/>
      <c r="G107" s="6"/>
      <c r="H107" s="6"/>
      <c r="I107" s="6"/>
      <c r="J107" s="6"/>
      <c r="K107" s="6"/>
    </row>
    <row r="108" spans="2:11">
      <c r="B108" s="1448"/>
      <c r="C108" s="95"/>
      <c r="D108" s="54" t="s">
        <v>254</v>
      </c>
      <c r="E108" s="6"/>
      <c r="F108" s="6"/>
      <c r="G108" s="6"/>
      <c r="H108" s="6"/>
      <c r="I108" s="6"/>
      <c r="J108" s="6"/>
      <c r="K108" s="6"/>
    </row>
    <row r="109" spans="2:11" ht="36">
      <c r="B109" s="1448"/>
      <c r="C109" s="95"/>
      <c r="D109" s="54" t="s">
        <v>510</v>
      </c>
      <c r="E109" s="6"/>
      <c r="F109" s="6"/>
      <c r="G109" s="6"/>
      <c r="H109" s="6"/>
      <c r="I109" s="6"/>
      <c r="J109" s="6"/>
      <c r="K109" s="6"/>
    </row>
    <row r="110" spans="2:11">
      <c r="B110" s="1448"/>
      <c r="C110" s="95"/>
      <c r="D110" s="17"/>
      <c r="E110" s="6"/>
      <c r="F110" s="6"/>
      <c r="G110" s="6"/>
      <c r="H110" s="6"/>
      <c r="I110" s="6"/>
      <c r="J110" s="6"/>
      <c r="K110" s="6"/>
    </row>
    <row r="111" spans="2:11">
      <c r="B111" s="1448"/>
      <c r="C111" s="95"/>
      <c r="D111" s="47" t="s">
        <v>96</v>
      </c>
      <c r="E111" s="6"/>
      <c r="F111" s="6"/>
      <c r="G111" s="6"/>
      <c r="H111" s="6"/>
      <c r="I111" s="6"/>
      <c r="J111" s="6"/>
      <c r="K111" s="6"/>
    </row>
    <row r="112" spans="2:11" ht="49.5">
      <c r="B112" s="1448"/>
      <c r="C112" s="95"/>
      <c r="D112" s="47" t="s">
        <v>511</v>
      </c>
      <c r="E112" s="6"/>
      <c r="F112" s="6"/>
      <c r="G112" s="6"/>
      <c r="H112" s="6"/>
      <c r="I112" s="6"/>
      <c r="J112" s="6"/>
      <c r="K112" s="6"/>
    </row>
    <row r="113" spans="2:11" ht="50.25" thickBot="1">
      <c r="B113" s="1449"/>
      <c r="C113" s="3"/>
      <c r="D113" s="41" t="s">
        <v>512</v>
      </c>
      <c r="E113" s="6"/>
      <c r="F113" s="6"/>
      <c r="G113" s="6"/>
      <c r="H113" s="6"/>
      <c r="I113" s="6"/>
      <c r="J113" s="6"/>
      <c r="K113" s="6"/>
    </row>
    <row r="114" spans="2:11">
      <c r="B114" s="6"/>
      <c r="D114" s="6"/>
      <c r="E114" s="6"/>
      <c r="F114" s="6"/>
      <c r="G114" s="6"/>
      <c r="H114" s="6"/>
      <c r="I114" s="6"/>
      <c r="J114" s="6"/>
      <c r="K114" s="6"/>
    </row>
    <row r="115" spans="2:11">
      <c r="B115" s="6"/>
      <c r="D115" s="6"/>
      <c r="E115" s="6"/>
      <c r="F115" s="6"/>
      <c r="G115" s="6"/>
      <c r="H115" s="6"/>
      <c r="I115" s="6"/>
      <c r="J115" s="6"/>
      <c r="K115" s="6"/>
    </row>
    <row r="116" spans="2:11">
      <c r="B116" s="6"/>
      <c r="D116" s="6"/>
      <c r="E116" s="6"/>
      <c r="F116" s="6"/>
      <c r="G116" s="6"/>
      <c r="H116" s="6"/>
      <c r="I116" s="6"/>
      <c r="J116" s="6"/>
      <c r="K116" s="6"/>
    </row>
    <row r="117" spans="2:11">
      <c r="B117" s="6"/>
      <c r="D117" s="6"/>
      <c r="E117" s="6"/>
      <c r="F117" s="6"/>
      <c r="G117" s="6"/>
      <c r="H117" s="6"/>
      <c r="I117" s="6"/>
      <c r="J117" s="6"/>
      <c r="K117" s="6"/>
    </row>
    <row r="118" spans="2:11">
      <c r="B118" s="6"/>
      <c r="D118" s="6"/>
      <c r="E118" s="6"/>
      <c r="F118" s="6"/>
      <c r="G118" s="6"/>
      <c r="H118" s="6"/>
      <c r="I118" s="6"/>
      <c r="J118" s="6"/>
      <c r="K118" s="6"/>
    </row>
    <row r="119" spans="2:11">
      <c r="B119" s="6"/>
      <c r="D119" s="6"/>
      <c r="E119" s="6"/>
      <c r="F119" s="6"/>
      <c r="G119" s="6"/>
      <c r="H119" s="6"/>
      <c r="I119" s="6"/>
      <c r="J119" s="6"/>
      <c r="K119" s="6"/>
    </row>
    <row r="120" spans="2:11">
      <c r="B120" s="6"/>
      <c r="D120" s="6"/>
      <c r="E120" s="6"/>
      <c r="F120" s="6"/>
      <c r="G120" s="6"/>
      <c r="H120" s="6"/>
      <c r="I120" s="6"/>
      <c r="J120" s="6"/>
      <c r="K120" s="6"/>
    </row>
    <row r="121" spans="2:11">
      <c r="B121" s="6"/>
      <c r="D121" s="6"/>
      <c r="E121" s="6"/>
      <c r="F121" s="6"/>
      <c r="G121" s="6"/>
      <c r="H121" s="6"/>
      <c r="I121" s="6"/>
      <c r="J121" s="6"/>
      <c r="K121" s="6"/>
    </row>
    <row r="122" spans="2:11">
      <c r="B122" s="6"/>
      <c r="D122" s="6"/>
      <c r="E122" s="6"/>
      <c r="F122" s="6"/>
      <c r="G122" s="6"/>
      <c r="H122" s="6"/>
      <c r="I122" s="6"/>
      <c r="J122" s="6"/>
      <c r="K122" s="6"/>
    </row>
    <row r="123" spans="2:11">
      <c r="B123" s="6"/>
      <c r="D123" s="6"/>
      <c r="E123" s="6"/>
      <c r="F123" s="6"/>
      <c r="G123" s="6"/>
      <c r="H123" s="6"/>
      <c r="I123" s="6"/>
      <c r="J123" s="6"/>
      <c r="K123" s="6"/>
    </row>
    <row r="124" spans="2:11">
      <c r="B124" s="6"/>
      <c r="D124" s="6"/>
      <c r="E124" s="6"/>
      <c r="F124" s="6"/>
      <c r="G124" s="6"/>
      <c r="H124" s="6"/>
      <c r="I124" s="6"/>
      <c r="J124" s="6"/>
      <c r="K124" s="6"/>
    </row>
    <row r="125" spans="2:11">
      <c r="B125" s="6"/>
      <c r="D125" s="6"/>
      <c r="E125" s="6"/>
      <c r="F125" s="6"/>
      <c r="G125" s="6"/>
      <c r="H125" s="6"/>
      <c r="I125" s="6"/>
      <c r="J125" s="6"/>
      <c r="K125" s="6"/>
    </row>
    <row r="126" spans="2:11">
      <c r="B126" s="6"/>
      <c r="D126" s="6"/>
      <c r="E126" s="6"/>
      <c r="F126" s="6"/>
      <c r="G126" s="6"/>
      <c r="H126" s="6"/>
      <c r="I126" s="6"/>
      <c r="J126" s="6"/>
      <c r="K126" s="6"/>
    </row>
    <row r="127" spans="2:11">
      <c r="B127" s="6"/>
      <c r="D127" s="6"/>
      <c r="E127" s="6"/>
      <c r="F127" s="6"/>
      <c r="G127" s="6"/>
      <c r="H127" s="6"/>
      <c r="I127" s="6"/>
      <c r="J127" s="6"/>
      <c r="K127" s="6"/>
    </row>
    <row r="128" spans="2:11">
      <c r="B128" s="6"/>
      <c r="D128" s="6"/>
      <c r="E128" s="6"/>
      <c r="F128" s="6"/>
      <c r="G128" s="6"/>
      <c r="H128" s="6"/>
      <c r="I128" s="6"/>
      <c r="J128" s="6"/>
      <c r="K128" s="6"/>
    </row>
    <row r="129" spans="2:11">
      <c r="B129" s="6"/>
      <c r="D129" s="6"/>
      <c r="E129" s="6"/>
      <c r="F129" s="6"/>
      <c r="G129" s="6"/>
      <c r="H129" s="6"/>
      <c r="I129" s="6"/>
      <c r="J129" s="6"/>
      <c r="K129" s="6"/>
    </row>
    <row r="130" spans="2:11">
      <c r="B130" s="6"/>
      <c r="D130" s="6"/>
      <c r="E130" s="6"/>
      <c r="F130" s="6"/>
      <c r="G130" s="6"/>
      <c r="H130" s="6"/>
      <c r="I130" s="6"/>
      <c r="J130" s="6"/>
      <c r="K130" s="6"/>
    </row>
    <row r="131" spans="2:11">
      <c r="B131" s="6"/>
      <c r="D131" s="6"/>
      <c r="E131" s="6"/>
      <c r="F131" s="6"/>
      <c r="G131" s="6"/>
      <c r="H131" s="6"/>
      <c r="I131" s="6"/>
      <c r="J131" s="6"/>
      <c r="K131" s="6"/>
    </row>
    <row r="132" spans="2:11">
      <c r="B132" s="6"/>
      <c r="D132" s="6"/>
      <c r="E132" s="6"/>
      <c r="F132" s="6"/>
      <c r="G132" s="6"/>
      <c r="H132" s="6"/>
      <c r="I132" s="6"/>
      <c r="J132" s="6"/>
      <c r="K132" s="6"/>
    </row>
    <row r="133" spans="2:11">
      <c r="B133" s="6"/>
      <c r="D133" s="6"/>
      <c r="E133" s="6"/>
      <c r="F133" s="6"/>
      <c r="G133" s="6"/>
      <c r="H133" s="6"/>
      <c r="I133" s="6"/>
      <c r="J133" s="6"/>
      <c r="K133" s="6"/>
    </row>
    <row r="134" spans="2:11">
      <c r="B134" s="6"/>
      <c r="D134" s="6"/>
      <c r="E134" s="6"/>
      <c r="F134" s="6"/>
      <c r="G134" s="6"/>
      <c r="H134" s="6"/>
      <c r="I134" s="6"/>
      <c r="J134" s="6"/>
      <c r="K134" s="6"/>
    </row>
    <row r="135" spans="2:11">
      <c r="B135" s="6"/>
      <c r="D135" s="6"/>
      <c r="E135" s="6"/>
      <c r="F135" s="6"/>
      <c r="G135" s="6"/>
      <c r="H135" s="6"/>
      <c r="I135" s="6"/>
      <c r="J135" s="6"/>
      <c r="K135" s="6"/>
    </row>
    <row r="136" spans="2:11">
      <c r="B136" s="6"/>
      <c r="D136" s="6"/>
      <c r="E136" s="6"/>
      <c r="F136" s="6"/>
      <c r="G136" s="6"/>
      <c r="H136" s="6"/>
      <c r="I136" s="6"/>
      <c r="J136" s="6"/>
      <c r="K136" s="6"/>
    </row>
    <row r="137" spans="2:11">
      <c r="B137" s="6"/>
      <c r="D137" s="6"/>
      <c r="E137" s="6"/>
      <c r="F137" s="6"/>
      <c r="G137" s="6"/>
      <c r="H137" s="6"/>
      <c r="I137" s="6"/>
      <c r="J137" s="6"/>
      <c r="K137" s="6"/>
    </row>
    <row r="138" spans="2:11">
      <c r="B138" s="6"/>
      <c r="D138" s="6"/>
      <c r="E138" s="6"/>
      <c r="F138" s="6"/>
      <c r="G138" s="6"/>
      <c r="H138" s="6"/>
      <c r="I138" s="6"/>
      <c r="J138" s="6"/>
      <c r="K138" s="6"/>
    </row>
    <row r="139" spans="2:11">
      <c r="B139" s="6"/>
      <c r="D139" s="6"/>
      <c r="E139" s="6"/>
      <c r="F139" s="6"/>
      <c r="G139" s="6"/>
      <c r="H139" s="6"/>
      <c r="I139" s="6"/>
      <c r="J139" s="6"/>
      <c r="K139" s="6"/>
    </row>
    <row r="140" spans="2:11">
      <c r="B140" s="6"/>
      <c r="D140" s="6"/>
      <c r="E140" s="6"/>
      <c r="F140" s="6"/>
      <c r="G140" s="6"/>
      <c r="H140" s="6"/>
      <c r="I140" s="6"/>
      <c r="J140" s="6"/>
      <c r="K140" s="6"/>
    </row>
    <row r="141" spans="2:11">
      <c r="B141" s="6"/>
      <c r="D141" s="6"/>
      <c r="E141" s="6"/>
      <c r="F141" s="6"/>
      <c r="G141" s="6"/>
      <c r="H141" s="6"/>
      <c r="I141" s="6"/>
      <c r="J141" s="6"/>
      <c r="K141" s="6"/>
    </row>
    <row r="142" spans="2:11">
      <c r="B142" s="6"/>
      <c r="D142" s="6"/>
      <c r="E142" s="6"/>
      <c r="F142" s="6"/>
      <c r="G142" s="6"/>
      <c r="H142" s="6"/>
      <c r="I142" s="6"/>
      <c r="J142" s="6"/>
      <c r="K142" s="6"/>
    </row>
    <row r="143" spans="2:11">
      <c r="B143" s="6"/>
      <c r="D143" s="6"/>
      <c r="E143" s="6"/>
      <c r="F143" s="6"/>
      <c r="G143" s="6"/>
      <c r="H143" s="6"/>
      <c r="I143" s="6"/>
      <c r="J143" s="6"/>
      <c r="K143" s="6"/>
    </row>
    <row r="144" spans="2:11">
      <c r="B144" s="6"/>
      <c r="D144" s="6"/>
      <c r="E144" s="6"/>
      <c r="F144" s="6"/>
      <c r="G144" s="6"/>
      <c r="H144" s="6"/>
      <c r="I144" s="6"/>
      <c r="J144" s="6"/>
      <c r="K144" s="6"/>
    </row>
    <row r="145" spans="2:11">
      <c r="B145" s="6"/>
      <c r="D145" s="6"/>
      <c r="E145" s="6"/>
      <c r="F145" s="6"/>
      <c r="G145" s="6"/>
      <c r="H145" s="6"/>
      <c r="I145" s="6"/>
      <c r="J145" s="6"/>
      <c r="K145" s="6"/>
    </row>
    <row r="146" spans="2:11">
      <c r="B146" s="6"/>
      <c r="D146" s="6"/>
      <c r="E146" s="6"/>
      <c r="F146" s="6"/>
      <c r="G146" s="6"/>
      <c r="H146" s="6"/>
      <c r="I146" s="6"/>
      <c r="J146" s="6"/>
      <c r="K146" s="6"/>
    </row>
    <row r="147" spans="2:11">
      <c r="B147" s="6"/>
      <c r="D147" s="6"/>
      <c r="E147" s="6"/>
      <c r="F147" s="6"/>
      <c r="G147" s="6"/>
      <c r="H147" s="6"/>
      <c r="I147" s="6"/>
      <c r="J147" s="6"/>
      <c r="K147" s="6"/>
    </row>
    <row r="148" spans="2:11">
      <c r="B148" s="6"/>
      <c r="D148" s="6"/>
      <c r="E148" s="6"/>
      <c r="F148" s="6"/>
      <c r="G148" s="6"/>
      <c r="H148" s="6"/>
      <c r="I148" s="6"/>
      <c r="J148" s="6"/>
      <c r="K148" s="6"/>
    </row>
    <row r="149" spans="2:11">
      <c r="B149" s="6"/>
      <c r="D149" s="6"/>
      <c r="E149" s="6"/>
      <c r="F149" s="6"/>
      <c r="G149" s="6"/>
      <c r="H149" s="6"/>
      <c r="I149" s="6"/>
      <c r="J149" s="6"/>
      <c r="K149" s="6"/>
    </row>
    <row r="150" spans="2:11">
      <c r="B150" s="6"/>
      <c r="D150" s="6"/>
      <c r="E150" s="6"/>
      <c r="F150" s="6"/>
      <c r="G150" s="6"/>
      <c r="H150" s="6"/>
      <c r="I150" s="6"/>
      <c r="J150" s="6"/>
      <c r="K150" s="6"/>
    </row>
    <row r="151" spans="2:11">
      <c r="B151" s="6"/>
      <c r="D151" s="6"/>
      <c r="E151" s="6"/>
      <c r="F151" s="6"/>
      <c r="G151" s="6"/>
      <c r="H151" s="6"/>
      <c r="I151" s="6"/>
      <c r="J151" s="6"/>
      <c r="K151" s="6"/>
    </row>
    <row r="152" spans="2:11">
      <c r="B152" s="6"/>
      <c r="D152" s="6"/>
      <c r="E152" s="6"/>
      <c r="F152" s="6"/>
      <c r="G152" s="6"/>
      <c r="H152" s="6"/>
      <c r="I152" s="6"/>
      <c r="J152" s="6"/>
      <c r="K152" s="6"/>
    </row>
    <row r="153" spans="2:11">
      <c r="B153" s="6"/>
      <c r="D153" s="6"/>
      <c r="E153" s="6"/>
      <c r="F153" s="6"/>
      <c r="G153" s="6"/>
      <c r="H153" s="6"/>
      <c r="I153" s="6"/>
      <c r="J153" s="6"/>
      <c r="K153" s="6"/>
    </row>
    <row r="154" spans="2:11">
      <c r="B154" s="6"/>
      <c r="D154" s="6"/>
      <c r="E154" s="6"/>
      <c r="F154" s="6"/>
      <c r="G154" s="6"/>
      <c r="H154" s="6"/>
      <c r="I154" s="6"/>
      <c r="J154" s="6"/>
      <c r="K154" s="6"/>
    </row>
    <row r="155" spans="2:11">
      <c r="B155" s="6"/>
      <c r="D155" s="6"/>
      <c r="E155" s="6"/>
      <c r="F155" s="6"/>
      <c r="G155" s="6"/>
      <c r="H155" s="6"/>
      <c r="I155" s="6"/>
      <c r="J155" s="6"/>
      <c r="K155" s="6"/>
    </row>
    <row r="156" spans="2:11">
      <c r="B156" s="6"/>
      <c r="D156" s="6"/>
      <c r="E156" s="6"/>
      <c r="F156" s="6"/>
      <c r="G156" s="6"/>
      <c r="H156" s="6"/>
      <c r="I156" s="6"/>
      <c r="J156" s="6"/>
      <c r="K156" s="6"/>
    </row>
    <row r="157" spans="2:11">
      <c r="B157" s="6"/>
      <c r="D157" s="6"/>
      <c r="E157" s="6"/>
      <c r="F157" s="6"/>
      <c r="G157" s="6"/>
      <c r="H157" s="6"/>
      <c r="I157" s="6"/>
      <c r="J157" s="6"/>
      <c r="K157" s="6"/>
    </row>
    <row r="158" spans="2:11">
      <c r="B158" s="6"/>
      <c r="D158" s="6"/>
      <c r="E158" s="6"/>
      <c r="F158" s="6"/>
      <c r="G158" s="6"/>
      <c r="H158" s="6"/>
      <c r="I158" s="6"/>
      <c r="J158" s="6"/>
      <c r="K158" s="6"/>
    </row>
    <row r="159" spans="2:11">
      <c r="B159" s="6"/>
      <c r="D159" s="6"/>
      <c r="E159" s="6"/>
      <c r="F159" s="6"/>
      <c r="G159" s="6"/>
      <c r="H159" s="6"/>
      <c r="I159" s="6"/>
      <c r="J159" s="6"/>
      <c r="K159" s="6"/>
    </row>
    <row r="160" spans="2:11">
      <c r="B160" s="6"/>
      <c r="D160" s="6"/>
      <c r="E160" s="6"/>
      <c r="F160" s="6"/>
      <c r="G160" s="6"/>
      <c r="H160" s="6"/>
      <c r="I160" s="6"/>
      <c r="J160" s="6"/>
      <c r="K160" s="6"/>
    </row>
    <row r="161" spans="2:11">
      <c r="B161" s="6"/>
      <c r="D161" s="6"/>
      <c r="E161" s="6"/>
      <c r="F161" s="6"/>
      <c r="G161" s="6"/>
      <c r="H161" s="6"/>
      <c r="I161" s="6"/>
      <c r="J161" s="6"/>
      <c r="K161" s="6"/>
    </row>
    <row r="162" spans="2:11">
      <c r="B162" s="6"/>
      <c r="D162" s="6"/>
      <c r="E162" s="6"/>
      <c r="F162" s="6"/>
      <c r="G162" s="6"/>
      <c r="H162" s="6"/>
      <c r="I162" s="6"/>
      <c r="J162" s="6"/>
      <c r="K162" s="6"/>
    </row>
    <row r="163" spans="2:11">
      <c r="B163" s="6"/>
      <c r="D163" s="6"/>
      <c r="E163" s="6"/>
      <c r="F163" s="6"/>
      <c r="G163" s="6"/>
      <c r="H163" s="6"/>
      <c r="I163" s="6"/>
      <c r="J163" s="6"/>
      <c r="K163" s="6"/>
    </row>
    <row r="164" spans="2:11">
      <c r="B164" s="6"/>
      <c r="D164" s="6"/>
      <c r="E164" s="6"/>
      <c r="F164" s="6"/>
      <c r="G164" s="6"/>
      <c r="H164" s="6"/>
      <c r="I164" s="6"/>
      <c r="J164" s="6"/>
      <c r="K164" s="6"/>
    </row>
    <row r="165" spans="2:11">
      <c r="B165" s="6"/>
      <c r="D165" s="6"/>
      <c r="E165" s="6"/>
      <c r="F165" s="6"/>
      <c r="G165" s="6"/>
      <c r="H165" s="6"/>
      <c r="I165" s="6"/>
      <c r="J165" s="6"/>
      <c r="K165" s="6"/>
    </row>
    <row r="166" spans="2:11">
      <c r="B166" s="6"/>
      <c r="D166" s="6"/>
      <c r="E166" s="6"/>
      <c r="F166" s="6"/>
      <c r="G166" s="6"/>
      <c r="H166" s="6"/>
      <c r="I166" s="6"/>
      <c r="J166" s="6"/>
      <c r="K166" s="6"/>
    </row>
    <row r="167" spans="2:11">
      <c r="B167" s="6"/>
      <c r="D167" s="6"/>
      <c r="E167" s="6"/>
      <c r="F167" s="6"/>
      <c r="G167" s="6"/>
      <c r="H167" s="6"/>
      <c r="I167" s="6"/>
      <c r="J167" s="6"/>
      <c r="K167" s="6"/>
    </row>
    <row r="168" spans="2:11">
      <c r="B168" s="6"/>
      <c r="D168" s="6"/>
      <c r="E168" s="6"/>
      <c r="F168" s="6"/>
      <c r="G168" s="6"/>
      <c r="H168" s="6"/>
      <c r="I168" s="6"/>
      <c r="J168" s="6"/>
      <c r="K168" s="6"/>
    </row>
    <row r="169" spans="2:11">
      <c r="B169" s="6"/>
      <c r="D169" s="6"/>
      <c r="E169" s="6"/>
      <c r="F169" s="6"/>
      <c r="G169" s="6"/>
      <c r="H169" s="6"/>
      <c r="I169" s="6"/>
      <c r="J169" s="6"/>
      <c r="K169" s="6"/>
    </row>
    <row r="170" spans="2:11">
      <c r="B170" s="6"/>
      <c r="D170" s="6"/>
      <c r="E170" s="6"/>
      <c r="F170" s="6"/>
      <c r="G170" s="6"/>
      <c r="H170" s="6"/>
      <c r="I170" s="6"/>
      <c r="J170" s="6"/>
      <c r="K170" s="6"/>
    </row>
    <row r="171" spans="2:11">
      <c r="B171" s="6"/>
      <c r="D171" s="6"/>
      <c r="E171" s="6"/>
      <c r="F171" s="6"/>
      <c r="G171" s="6"/>
      <c r="H171" s="6"/>
      <c r="I171" s="6"/>
      <c r="J171" s="6"/>
      <c r="K171" s="6"/>
    </row>
    <row r="172" spans="2:11">
      <c r="B172" s="6"/>
      <c r="D172" s="6"/>
      <c r="E172" s="6"/>
      <c r="F172" s="6"/>
      <c r="G172" s="6"/>
      <c r="H172" s="6"/>
      <c r="I172" s="6"/>
      <c r="J172" s="6"/>
      <c r="K172" s="6"/>
    </row>
    <row r="173" spans="2:11">
      <c r="B173" s="6"/>
      <c r="D173" s="6"/>
      <c r="E173" s="6"/>
      <c r="F173" s="6"/>
      <c r="G173" s="6"/>
      <c r="H173" s="6"/>
      <c r="I173" s="6"/>
      <c r="J173" s="6"/>
      <c r="K173" s="6"/>
    </row>
    <row r="174" spans="2:11">
      <c r="B174" s="6"/>
      <c r="D174" s="6"/>
      <c r="E174" s="6"/>
      <c r="F174" s="6"/>
      <c r="G174" s="6"/>
      <c r="H174" s="6"/>
      <c r="I174" s="6"/>
      <c r="J174" s="6"/>
      <c r="K174" s="6"/>
    </row>
    <row r="175" spans="2:11">
      <c r="B175" s="6"/>
      <c r="D175" s="6"/>
      <c r="E175" s="6"/>
      <c r="F175" s="6"/>
      <c r="G175" s="6"/>
      <c r="H175" s="6"/>
      <c r="I175" s="6"/>
      <c r="J175" s="6"/>
      <c r="K175" s="6"/>
    </row>
    <row r="176" spans="2:11">
      <c r="B176" s="6"/>
      <c r="D176" s="6"/>
      <c r="E176" s="6"/>
      <c r="F176" s="6"/>
      <c r="G176" s="6"/>
      <c r="H176" s="6"/>
      <c r="I176" s="6"/>
      <c r="J176" s="6"/>
      <c r="K176" s="6"/>
    </row>
    <row r="177" spans="2:11">
      <c r="B177" s="6"/>
      <c r="D177" s="6"/>
      <c r="E177" s="6"/>
      <c r="F177" s="6"/>
      <c r="G177" s="6"/>
      <c r="H177" s="6"/>
      <c r="I177" s="6"/>
      <c r="J177" s="6"/>
      <c r="K177" s="6"/>
    </row>
    <row r="178" spans="2:11">
      <c r="B178" s="6"/>
      <c r="D178" s="6"/>
      <c r="E178" s="6"/>
      <c r="F178" s="6"/>
      <c r="G178" s="6"/>
      <c r="H178" s="6"/>
      <c r="I178" s="6"/>
      <c r="J178" s="6"/>
      <c r="K178" s="6"/>
    </row>
    <row r="179" spans="2:11">
      <c r="B179" s="6"/>
      <c r="D179" s="6"/>
      <c r="E179" s="6"/>
      <c r="F179" s="6"/>
      <c r="G179" s="6"/>
      <c r="H179" s="6"/>
      <c r="I179" s="6"/>
      <c r="J179" s="6"/>
      <c r="K179" s="6"/>
    </row>
    <row r="180" spans="2:11">
      <c r="B180" s="6"/>
      <c r="D180" s="6"/>
      <c r="E180" s="6"/>
      <c r="F180" s="6"/>
      <c r="G180" s="6"/>
      <c r="H180" s="6"/>
      <c r="I180" s="6"/>
      <c r="J180" s="6"/>
      <c r="K180" s="6"/>
    </row>
    <row r="181" spans="2:11">
      <c r="B181" s="6"/>
      <c r="D181" s="6"/>
      <c r="E181" s="6"/>
      <c r="F181" s="6"/>
      <c r="G181" s="6"/>
      <c r="H181" s="6"/>
      <c r="I181" s="6"/>
      <c r="J181" s="6"/>
      <c r="K181" s="6"/>
    </row>
    <row r="182" spans="2:11">
      <c r="B182" s="6"/>
      <c r="D182" s="6"/>
      <c r="E182" s="6"/>
      <c r="F182" s="6"/>
      <c r="G182" s="6"/>
      <c r="H182" s="6"/>
      <c r="I182" s="6"/>
      <c r="J182" s="6"/>
      <c r="K182" s="6"/>
    </row>
    <row r="183" spans="2:11">
      <c r="B183" s="6"/>
      <c r="D183" s="6"/>
      <c r="E183" s="6"/>
      <c r="F183" s="6"/>
      <c r="G183" s="6"/>
      <c r="H183" s="6"/>
      <c r="I183" s="6"/>
      <c r="J183" s="6"/>
      <c r="K183" s="6"/>
    </row>
    <row r="184" spans="2:11">
      <c r="B184" s="6"/>
      <c r="D184" s="6"/>
      <c r="E184" s="6"/>
      <c r="F184" s="6"/>
      <c r="G184" s="6"/>
      <c r="H184" s="6"/>
      <c r="I184" s="6"/>
      <c r="J184" s="6"/>
      <c r="K184" s="6"/>
    </row>
    <row r="185" spans="2:11">
      <c r="B185" s="6"/>
      <c r="D185" s="6"/>
      <c r="E185" s="6"/>
      <c r="F185" s="6"/>
      <c r="G185" s="6"/>
      <c r="H185" s="6"/>
      <c r="I185" s="6"/>
      <c r="J185" s="6"/>
      <c r="K185" s="6"/>
    </row>
    <row r="186" spans="2:11">
      <c r="B186" s="6"/>
      <c r="D186" s="6"/>
      <c r="E186" s="6"/>
      <c r="F186" s="6"/>
      <c r="G186" s="6"/>
      <c r="H186" s="6"/>
      <c r="I186" s="6"/>
      <c r="J186" s="6"/>
      <c r="K186" s="6"/>
    </row>
  </sheetData>
  <sheetProtection sheet="1" objects="1" scenarios="1"/>
  <mergeCells count="52">
    <mergeCell ref="Q15:Q18"/>
    <mergeCell ref="B10:D10"/>
    <mergeCell ref="F10:S10"/>
    <mergeCell ref="F11:S11"/>
    <mergeCell ref="E12:R12"/>
    <mergeCell ref="E13:R13"/>
    <mergeCell ref="K17:M17"/>
    <mergeCell ref="N17:P17"/>
    <mergeCell ref="A1:P1"/>
    <mergeCell ref="A2:P2"/>
    <mergeCell ref="A3:P3"/>
    <mergeCell ref="A4:D4"/>
    <mergeCell ref="A5:P5"/>
    <mergeCell ref="B82:B90"/>
    <mergeCell ref="B92:B101"/>
    <mergeCell ref="B77:G77"/>
    <mergeCell ref="B52:B58"/>
    <mergeCell ref="B60:E60"/>
    <mergeCell ref="B61:B67"/>
    <mergeCell ref="B102:B113"/>
    <mergeCell ref="D16:D18"/>
    <mergeCell ref="E16:J16"/>
    <mergeCell ref="E17:G17"/>
    <mergeCell ref="H17:J17"/>
    <mergeCell ref="B15:B47"/>
    <mergeCell ref="D15:P15"/>
    <mergeCell ref="D23:P23"/>
    <mergeCell ref="D24:P24"/>
    <mergeCell ref="D25:P25"/>
    <mergeCell ref="D26:P26"/>
    <mergeCell ref="K16:P16"/>
    <mergeCell ref="D48:P48"/>
    <mergeCell ref="B75:G75"/>
    <mergeCell ref="B76:G76"/>
    <mergeCell ref="E29:E30"/>
    <mergeCell ref="D27:P27"/>
    <mergeCell ref="D28:P28"/>
    <mergeCell ref="D29:D30"/>
    <mergeCell ref="F29:F30"/>
    <mergeCell ref="G29:G30"/>
    <mergeCell ref="J29:J30"/>
    <mergeCell ref="L29:L30"/>
    <mergeCell ref="C29:C30"/>
    <mergeCell ref="B70:E70"/>
    <mergeCell ref="J40:J46"/>
    <mergeCell ref="D40:D45"/>
    <mergeCell ref="E40:E45"/>
    <mergeCell ref="F40:F45"/>
    <mergeCell ref="I40:I46"/>
    <mergeCell ref="D49:P49"/>
    <mergeCell ref="B51:E51"/>
    <mergeCell ref="K29:K30"/>
  </mergeCells>
  <conditionalFormatting sqref="F10">
    <cfRule type="notContainsBlanks" dxfId="78" priority="4">
      <formula>LEN(TRIM(F10))&gt;0</formula>
    </cfRule>
  </conditionalFormatting>
  <conditionalFormatting sqref="F11:S11">
    <cfRule type="expression" dxfId="77" priority="2">
      <formula>E11="NO SE REPORTA"</formula>
    </cfRule>
    <cfRule type="expression" dxfId="76" priority="3">
      <formula>E10="NO APLICA"</formula>
    </cfRule>
  </conditionalFormatting>
  <conditionalFormatting sqref="E12:R12">
    <cfRule type="expression" dxfId="75" priority="1">
      <formula>E11="SI SE REPORTA"</formula>
    </cfRule>
  </conditionalFormatting>
  <dataValidations count="4">
    <dataValidation type="whole" operator="greaterThanOrEqual" allowBlank="1" showErrorMessage="1" errorTitle="ERROR" error="Escriba un número igual o mayor que 0" promptTitle="ERROR" prompt="Escriba un número igual o mayor que 0" sqref="E19:P21">
      <formula1>0</formula1>
    </dataValidation>
    <dataValidation type="whole" operator="greaterThanOrEqual" allowBlank="1" showInputMessage="1" showErrorMessage="1" errorTitle="ERROR" error="Valor en PESOS (sin centavos)" sqref="H31:H46 I31:I40 K31:K46 J31:J40">
      <formula1>0</formula1>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11"/>
  <sheetViews>
    <sheetView topLeftCell="A76" zoomScale="95" zoomScaleNormal="95" zoomScaleSheetLayoutView="75" workbookViewId="0">
      <selection activeCell="E84" sqref="E84"/>
    </sheetView>
  </sheetViews>
  <sheetFormatPr baseColWidth="10" defaultRowHeight="12.75"/>
  <cols>
    <col min="1" max="1" width="7.42578125" style="554" customWidth="1"/>
    <col min="2" max="2" width="6.42578125" style="554" customWidth="1"/>
    <col min="3" max="3" width="8" style="554" customWidth="1"/>
    <col min="4" max="4" width="7" style="554" customWidth="1"/>
    <col min="5" max="5" width="27.140625" style="554" customWidth="1"/>
    <col min="6" max="6" width="9.5703125" style="554" customWidth="1"/>
    <col min="7" max="7" width="15.140625" style="554" customWidth="1"/>
    <col min="8" max="8" width="12.140625" style="554" customWidth="1"/>
    <col min="9" max="9" width="12" style="554" customWidth="1"/>
    <col min="10" max="10" width="11.28515625" style="554" customWidth="1"/>
    <col min="11" max="11" width="19.42578125" style="554" customWidth="1"/>
    <col min="12" max="12" width="10.140625" style="554" customWidth="1"/>
    <col min="13" max="13" width="10.7109375" style="554" customWidth="1"/>
    <col min="14" max="14" width="11" style="554" customWidth="1"/>
    <col min="15" max="15" width="9.7109375" style="554" customWidth="1"/>
    <col min="16" max="16" width="19.140625" style="554" customWidth="1"/>
    <col min="17" max="17" width="20.5703125" style="554" customWidth="1"/>
    <col min="18" max="18" width="25" style="554" customWidth="1"/>
    <col min="19" max="19" width="18" style="554" customWidth="1"/>
    <col min="20" max="20" width="18.7109375" style="554" customWidth="1"/>
    <col min="21" max="21" width="12.42578125" style="554" customWidth="1"/>
    <col min="22" max="16384" width="11.42578125" style="554"/>
  </cols>
  <sheetData>
    <row r="1" spans="1:22" ht="130.5" customHeight="1" thickBot="1">
      <c r="A1" s="553"/>
      <c r="B1" s="553"/>
      <c r="C1" s="553"/>
      <c r="D1" s="553"/>
      <c r="E1" s="553"/>
      <c r="F1" s="553"/>
      <c r="G1" s="553"/>
      <c r="H1" s="553"/>
      <c r="I1" s="553"/>
      <c r="J1" s="553"/>
      <c r="K1" s="553"/>
      <c r="L1" s="553"/>
      <c r="M1" s="553"/>
      <c r="N1" s="553"/>
      <c r="O1" s="553"/>
      <c r="P1" s="553"/>
      <c r="Q1" s="553"/>
      <c r="R1" s="1233"/>
      <c r="S1" s="1233"/>
      <c r="T1" s="1233"/>
      <c r="U1" s="1233"/>
      <c r="V1" s="1233"/>
    </row>
    <row r="2" spans="1:22" ht="19.5" customHeight="1">
      <c r="A2" s="1312" t="s">
        <v>1284</v>
      </c>
      <c r="B2" s="1312"/>
      <c r="C2" s="1312"/>
      <c r="D2" s="1312"/>
      <c r="E2" s="1312"/>
      <c r="F2" s="1312"/>
      <c r="G2" s="1312"/>
      <c r="H2" s="1312"/>
      <c r="I2" s="1312"/>
      <c r="J2" s="1312"/>
      <c r="K2" s="1312"/>
      <c r="L2" s="1312"/>
      <c r="M2" s="1312"/>
      <c r="N2" s="1312"/>
      <c r="O2" s="1312"/>
      <c r="P2" s="1312"/>
      <c r="Q2" s="1312"/>
      <c r="R2" s="1312"/>
    </row>
    <row r="3" spans="1:22" ht="18.75" thickBot="1">
      <c r="A3" s="551"/>
      <c r="B3" s="551"/>
      <c r="C3" s="551"/>
      <c r="D3" s="551"/>
      <c r="E3" s="1322" t="s">
        <v>1865</v>
      </c>
      <c r="F3" s="1322"/>
      <c r="G3" s="1322"/>
      <c r="H3" s="1322"/>
      <c r="I3" s="1322"/>
      <c r="J3" s="1322"/>
      <c r="K3" s="1322"/>
      <c r="L3" s="1322"/>
      <c r="M3" s="1322"/>
      <c r="N3" s="1322"/>
      <c r="O3" s="1322"/>
      <c r="P3" s="1322"/>
      <c r="Q3" s="1322"/>
      <c r="R3" s="1322"/>
      <c r="S3" s="1322"/>
      <c r="T3" s="1322"/>
      <c r="U3" s="1322"/>
      <c r="V3" s="1322"/>
    </row>
    <row r="4" spans="1:22" ht="23.25" customHeight="1" thickBot="1">
      <c r="A4" s="1323" t="s">
        <v>1420</v>
      </c>
      <c r="B4" s="1324"/>
      <c r="C4" s="1324"/>
      <c r="D4" s="1325" t="s">
        <v>1421</v>
      </c>
      <c r="E4" s="1328" t="s">
        <v>1422</v>
      </c>
      <c r="F4" s="1328"/>
      <c r="G4" s="1328"/>
      <c r="H4" s="1328"/>
      <c r="I4" s="1328"/>
      <c r="J4" s="1328"/>
      <c r="K4" s="1328"/>
      <c r="L4" s="1328"/>
      <c r="M4" s="1328"/>
      <c r="N4" s="1328"/>
      <c r="O4" s="1328"/>
      <c r="P4" s="1328"/>
      <c r="Q4" s="1328"/>
      <c r="R4" s="1328"/>
      <c r="S4" s="1328"/>
      <c r="T4" s="1328"/>
      <c r="U4" s="1328"/>
      <c r="V4" s="1329"/>
    </row>
    <row r="5" spans="1:22" ht="19.5" customHeight="1" thickBot="1">
      <c r="A5" s="1330" t="s">
        <v>1423</v>
      </c>
      <c r="B5" s="1333" t="s">
        <v>1424</v>
      </c>
      <c r="C5" s="1336" t="s">
        <v>1425</v>
      </c>
      <c r="D5" s="1326"/>
      <c r="E5" s="1301" t="s">
        <v>1882</v>
      </c>
      <c r="F5" s="1302"/>
      <c r="G5" s="1302"/>
      <c r="H5" s="1302"/>
      <c r="I5" s="1302"/>
      <c r="J5" s="1302"/>
      <c r="K5" s="1302"/>
      <c r="L5" s="1302"/>
      <c r="M5" s="1302"/>
      <c r="N5" s="1302"/>
      <c r="O5" s="1302"/>
      <c r="P5" s="1302"/>
      <c r="Q5" s="1302"/>
      <c r="R5" s="1302"/>
      <c r="S5" s="1302"/>
      <c r="T5" s="1302"/>
      <c r="U5" s="1302"/>
      <c r="V5" s="1303"/>
    </row>
    <row r="6" spans="1:22" ht="59.25" customHeight="1" thickBot="1">
      <c r="A6" s="1331"/>
      <c r="B6" s="1334"/>
      <c r="C6" s="1337"/>
      <c r="D6" s="1326"/>
      <c r="E6" s="1304" t="s">
        <v>1426</v>
      </c>
      <c r="F6" s="1306" t="s">
        <v>1884</v>
      </c>
      <c r="G6" s="1306"/>
      <c r="H6" s="1306"/>
      <c r="I6" s="1306"/>
      <c r="J6" s="1306"/>
      <c r="K6" s="1306"/>
      <c r="L6" s="1306"/>
      <c r="M6" s="1307"/>
      <c r="N6" s="1307"/>
      <c r="O6" s="1307"/>
      <c r="P6" s="1308" t="s">
        <v>1883</v>
      </c>
      <c r="Q6" s="1309"/>
      <c r="R6" s="1309"/>
      <c r="S6" s="1309"/>
      <c r="T6" s="1309"/>
      <c r="U6" s="1309"/>
      <c r="V6" s="1310" t="s">
        <v>1272</v>
      </c>
    </row>
    <row r="7" spans="1:22" ht="174" customHeight="1" thickBot="1">
      <c r="A7" s="1332"/>
      <c r="B7" s="1335"/>
      <c r="C7" s="1338"/>
      <c r="D7" s="1327"/>
      <c r="E7" s="1305"/>
      <c r="F7" s="578" t="s">
        <v>1427</v>
      </c>
      <c r="G7" s="579" t="s">
        <v>1888</v>
      </c>
      <c r="H7" s="580" t="s">
        <v>1273</v>
      </c>
      <c r="I7" s="579" t="s">
        <v>1274</v>
      </c>
      <c r="J7" s="579" t="s">
        <v>1275</v>
      </c>
      <c r="K7" s="579" t="s">
        <v>1276</v>
      </c>
      <c r="L7" s="581" t="s">
        <v>1428</v>
      </c>
      <c r="M7" s="581" t="s">
        <v>1277</v>
      </c>
      <c r="N7" s="582" t="s">
        <v>1278</v>
      </c>
      <c r="O7" s="581" t="s">
        <v>1429</v>
      </c>
      <c r="P7" s="583" t="s">
        <v>1880</v>
      </c>
      <c r="Q7" s="584" t="s">
        <v>1279</v>
      </c>
      <c r="R7" s="585" t="s">
        <v>1280</v>
      </c>
      <c r="S7" s="586" t="s">
        <v>1430</v>
      </c>
      <c r="T7" s="586" t="s">
        <v>1281</v>
      </c>
      <c r="U7" s="586" t="s">
        <v>1282</v>
      </c>
      <c r="V7" s="1311"/>
    </row>
    <row r="8" spans="1:22" ht="27" customHeight="1" thickBot="1">
      <c r="A8" s="1313" t="s">
        <v>1431</v>
      </c>
      <c r="B8" s="1316" t="s">
        <v>1432</v>
      </c>
      <c r="C8" s="1317" t="s">
        <v>1433</v>
      </c>
      <c r="D8" s="1320" t="s">
        <v>1434</v>
      </c>
      <c r="E8" s="1234" t="s">
        <v>1435</v>
      </c>
      <c r="F8" s="1235"/>
      <c r="G8" s="1235"/>
      <c r="H8" s="1236"/>
      <c r="I8" s="587">
        <f ca="1">(I10+I11+I12+I13+I14+I15+I16+I17+I18+I20+I21+I22+I23+I24+I27+I28)/16</f>
        <v>0.61938545453876459</v>
      </c>
      <c r="J8" s="587"/>
      <c r="K8" s="587"/>
      <c r="L8" s="587"/>
      <c r="M8" s="587"/>
      <c r="N8" s="590">
        <f ca="1">(N10+N11+N12+N13+N14+N15+N16+N17+N18+N20+N21+N22+N23+N24+N26+N27+N28+N29)/18</f>
        <v>0.43536527307645301</v>
      </c>
      <c r="O8" s="1220">
        <f>O9+O19+O25</f>
        <v>0.21840000000000004</v>
      </c>
      <c r="P8" s="1012">
        <f>P9+P19+P25</f>
        <v>584444847</v>
      </c>
      <c r="Q8" s="1013">
        <f>Q9+Q19+Q25</f>
        <v>290350742</v>
      </c>
      <c r="R8" s="1023">
        <f>Q8/P8</f>
        <v>0.49679750534270689</v>
      </c>
      <c r="S8" s="1013">
        <f>S9+S19+S25</f>
        <v>2813900528</v>
      </c>
      <c r="T8" s="1012">
        <f>T9+T19+T25</f>
        <v>13701427564</v>
      </c>
      <c r="U8" s="1014">
        <f>T8/S8</f>
        <v>4.8691939987439383</v>
      </c>
      <c r="V8" s="1015"/>
    </row>
    <row r="9" spans="1:22" ht="25.5" customHeight="1" thickBot="1">
      <c r="A9" s="1314"/>
      <c r="B9" s="1267"/>
      <c r="C9" s="1318"/>
      <c r="D9" s="1321"/>
      <c r="E9" s="1242" t="s">
        <v>1436</v>
      </c>
      <c r="F9" s="1243"/>
      <c r="G9" s="1243"/>
      <c r="H9" s="1244"/>
      <c r="I9" s="593">
        <f ca="1">(I10+I12+I13+I14+I15+I16+I17+I18)/8</f>
        <v>0.596113388752326</v>
      </c>
      <c r="J9" s="587"/>
      <c r="K9" s="1225"/>
      <c r="L9" s="662"/>
      <c r="M9" s="1225"/>
      <c r="N9" s="772">
        <f ca="1">(N10+N11+N12+N13+N14+N15+N16+N17+N18)/9</f>
        <v>0.4075052375109306</v>
      </c>
      <c r="O9" s="597">
        <v>7.8600000000000003E-2</v>
      </c>
      <c r="P9" s="1016">
        <f>'Anexo 5-2 Gastos'!K28</f>
        <v>254531486</v>
      </c>
      <c r="Q9" s="1017">
        <f>'Anexo 5-2 Gastos'!L28</f>
        <v>109475414</v>
      </c>
      <c r="R9" s="1022">
        <f>Q9/P9</f>
        <v>0.43010558622990946</v>
      </c>
      <c r="S9" s="1018">
        <f>273122362+290581533+300900109+312925366</f>
        <v>1177529370</v>
      </c>
      <c r="T9" s="1019">
        <f>495449839+P9</f>
        <v>749981325</v>
      </c>
      <c r="U9" s="1020">
        <f>T9/S9</f>
        <v>0.6369109290242162</v>
      </c>
      <c r="V9" s="1021"/>
    </row>
    <row r="10" spans="1:22" ht="77.25" customHeight="1">
      <c r="A10" s="1314"/>
      <c r="B10" s="1267"/>
      <c r="C10" s="1318"/>
      <c r="D10" s="1318"/>
      <c r="E10" s="833" t="s">
        <v>1437</v>
      </c>
      <c r="F10" s="599" t="s">
        <v>1438</v>
      </c>
      <c r="G10" s="600">
        <v>0.375</v>
      </c>
      <c r="H10" s="601">
        <f ca="1">'1POMCAS'!D8</f>
        <v>0.14583333333333334</v>
      </c>
      <c r="I10" s="602">
        <f ca="1">H10/G10</f>
        <v>0.3888888888888889</v>
      </c>
      <c r="J10" s="603"/>
      <c r="K10" s="604"/>
      <c r="L10" s="648">
        <v>1</v>
      </c>
      <c r="M10" s="606">
        <f ca="1">H10+0.4</f>
        <v>0.54583333333333339</v>
      </c>
      <c r="N10" s="606">
        <f t="shared" ref="N10:N24" ca="1" si="0">M10/L10</f>
        <v>0.54583333333333339</v>
      </c>
      <c r="O10" s="607"/>
      <c r="P10" s="608"/>
      <c r="Q10" s="608"/>
      <c r="R10" s="608"/>
      <c r="S10" s="608"/>
      <c r="T10" s="608"/>
      <c r="U10" s="608"/>
      <c r="V10" s="609"/>
    </row>
    <row r="11" spans="1:22" ht="53.25" customHeight="1">
      <c r="A11" s="1314"/>
      <c r="B11" s="1267"/>
      <c r="C11" s="1318"/>
      <c r="D11" s="1318"/>
      <c r="E11" s="834" t="s">
        <v>404</v>
      </c>
      <c r="F11" s="610" t="s">
        <v>1438</v>
      </c>
      <c r="G11" s="611">
        <v>1</v>
      </c>
      <c r="H11" s="1048">
        <f>'10Paramos'!D8</f>
        <v>0</v>
      </c>
      <c r="I11" s="1114">
        <v>0</v>
      </c>
      <c r="J11" s="614"/>
      <c r="K11" s="604"/>
      <c r="L11" s="622">
        <v>1</v>
      </c>
      <c r="M11" s="622">
        <f>H11+0</f>
        <v>0</v>
      </c>
      <c r="N11" s="617">
        <f t="shared" si="0"/>
        <v>0</v>
      </c>
      <c r="O11" s="618"/>
      <c r="P11" s="619"/>
      <c r="Q11" s="619"/>
      <c r="R11" s="619"/>
      <c r="S11" s="619"/>
      <c r="T11" s="619"/>
      <c r="U11" s="619"/>
      <c r="V11" s="620"/>
    </row>
    <row r="12" spans="1:22" ht="115.5" customHeight="1">
      <c r="A12" s="1314"/>
      <c r="B12" s="1267"/>
      <c r="C12" s="1318"/>
      <c r="D12" s="1318"/>
      <c r="E12" s="834" t="s">
        <v>1440</v>
      </c>
      <c r="F12" s="610" t="s">
        <v>1438</v>
      </c>
      <c r="G12" s="611">
        <v>1</v>
      </c>
      <c r="H12" s="612">
        <f>'24POT'!D7</f>
        <v>0.8666666666666667</v>
      </c>
      <c r="I12" s="613">
        <f t="shared" ref="I12:I16" si="1">H12/G12</f>
        <v>0.8666666666666667</v>
      </c>
      <c r="J12" s="614"/>
      <c r="K12" s="621"/>
      <c r="L12" s="622">
        <v>1</v>
      </c>
      <c r="M12" s="622">
        <f>(1+H12)/4</f>
        <v>0.46666666666666667</v>
      </c>
      <c r="N12" s="617">
        <f t="shared" si="0"/>
        <v>0.46666666666666667</v>
      </c>
      <c r="O12" s="618"/>
      <c r="P12" s="619"/>
      <c r="Q12" s="619"/>
      <c r="R12" s="619"/>
      <c r="S12" s="619"/>
      <c r="T12" s="619"/>
      <c r="U12" s="619"/>
      <c r="V12" s="620"/>
    </row>
    <row r="13" spans="1:22" ht="36">
      <c r="A13" s="1314"/>
      <c r="B13" s="1267"/>
      <c r="C13" s="1318"/>
      <c r="D13" s="1318"/>
      <c r="E13" s="834" t="s">
        <v>1441</v>
      </c>
      <c r="F13" s="623" t="s">
        <v>1438</v>
      </c>
      <c r="G13" s="613">
        <v>1</v>
      </c>
      <c r="H13" s="612">
        <f>'26SIAC'!D8</f>
        <v>0.56338855039350089</v>
      </c>
      <c r="I13" s="613">
        <f>H13/G13</f>
        <v>0.56338855039350089</v>
      </c>
      <c r="J13" s="614"/>
      <c r="K13" s="624"/>
      <c r="L13" s="622">
        <v>1</v>
      </c>
      <c r="M13" s="622">
        <f>(0.54+H13)/4</f>
        <v>0.2758471375983752</v>
      </c>
      <c r="N13" s="617">
        <f t="shared" si="0"/>
        <v>0.2758471375983752</v>
      </c>
      <c r="O13" s="625"/>
      <c r="P13" s="626"/>
      <c r="Q13" s="626"/>
      <c r="R13" s="626"/>
      <c r="S13" s="626"/>
      <c r="T13" s="626"/>
      <c r="U13" s="626"/>
      <c r="V13" s="627"/>
    </row>
    <row r="14" spans="1:22" ht="76.5" customHeight="1">
      <c r="A14" s="1314"/>
      <c r="B14" s="1267"/>
      <c r="C14" s="1318"/>
      <c r="D14" s="1318"/>
      <c r="E14" s="628" t="s">
        <v>1442</v>
      </c>
      <c r="F14" s="610" t="s">
        <v>1438</v>
      </c>
      <c r="G14" s="611">
        <v>1</v>
      </c>
      <c r="H14" s="612">
        <v>0.25</v>
      </c>
      <c r="I14" s="629">
        <f t="shared" si="1"/>
        <v>0.25</v>
      </c>
      <c r="J14" s="610"/>
      <c r="K14" s="624"/>
      <c r="L14" s="622">
        <v>1</v>
      </c>
      <c r="M14" s="622">
        <f>0.5+H14</f>
        <v>0.75</v>
      </c>
      <c r="N14" s="617">
        <f t="shared" si="0"/>
        <v>0.75</v>
      </c>
      <c r="O14" s="625"/>
      <c r="P14" s="626"/>
      <c r="Q14" s="626"/>
      <c r="R14" s="626"/>
      <c r="S14" s="626"/>
      <c r="T14" s="626"/>
      <c r="U14" s="626"/>
      <c r="V14" s="627"/>
    </row>
    <row r="15" spans="1:22" ht="27.75" customHeight="1">
      <c r="A15" s="1314"/>
      <c r="B15" s="1267"/>
      <c r="C15" s="1318"/>
      <c r="D15" s="1318"/>
      <c r="E15" s="628" t="s">
        <v>1443</v>
      </c>
      <c r="F15" s="610" t="s">
        <v>1438</v>
      </c>
      <c r="G15" s="611">
        <v>1</v>
      </c>
      <c r="H15" s="612">
        <v>0.5</v>
      </c>
      <c r="I15" s="629">
        <f t="shared" si="1"/>
        <v>0.5</v>
      </c>
      <c r="J15" s="610"/>
      <c r="K15" s="630"/>
      <c r="L15" s="622">
        <v>1</v>
      </c>
      <c r="M15" s="622">
        <f>(1+H15)/4</f>
        <v>0.375</v>
      </c>
      <c r="N15" s="617">
        <f t="shared" si="0"/>
        <v>0.375</v>
      </c>
      <c r="O15" s="625"/>
      <c r="P15" s="626"/>
      <c r="Q15" s="626"/>
      <c r="R15" s="626"/>
      <c r="S15" s="626"/>
      <c r="T15" s="626"/>
      <c r="U15" s="626"/>
      <c r="V15" s="627"/>
    </row>
    <row r="16" spans="1:22" ht="63.75" customHeight="1">
      <c r="A16" s="1314"/>
      <c r="B16" s="1267"/>
      <c r="C16" s="1318"/>
      <c r="D16" s="1318"/>
      <c r="E16" s="628" t="s">
        <v>1444</v>
      </c>
      <c r="F16" s="610" t="s">
        <v>1438</v>
      </c>
      <c r="G16" s="611">
        <v>1</v>
      </c>
      <c r="H16" s="612">
        <v>0.5</v>
      </c>
      <c r="I16" s="629">
        <f t="shared" si="1"/>
        <v>0.5</v>
      </c>
      <c r="J16" s="610"/>
      <c r="K16" s="624"/>
      <c r="L16" s="622">
        <v>1</v>
      </c>
      <c r="M16" s="622">
        <f>(1+H16)/4</f>
        <v>0.375</v>
      </c>
      <c r="N16" s="631">
        <f t="shared" si="0"/>
        <v>0.375</v>
      </c>
      <c r="O16" s="625"/>
      <c r="P16" s="626"/>
      <c r="Q16" s="626"/>
      <c r="R16" s="626"/>
      <c r="S16" s="626"/>
      <c r="T16" s="626"/>
      <c r="U16" s="626"/>
      <c r="V16" s="627"/>
    </row>
    <row r="17" spans="1:22" ht="24">
      <c r="A17" s="1314"/>
      <c r="B17" s="1267"/>
      <c r="C17" s="1318"/>
      <c r="D17" s="1318"/>
      <c r="E17" s="628" t="s">
        <v>1445</v>
      </c>
      <c r="F17" s="610" t="s">
        <v>1438</v>
      </c>
      <c r="G17" s="611">
        <v>1</v>
      </c>
      <c r="H17" s="612">
        <v>1</v>
      </c>
      <c r="I17" s="613">
        <f>H17/G17</f>
        <v>1</v>
      </c>
      <c r="J17" s="610"/>
      <c r="K17" s="630"/>
      <c r="L17" s="622">
        <v>1</v>
      </c>
      <c r="M17" s="622">
        <f>(1+H17)/4</f>
        <v>0.5</v>
      </c>
      <c r="N17" s="631">
        <f t="shared" si="0"/>
        <v>0.5</v>
      </c>
      <c r="O17" s="625"/>
      <c r="P17" s="626"/>
      <c r="Q17" s="626"/>
      <c r="R17" s="626"/>
      <c r="S17" s="626"/>
      <c r="T17" s="626"/>
      <c r="U17" s="626"/>
      <c r="V17" s="627"/>
    </row>
    <row r="18" spans="1:22" ht="28.5" customHeight="1" thickBot="1">
      <c r="A18" s="1314"/>
      <c r="B18" s="1267"/>
      <c r="C18" s="1318"/>
      <c r="D18" s="1318"/>
      <c r="E18" s="632" t="s">
        <v>1446</v>
      </c>
      <c r="F18" s="633" t="s">
        <v>1438</v>
      </c>
      <c r="G18" s="634">
        <v>0.27029999999999998</v>
      </c>
      <c r="H18" s="635">
        <v>0.18920000000000001</v>
      </c>
      <c r="I18" s="636">
        <f>H18/G18</f>
        <v>0.69996300406955236</v>
      </c>
      <c r="J18" s="633"/>
      <c r="K18" s="637"/>
      <c r="L18" s="660">
        <v>1</v>
      </c>
      <c r="M18" s="660">
        <f>0.19+H18</f>
        <v>0.37919999999999998</v>
      </c>
      <c r="N18" s="639">
        <f t="shared" si="0"/>
        <v>0.37919999999999998</v>
      </c>
      <c r="O18" s="640"/>
      <c r="P18" s="641"/>
      <c r="Q18" s="641"/>
      <c r="R18" s="641"/>
      <c r="S18" s="641"/>
      <c r="T18" s="641"/>
      <c r="U18" s="641"/>
      <c r="V18" s="642"/>
    </row>
    <row r="19" spans="1:22" ht="13.5" customHeight="1" thickBot="1">
      <c r="A19" s="1314"/>
      <c r="B19" s="1267"/>
      <c r="C19" s="1318"/>
      <c r="D19" s="1321"/>
      <c r="E19" s="1245" t="s">
        <v>1447</v>
      </c>
      <c r="F19" s="1246"/>
      <c r="G19" s="1246"/>
      <c r="H19" s="1293"/>
      <c r="I19" s="587">
        <f>(I20+I21+I22+I23+I24)/5</f>
        <v>0.67825203252032529</v>
      </c>
      <c r="J19" s="643"/>
      <c r="K19" s="644"/>
      <c r="L19" s="645"/>
      <c r="M19" s="644"/>
      <c r="N19" s="646">
        <f>(N20+N21+N22+N23+N24)/5</f>
        <v>0.36491666666666667</v>
      </c>
      <c r="O19" s="647">
        <v>8.3000000000000004E-2</v>
      </c>
      <c r="P19" s="1115">
        <f>'Anexo 5-2 Gastos'!K29</f>
        <v>157628995</v>
      </c>
      <c r="Q19" s="1125">
        <f>'Anexo 5-2 Gastos'!L29</f>
        <v>86021154</v>
      </c>
      <c r="R19" s="1129">
        <f>Q19/P19</f>
        <v>0.54571910453403571</v>
      </c>
      <c r="S19" s="1019">
        <f>187999197+207331988+224901010+244115723</f>
        <v>864347918</v>
      </c>
      <c r="T19" s="1122">
        <f>12450699562+P19</f>
        <v>12608328557</v>
      </c>
      <c r="U19" s="1130">
        <f>T19/S19</f>
        <v>14.587098892045923</v>
      </c>
      <c r="V19" s="1131"/>
    </row>
    <row r="20" spans="1:22" ht="85.5" customHeight="1">
      <c r="A20" s="1314"/>
      <c r="B20" s="1267"/>
      <c r="C20" s="1318"/>
      <c r="D20" s="1318"/>
      <c r="E20" s="831" t="s">
        <v>288</v>
      </c>
      <c r="F20" s="599" t="s">
        <v>1438</v>
      </c>
      <c r="G20" s="600">
        <v>1</v>
      </c>
      <c r="H20" s="601">
        <f>'7Clima'!D8</f>
        <v>0.875</v>
      </c>
      <c r="I20" s="600">
        <f>H20/G20</f>
        <v>0.875</v>
      </c>
      <c r="J20" s="599"/>
      <c r="K20" s="599"/>
      <c r="L20" s="648">
        <v>1</v>
      </c>
      <c r="M20" s="648">
        <f>(0.69+H20)/4</f>
        <v>0.39124999999999999</v>
      </c>
      <c r="N20" s="649">
        <f t="shared" si="0"/>
        <v>0.39124999999999999</v>
      </c>
      <c r="O20" s="650"/>
      <c r="P20" s="651"/>
      <c r="Q20" s="651"/>
      <c r="R20" s="651"/>
      <c r="S20" s="651"/>
      <c r="T20" s="651"/>
      <c r="U20" s="651"/>
      <c r="V20" s="652"/>
    </row>
    <row r="21" spans="1:22" ht="31.5" customHeight="1">
      <c r="A21" s="1314"/>
      <c r="B21" s="1267"/>
      <c r="C21" s="1318"/>
      <c r="D21" s="1318"/>
      <c r="E21" s="832" t="s">
        <v>1448</v>
      </c>
      <c r="F21" s="610" t="s">
        <v>1438</v>
      </c>
      <c r="G21" s="611">
        <v>0.82</v>
      </c>
      <c r="H21" s="612">
        <f>'25Redes'!D8</f>
        <v>0.15000000000000002</v>
      </c>
      <c r="I21" s="611">
        <f t="shared" ref="I21:I24" si="2">H21/G21</f>
        <v>0.18292682926829273</v>
      </c>
      <c r="J21" s="653"/>
      <c r="K21" s="610"/>
      <c r="L21" s="622">
        <v>1</v>
      </c>
      <c r="M21" s="622">
        <f>0.15+H21</f>
        <v>0.30000000000000004</v>
      </c>
      <c r="N21" s="631">
        <f t="shared" si="0"/>
        <v>0.30000000000000004</v>
      </c>
      <c r="O21" s="654"/>
      <c r="P21" s="655"/>
      <c r="Q21" s="655"/>
      <c r="R21" s="655"/>
      <c r="S21" s="655"/>
      <c r="T21" s="655"/>
      <c r="U21" s="655"/>
      <c r="V21" s="656"/>
    </row>
    <row r="22" spans="1:22" ht="44.25" customHeight="1">
      <c r="A22" s="1314"/>
      <c r="B22" s="1267"/>
      <c r="C22" s="1318"/>
      <c r="D22" s="1318"/>
      <c r="E22" s="657" t="s">
        <v>1449</v>
      </c>
      <c r="F22" s="610" t="s">
        <v>1438</v>
      </c>
      <c r="G22" s="611">
        <v>0.3</v>
      </c>
      <c r="H22" s="612">
        <v>0.2</v>
      </c>
      <c r="I22" s="611">
        <f t="shared" si="2"/>
        <v>0.66666666666666674</v>
      </c>
      <c r="J22" s="610"/>
      <c r="K22" s="610"/>
      <c r="L22" s="622">
        <v>1</v>
      </c>
      <c r="M22" s="622">
        <f>0.2+H22</f>
        <v>0.4</v>
      </c>
      <c r="N22" s="631">
        <f t="shared" si="0"/>
        <v>0.4</v>
      </c>
      <c r="O22" s="625"/>
      <c r="P22" s="626"/>
      <c r="Q22" s="626"/>
      <c r="R22" s="626"/>
      <c r="S22" s="626"/>
      <c r="T22" s="626"/>
      <c r="U22" s="626"/>
      <c r="V22" s="627"/>
    </row>
    <row r="23" spans="1:22" ht="52.5" customHeight="1">
      <c r="A23" s="1314"/>
      <c r="B23" s="1267"/>
      <c r="C23" s="1318"/>
      <c r="D23" s="1318"/>
      <c r="E23" s="657" t="s">
        <v>1450</v>
      </c>
      <c r="F23" s="610" t="s">
        <v>1451</v>
      </c>
      <c r="G23" s="610">
        <v>2</v>
      </c>
      <c r="H23" s="658">
        <v>2</v>
      </c>
      <c r="I23" s="611">
        <f t="shared" si="2"/>
        <v>1</v>
      </c>
      <c r="J23" s="610"/>
      <c r="K23" s="610"/>
      <c r="L23" s="616">
        <v>6</v>
      </c>
      <c r="M23" s="616">
        <f>0+H23</f>
        <v>2</v>
      </c>
      <c r="N23" s="631">
        <f t="shared" si="0"/>
        <v>0.33333333333333331</v>
      </c>
      <c r="O23" s="625"/>
      <c r="P23" s="626"/>
      <c r="Q23" s="626"/>
      <c r="R23" s="626"/>
      <c r="S23" s="626"/>
      <c r="T23" s="626"/>
      <c r="U23" s="626"/>
      <c r="V23" s="627"/>
    </row>
    <row r="24" spans="1:22" ht="51.75" customHeight="1" thickBot="1">
      <c r="A24" s="1314"/>
      <c r="B24" s="1268"/>
      <c r="C24" s="1319"/>
      <c r="D24" s="1319"/>
      <c r="E24" s="659" t="s">
        <v>1452</v>
      </c>
      <c r="F24" s="633" t="s">
        <v>1438</v>
      </c>
      <c r="G24" s="634">
        <v>0.3</v>
      </c>
      <c r="H24" s="635">
        <v>0.2</v>
      </c>
      <c r="I24" s="634">
        <f t="shared" si="2"/>
        <v>0.66666666666666674</v>
      </c>
      <c r="J24" s="633"/>
      <c r="K24" s="633"/>
      <c r="L24" s="660">
        <v>1</v>
      </c>
      <c r="M24" s="660">
        <f>0.2+H24</f>
        <v>0.4</v>
      </c>
      <c r="N24" s="639">
        <f t="shared" si="0"/>
        <v>0.4</v>
      </c>
      <c r="O24" s="640"/>
      <c r="P24" s="641"/>
      <c r="Q24" s="641"/>
      <c r="R24" s="641"/>
      <c r="S24" s="641"/>
      <c r="T24" s="641"/>
      <c r="U24" s="641"/>
      <c r="V24" s="642"/>
    </row>
    <row r="25" spans="1:22" ht="13.5" customHeight="1" thickBot="1">
      <c r="A25" s="1314"/>
      <c r="B25" s="1247" t="s">
        <v>1453</v>
      </c>
      <c r="C25" s="1292"/>
      <c r="D25" s="1272" t="s">
        <v>1454</v>
      </c>
      <c r="E25" s="1245" t="s">
        <v>1455</v>
      </c>
      <c r="F25" s="1246"/>
      <c r="G25" s="1246"/>
      <c r="H25" s="1293"/>
      <c r="I25" s="587">
        <f>(I27+I28)/2</f>
        <v>0.875</v>
      </c>
      <c r="J25" s="661"/>
      <c r="K25" s="587"/>
      <c r="L25" s="646"/>
      <c r="M25" s="662"/>
      <c r="N25" s="646">
        <f>(N26+N27+N28+N29)/4</f>
        <v>0.58611111111111114</v>
      </c>
      <c r="O25" s="647">
        <v>5.6800000000000003E-2</v>
      </c>
      <c r="P25" s="1115">
        <f>'Anexo 5-2 Gastos'!K30</f>
        <v>172284366</v>
      </c>
      <c r="Q25" s="1125">
        <f>'Anexo 5-2 Gastos'!L30</f>
        <v>94854174</v>
      </c>
      <c r="R25" s="1132">
        <f>Q25/P25</f>
        <v>0.55056750767507245</v>
      </c>
      <c r="S25" s="1019">
        <f>166566316+184682954+201385081+219388889</f>
        <v>772023240</v>
      </c>
      <c r="T25" s="1122">
        <f>170833316+P25</f>
        <v>343117682</v>
      </c>
      <c r="U25" s="1130">
        <f>T25/S25</f>
        <v>0.44443957671533307</v>
      </c>
      <c r="V25" s="1131"/>
    </row>
    <row r="26" spans="1:22" ht="36">
      <c r="A26" s="1314"/>
      <c r="B26" s="1248"/>
      <c r="C26" s="1292"/>
      <c r="D26" s="1248"/>
      <c r="E26" s="663" t="s">
        <v>1456</v>
      </c>
      <c r="F26" s="599" t="s">
        <v>1457</v>
      </c>
      <c r="G26" s="664">
        <v>0</v>
      </c>
      <c r="H26" s="665">
        <v>0</v>
      </c>
      <c r="I26" s="666" t="s">
        <v>1439</v>
      </c>
      <c r="J26" s="667"/>
      <c r="K26" s="668"/>
      <c r="L26" s="669">
        <v>2</v>
      </c>
      <c r="M26" s="605">
        <f>1+H26</f>
        <v>1</v>
      </c>
      <c r="N26" s="649">
        <f>M26/L26</f>
        <v>0.5</v>
      </c>
      <c r="O26" s="670"/>
      <c r="P26" s="671"/>
      <c r="Q26" s="671"/>
      <c r="R26" s="672"/>
      <c r="S26" s="673"/>
      <c r="T26" s="673"/>
      <c r="U26" s="673"/>
      <c r="V26" s="652"/>
    </row>
    <row r="27" spans="1:22" ht="24">
      <c r="A27" s="1314"/>
      <c r="B27" s="1248"/>
      <c r="C27" s="1292"/>
      <c r="D27" s="1248"/>
      <c r="E27" s="628" t="s">
        <v>1458</v>
      </c>
      <c r="F27" s="610" t="s">
        <v>1438</v>
      </c>
      <c r="G27" s="674">
        <v>1</v>
      </c>
      <c r="H27" s="612">
        <v>1</v>
      </c>
      <c r="I27" s="613">
        <f>H27/G27</f>
        <v>1</v>
      </c>
      <c r="J27" s="675"/>
      <c r="K27" s="676"/>
      <c r="L27" s="622">
        <v>1</v>
      </c>
      <c r="M27" s="622">
        <f>(1+H27)/4</f>
        <v>0.5</v>
      </c>
      <c r="N27" s="631">
        <f>M27/L27</f>
        <v>0.5</v>
      </c>
      <c r="O27" s="677"/>
      <c r="P27" s="678"/>
      <c r="Q27" s="678"/>
      <c r="R27" s="679"/>
      <c r="S27" s="680"/>
      <c r="T27" s="680"/>
      <c r="U27" s="680"/>
      <c r="V27" s="627"/>
    </row>
    <row r="28" spans="1:22" ht="24">
      <c r="A28" s="1314"/>
      <c r="B28" s="1248"/>
      <c r="C28" s="1292"/>
      <c r="D28" s="1248"/>
      <c r="E28" s="628" t="s">
        <v>1459</v>
      </c>
      <c r="F28" s="610" t="s">
        <v>1457</v>
      </c>
      <c r="G28" s="681">
        <v>8</v>
      </c>
      <c r="H28" s="682">
        <v>6</v>
      </c>
      <c r="I28" s="613">
        <f t="shared" ref="I28" si="3">H28/G28</f>
        <v>0.75</v>
      </c>
      <c r="J28" s="683"/>
      <c r="K28" s="676"/>
      <c r="L28" s="684">
        <v>27</v>
      </c>
      <c r="M28" s="616">
        <f>6+H28</f>
        <v>12</v>
      </c>
      <c r="N28" s="631">
        <f>M28/L28</f>
        <v>0.44444444444444442</v>
      </c>
      <c r="O28" s="677"/>
      <c r="P28" s="678"/>
      <c r="Q28" s="678"/>
      <c r="R28" s="679"/>
      <c r="S28" s="680"/>
      <c r="T28" s="680"/>
      <c r="U28" s="680"/>
      <c r="V28" s="627"/>
    </row>
    <row r="29" spans="1:22" ht="52.5" customHeight="1" thickBot="1">
      <c r="A29" s="1314"/>
      <c r="B29" s="1249"/>
      <c r="C29" s="1292"/>
      <c r="D29" s="1249"/>
      <c r="E29" s="685" t="s">
        <v>1460</v>
      </c>
      <c r="F29" s="633" t="s">
        <v>1457</v>
      </c>
      <c r="G29" s="686">
        <v>0</v>
      </c>
      <c r="H29" s="687">
        <v>0</v>
      </c>
      <c r="I29" s="613" t="s">
        <v>1439</v>
      </c>
      <c r="J29" s="688"/>
      <c r="K29" s="689"/>
      <c r="L29" s="690">
        <v>50</v>
      </c>
      <c r="M29" s="638">
        <f>45+H29</f>
        <v>45</v>
      </c>
      <c r="N29" s="639">
        <f>M29/L29</f>
        <v>0.9</v>
      </c>
      <c r="O29" s="691"/>
      <c r="P29" s="692"/>
      <c r="Q29" s="692"/>
      <c r="R29" s="693"/>
      <c r="S29" s="694"/>
      <c r="T29" s="694"/>
      <c r="U29" s="694"/>
      <c r="V29" s="642"/>
    </row>
    <row r="30" spans="1:22" ht="13.5" customHeight="1" thickBot="1">
      <c r="A30" s="1314"/>
      <c r="B30" s="695"/>
      <c r="C30" s="1294" t="s">
        <v>1433</v>
      </c>
      <c r="D30" s="1266" t="s">
        <v>1461</v>
      </c>
      <c r="E30" s="1234" t="s">
        <v>1462</v>
      </c>
      <c r="F30" s="1235"/>
      <c r="G30" s="1235"/>
      <c r="H30" s="1236"/>
      <c r="I30" s="696">
        <f>(I32+I35+I36+I37+I38+I39+I41+I42+I43+I44+I45+I46+I47)/13</f>
        <v>0.53136396011396014</v>
      </c>
      <c r="J30" s="594"/>
      <c r="K30" s="697"/>
      <c r="L30" s="698"/>
      <c r="M30" s="699"/>
      <c r="N30" s="700">
        <f>(N32+N33+N34+N35+N36+N37+N38+N39+N41+N42+N43+N44+N45+N46+N47)/15</f>
        <v>0.53563939393939397</v>
      </c>
      <c r="O30" s="701">
        <f>O31+O40</f>
        <v>0.13537117910000002</v>
      </c>
      <c r="P30" s="1013">
        <f>P31+P40</f>
        <v>2940257226</v>
      </c>
      <c r="Q30" s="1133">
        <f>Q31+Q40</f>
        <v>2156315731.5</v>
      </c>
      <c r="R30" s="1134">
        <f>Q30/P30</f>
        <v>0.73337656053770039</v>
      </c>
      <c r="S30" s="1013">
        <f>S31+S40</f>
        <v>4899586806</v>
      </c>
      <c r="T30" s="1012">
        <f>T31+T40</f>
        <v>4522475925</v>
      </c>
      <c r="U30" s="1014">
        <f>T30/S30</f>
        <v>0.92303210537300973</v>
      </c>
      <c r="V30" s="1015"/>
    </row>
    <row r="31" spans="1:22" ht="13.5" customHeight="1" thickBot="1">
      <c r="A31" s="1314"/>
      <c r="B31" s="702"/>
      <c r="C31" s="1295"/>
      <c r="D31" s="1297"/>
      <c r="E31" s="1245" t="s">
        <v>1463</v>
      </c>
      <c r="F31" s="1246"/>
      <c r="G31" s="1246"/>
      <c r="H31" s="1293"/>
      <c r="I31" s="587">
        <f>(I32+I35+I36+I37+I38+I39)/6</f>
        <v>0.30993055555555554</v>
      </c>
      <c r="J31" s="595"/>
      <c r="K31" s="1195"/>
      <c r="L31" s="596"/>
      <c r="M31" s="703"/>
      <c r="N31" s="704">
        <f>SUM(N32+N33+N34+N35+N36+N37+N38+N39)/8</f>
        <v>0.19599053030303032</v>
      </c>
      <c r="O31" s="647">
        <v>7.4235807900000006E-2</v>
      </c>
      <c r="P31" s="1018">
        <f>'Anexo 5-2 Gastos'!K32</f>
        <v>2286463147</v>
      </c>
      <c r="Q31" s="1019">
        <f>'Anexo 5-2 Gastos'!L32</f>
        <v>1764211794.5</v>
      </c>
      <c r="R31" s="1014">
        <f>Q31/P31</f>
        <v>0.77158986656520989</v>
      </c>
      <c r="S31" s="1018">
        <f>633220535+665861382+742515208+832384944</f>
        <v>2873982069</v>
      </c>
      <c r="T31" s="1019">
        <f>1106008699+P31</f>
        <v>3392471846</v>
      </c>
      <c r="U31" s="1020">
        <f>T31/S31</f>
        <v>1.1804081461024591</v>
      </c>
      <c r="V31" s="1021"/>
    </row>
    <row r="32" spans="1:22" ht="51.75" customHeight="1">
      <c r="A32" s="1314"/>
      <c r="B32" s="702"/>
      <c r="C32" s="1295"/>
      <c r="D32" s="1267"/>
      <c r="E32" s="831" t="s">
        <v>136</v>
      </c>
      <c r="F32" s="599" t="s">
        <v>1438</v>
      </c>
      <c r="G32" s="600">
        <v>0.1666</v>
      </c>
      <c r="H32" s="1047">
        <v>8.3299999999999999E-2</v>
      </c>
      <c r="I32" s="705">
        <f>H32/G32</f>
        <v>0.5</v>
      </c>
      <c r="J32" s="706"/>
      <c r="K32" s="707"/>
      <c r="L32" s="648">
        <v>0.33</v>
      </c>
      <c r="M32" s="648">
        <f>0%+H32</f>
        <v>8.3299999999999999E-2</v>
      </c>
      <c r="N32" s="649">
        <f>M32/L32</f>
        <v>0.25242424242424238</v>
      </c>
      <c r="O32" s="650"/>
      <c r="P32" s="651"/>
      <c r="Q32" s="651"/>
      <c r="R32" s="651"/>
      <c r="S32" s="651"/>
      <c r="T32" s="651"/>
      <c r="U32" s="651"/>
      <c r="V32" s="708"/>
    </row>
    <row r="33" spans="1:22" ht="36.75" customHeight="1">
      <c r="A33" s="1314"/>
      <c r="B33" s="702"/>
      <c r="C33" s="1295"/>
      <c r="D33" s="1267"/>
      <c r="E33" s="657" t="s">
        <v>1464</v>
      </c>
      <c r="F33" s="610" t="s">
        <v>1438</v>
      </c>
      <c r="G33" s="611">
        <v>0</v>
      </c>
      <c r="H33" s="612">
        <v>0</v>
      </c>
      <c r="I33" s="709" t="s">
        <v>1439</v>
      </c>
      <c r="J33" s="710"/>
      <c r="K33" s="610"/>
      <c r="L33" s="622">
        <v>0.1666</v>
      </c>
      <c r="M33" s="622">
        <f>0%+H33</f>
        <v>0</v>
      </c>
      <c r="N33" s="631">
        <f t="shared" ref="N33:N39" si="4">M33/L33</f>
        <v>0</v>
      </c>
      <c r="O33" s="625"/>
      <c r="P33" s="626"/>
      <c r="Q33" s="626"/>
      <c r="R33" s="626"/>
      <c r="S33" s="626"/>
      <c r="T33" s="626"/>
      <c r="U33" s="626"/>
      <c r="V33" s="642"/>
    </row>
    <row r="34" spans="1:22" ht="36">
      <c r="A34" s="1314"/>
      <c r="B34" s="702"/>
      <c r="C34" s="1295"/>
      <c r="D34" s="1267"/>
      <c r="E34" s="832" t="s">
        <v>1465</v>
      </c>
      <c r="F34" s="610" t="s">
        <v>1438</v>
      </c>
      <c r="G34" s="611">
        <v>0</v>
      </c>
      <c r="H34" s="612" t="str">
        <f>'4UsoAguas'!D8</f>
        <v>N.A.</v>
      </c>
      <c r="I34" s="709" t="s">
        <v>1439</v>
      </c>
      <c r="J34" s="710"/>
      <c r="K34" s="610"/>
      <c r="L34" s="622">
        <v>8.3299999999999999E-2</v>
      </c>
      <c r="M34" s="622">
        <f>0%+0%</f>
        <v>0</v>
      </c>
      <c r="N34" s="631">
        <f t="shared" si="4"/>
        <v>0</v>
      </c>
      <c r="O34" s="625"/>
      <c r="P34" s="626"/>
      <c r="Q34" s="626"/>
      <c r="R34" s="626"/>
      <c r="S34" s="626"/>
      <c r="T34" s="626"/>
      <c r="U34" s="626"/>
      <c r="V34" s="642"/>
    </row>
    <row r="35" spans="1:22" ht="24">
      <c r="A35" s="1314"/>
      <c r="B35" s="702"/>
      <c r="C35" s="1295"/>
      <c r="D35" s="1267"/>
      <c r="E35" s="657" t="s">
        <v>1466</v>
      </c>
      <c r="F35" s="610" t="s">
        <v>1438</v>
      </c>
      <c r="G35" s="611">
        <v>0.8</v>
      </c>
      <c r="H35" s="612">
        <v>0.44500000000000001</v>
      </c>
      <c r="I35" s="711">
        <f t="shared" ref="I35:I39" si="5">H35/G35</f>
        <v>0.55625000000000002</v>
      </c>
      <c r="J35" s="610"/>
      <c r="K35" s="610"/>
      <c r="L35" s="622">
        <v>0.9</v>
      </c>
      <c r="M35" s="622">
        <f>0.185+H35</f>
        <v>0.63</v>
      </c>
      <c r="N35" s="631">
        <f t="shared" si="4"/>
        <v>0.7</v>
      </c>
      <c r="O35" s="625"/>
      <c r="P35" s="626"/>
      <c r="Q35" s="626"/>
      <c r="R35" s="626"/>
      <c r="S35" s="626"/>
      <c r="T35" s="626"/>
      <c r="U35" s="626"/>
      <c r="V35" s="712"/>
    </row>
    <row r="36" spans="1:22" ht="63.75" customHeight="1">
      <c r="A36" s="1314"/>
      <c r="B36" s="702"/>
      <c r="C36" s="1295"/>
      <c r="D36" s="1267"/>
      <c r="E36" s="657" t="s">
        <v>1467</v>
      </c>
      <c r="F36" s="610" t="s">
        <v>1457</v>
      </c>
      <c r="G36" s="610">
        <v>3000</v>
      </c>
      <c r="H36" s="658">
        <v>2410</v>
      </c>
      <c r="I36" s="711">
        <f t="shared" si="5"/>
        <v>0.80333333333333334</v>
      </c>
      <c r="J36" s="713"/>
      <c r="K36" s="610"/>
      <c r="L36" s="616">
        <v>12000</v>
      </c>
      <c r="M36" s="616">
        <f>4976+H36</f>
        <v>7386</v>
      </c>
      <c r="N36" s="631">
        <f t="shared" si="4"/>
        <v>0.61550000000000005</v>
      </c>
      <c r="O36" s="625"/>
      <c r="P36" s="626"/>
      <c r="Q36" s="626"/>
      <c r="R36" s="626"/>
      <c r="S36" s="626"/>
      <c r="T36" s="626"/>
      <c r="U36" s="626"/>
      <c r="V36" s="714"/>
    </row>
    <row r="37" spans="1:22" ht="37.5" customHeight="1">
      <c r="A37" s="1314"/>
      <c r="B37" s="702"/>
      <c r="C37" s="1295"/>
      <c r="D37" s="1267"/>
      <c r="E37" s="657" t="s">
        <v>1468</v>
      </c>
      <c r="F37" s="610" t="s">
        <v>1457</v>
      </c>
      <c r="G37" s="610">
        <v>1</v>
      </c>
      <c r="H37" s="658">
        <v>0</v>
      </c>
      <c r="I37" s="711">
        <f t="shared" si="5"/>
        <v>0</v>
      </c>
      <c r="J37" s="610"/>
      <c r="K37" s="610"/>
      <c r="L37" s="616">
        <v>4</v>
      </c>
      <c r="M37" s="616">
        <f>0+H37</f>
        <v>0</v>
      </c>
      <c r="N37" s="715">
        <f>M37/L37</f>
        <v>0</v>
      </c>
      <c r="O37" s="625"/>
      <c r="P37" s="626"/>
      <c r="Q37" s="626"/>
      <c r="R37" s="626"/>
      <c r="S37" s="626"/>
      <c r="T37" s="626"/>
      <c r="U37" s="716"/>
      <c r="V37" s="626"/>
    </row>
    <row r="38" spans="1:22" ht="99.75" customHeight="1">
      <c r="A38" s="1314"/>
      <c r="B38" s="702"/>
      <c r="C38" s="1295"/>
      <c r="D38" s="1267"/>
      <c r="E38" s="657" t="s">
        <v>1469</v>
      </c>
      <c r="F38" s="610" t="s">
        <v>1470</v>
      </c>
      <c r="G38" s="610">
        <v>3</v>
      </c>
      <c r="H38" s="658">
        <v>0</v>
      </c>
      <c r="I38" s="711">
        <f t="shared" si="5"/>
        <v>0</v>
      </c>
      <c r="J38" s="717"/>
      <c r="K38" s="610"/>
      <c r="L38" s="616">
        <v>13</v>
      </c>
      <c r="M38" s="616">
        <f>0+H38</f>
        <v>0</v>
      </c>
      <c r="N38" s="631">
        <f t="shared" si="4"/>
        <v>0</v>
      </c>
      <c r="O38" s="625"/>
      <c r="P38" s="626"/>
      <c r="Q38" s="626"/>
      <c r="R38" s="626"/>
      <c r="S38" s="626"/>
      <c r="T38" s="626"/>
      <c r="U38" s="716"/>
      <c r="V38" s="626"/>
    </row>
    <row r="39" spans="1:22" ht="24.75" thickBot="1">
      <c r="A39" s="1314"/>
      <c r="B39" s="702"/>
      <c r="C39" s="1295"/>
      <c r="D39" s="1267"/>
      <c r="E39" s="659" t="s">
        <v>1471</v>
      </c>
      <c r="F39" s="633" t="s">
        <v>1457</v>
      </c>
      <c r="G39" s="633">
        <v>1</v>
      </c>
      <c r="H39" s="718">
        <v>0</v>
      </c>
      <c r="I39" s="711">
        <f t="shared" si="5"/>
        <v>0</v>
      </c>
      <c r="J39" s="719"/>
      <c r="K39" s="633"/>
      <c r="L39" s="638">
        <v>1</v>
      </c>
      <c r="M39" s="638">
        <f>0+H39</f>
        <v>0</v>
      </c>
      <c r="N39" s="639">
        <f t="shared" si="4"/>
        <v>0</v>
      </c>
      <c r="O39" s="640"/>
      <c r="P39" s="641"/>
      <c r="Q39" s="641"/>
      <c r="R39" s="641"/>
      <c r="S39" s="641"/>
      <c r="T39" s="641"/>
      <c r="U39" s="641"/>
      <c r="V39" s="642"/>
    </row>
    <row r="40" spans="1:22" ht="15.75" customHeight="1" thickBot="1">
      <c r="A40" s="1314"/>
      <c r="B40" s="702"/>
      <c r="C40" s="1295"/>
      <c r="D40" s="1297"/>
      <c r="E40" s="1298" t="s">
        <v>1472</v>
      </c>
      <c r="F40" s="1299"/>
      <c r="G40" s="1299"/>
      <c r="H40" s="1300"/>
      <c r="I40" s="720">
        <f>(I41+I42+I43+I44+I45+I46+I47)/7</f>
        <v>0.72116402116402123</v>
      </c>
      <c r="J40" s="721"/>
      <c r="K40" s="722"/>
      <c r="L40" s="723"/>
      <c r="M40" s="724"/>
      <c r="N40" s="725">
        <f>(N41+N42+N43+N44+N45+N46+N47)/7</f>
        <v>0.92380952380952386</v>
      </c>
      <c r="O40" s="726">
        <v>6.1135371199999997E-2</v>
      </c>
      <c r="P40" s="1019">
        <f>'Anexo 5-2 Gastos'!K33</f>
        <v>653794079</v>
      </c>
      <c r="Q40" s="1019">
        <f>'Anexo 5-2 Gastos'!L33</f>
        <v>392103937</v>
      </c>
      <c r="R40" s="1132">
        <f>Q40/P40</f>
        <v>0.59973613954983518</v>
      </c>
      <c r="S40" s="1019">
        <f>450208494+451456834+521996964+601942445</f>
        <v>2025604737</v>
      </c>
      <c r="T40" s="1122">
        <f>476210000+P40</f>
        <v>1130004079</v>
      </c>
      <c r="U40" s="1130">
        <f>T40/S40</f>
        <v>0.55786010881549397</v>
      </c>
      <c r="V40" s="1135"/>
    </row>
    <row r="41" spans="1:22" ht="61.5" customHeight="1">
      <c r="A41" s="1314"/>
      <c r="B41" s="702"/>
      <c r="C41" s="1295"/>
      <c r="D41" s="1267"/>
      <c r="E41" s="727" t="s">
        <v>1473</v>
      </c>
      <c r="F41" s="599" t="s">
        <v>1457</v>
      </c>
      <c r="G41" s="599">
        <v>52</v>
      </c>
      <c r="H41" s="728">
        <v>42</v>
      </c>
      <c r="I41" s="666">
        <f>H41/G41</f>
        <v>0.80769230769230771</v>
      </c>
      <c r="J41" s="599"/>
      <c r="K41" s="599"/>
      <c r="L41" s="605">
        <v>60</v>
      </c>
      <c r="M41" s="605">
        <f>(34+H41)</f>
        <v>76</v>
      </c>
      <c r="N41" s="606">
        <v>1</v>
      </c>
      <c r="O41" s="650"/>
      <c r="P41" s="651"/>
      <c r="Q41" s="651"/>
      <c r="R41" s="651"/>
      <c r="S41" s="651"/>
      <c r="T41" s="651"/>
      <c r="U41" s="651"/>
      <c r="V41" s="729"/>
    </row>
    <row r="42" spans="1:22" ht="63" customHeight="1">
      <c r="A42" s="1314"/>
      <c r="B42" s="702"/>
      <c r="C42" s="1295"/>
      <c r="D42" s="1267"/>
      <c r="E42" s="730" t="s">
        <v>1474</v>
      </c>
      <c r="F42" s="731" t="s">
        <v>1457</v>
      </c>
      <c r="G42" s="732">
        <v>30</v>
      </c>
      <c r="H42" s="733">
        <v>17</v>
      </c>
      <c r="I42" s="666">
        <f>H42/G42</f>
        <v>0.56666666666666665</v>
      </c>
      <c r="J42" s="610"/>
      <c r="K42" s="610"/>
      <c r="L42" s="615">
        <v>36</v>
      </c>
      <c r="M42" s="615">
        <f>28+H42</f>
        <v>45</v>
      </c>
      <c r="N42" s="617">
        <v>1</v>
      </c>
      <c r="O42" s="625"/>
      <c r="P42" s="626"/>
      <c r="Q42" s="626"/>
      <c r="R42" s="626"/>
      <c r="S42" s="626"/>
      <c r="T42" s="626"/>
      <c r="U42" s="626"/>
      <c r="V42" s="734"/>
    </row>
    <row r="43" spans="1:22" ht="41.25" customHeight="1">
      <c r="A43" s="1314"/>
      <c r="B43" s="702"/>
      <c r="C43" s="1295"/>
      <c r="D43" s="1267"/>
      <c r="E43" s="730" t="s">
        <v>1475</v>
      </c>
      <c r="F43" s="610" t="s">
        <v>1457</v>
      </c>
      <c r="G43" s="610">
        <v>27</v>
      </c>
      <c r="H43" s="658">
        <v>13</v>
      </c>
      <c r="I43" s="613">
        <f t="shared" ref="I43:I47" si="6">H43/G43</f>
        <v>0.48148148148148145</v>
      </c>
      <c r="J43" s="610"/>
      <c r="K43" s="610"/>
      <c r="L43" s="616">
        <v>27</v>
      </c>
      <c r="M43" s="616">
        <f>23+H43</f>
        <v>36</v>
      </c>
      <c r="N43" s="617">
        <v>1</v>
      </c>
      <c r="O43" s="625"/>
      <c r="P43" s="626"/>
      <c r="Q43" s="626"/>
      <c r="R43" s="626"/>
      <c r="S43" s="626"/>
      <c r="T43" s="626"/>
      <c r="U43" s="626"/>
      <c r="V43" s="734"/>
    </row>
    <row r="44" spans="1:22" ht="60">
      <c r="A44" s="1314"/>
      <c r="B44" s="702"/>
      <c r="C44" s="1295"/>
      <c r="D44" s="1267"/>
      <c r="E44" s="730" t="s">
        <v>1476</v>
      </c>
      <c r="F44" s="610" t="s">
        <v>1457</v>
      </c>
      <c r="G44" s="610">
        <v>25</v>
      </c>
      <c r="H44" s="658">
        <v>25</v>
      </c>
      <c r="I44" s="613">
        <f t="shared" si="6"/>
        <v>1</v>
      </c>
      <c r="J44" s="610"/>
      <c r="K44" s="610"/>
      <c r="L44" s="616">
        <v>25</v>
      </c>
      <c r="M44" s="616">
        <f>22+H44</f>
        <v>47</v>
      </c>
      <c r="N44" s="617">
        <v>1</v>
      </c>
      <c r="O44" s="625"/>
      <c r="P44" s="626"/>
      <c r="Q44" s="626"/>
      <c r="R44" s="626"/>
      <c r="S44" s="626"/>
      <c r="T44" s="626"/>
      <c r="U44" s="626"/>
      <c r="V44" s="734"/>
    </row>
    <row r="45" spans="1:22" ht="48">
      <c r="A45" s="1314"/>
      <c r="B45" s="702"/>
      <c r="C45" s="1295"/>
      <c r="D45" s="1267"/>
      <c r="E45" s="730" t="s">
        <v>1477</v>
      </c>
      <c r="F45" s="611" t="s">
        <v>1457</v>
      </c>
      <c r="G45" s="732">
        <v>52</v>
      </c>
      <c r="H45" s="733">
        <v>10</v>
      </c>
      <c r="I45" s="611">
        <f t="shared" si="6"/>
        <v>0.19230769230769232</v>
      </c>
      <c r="J45" s="610"/>
      <c r="K45" s="610"/>
      <c r="L45" s="615">
        <v>60</v>
      </c>
      <c r="M45" s="615">
        <f>34+H45</f>
        <v>44</v>
      </c>
      <c r="N45" s="631">
        <f>M45/L45</f>
        <v>0.73333333333333328</v>
      </c>
      <c r="O45" s="625"/>
      <c r="P45" s="626"/>
      <c r="Q45" s="626"/>
      <c r="R45" s="626"/>
      <c r="S45" s="626"/>
      <c r="T45" s="626"/>
      <c r="U45" s="626"/>
      <c r="V45" s="734"/>
    </row>
    <row r="46" spans="1:22" ht="36">
      <c r="A46" s="1314"/>
      <c r="B46" s="702"/>
      <c r="C46" s="1295"/>
      <c r="D46" s="1267"/>
      <c r="E46" s="657" t="s">
        <v>1478</v>
      </c>
      <c r="F46" s="610" t="s">
        <v>1457</v>
      </c>
      <c r="G46" s="610">
        <v>17</v>
      </c>
      <c r="H46" s="658">
        <v>17</v>
      </c>
      <c r="I46" s="613">
        <f t="shared" si="6"/>
        <v>1</v>
      </c>
      <c r="J46" s="610"/>
      <c r="K46" s="610"/>
      <c r="L46" s="616">
        <v>23</v>
      </c>
      <c r="M46" s="616">
        <f>9+H46</f>
        <v>26</v>
      </c>
      <c r="N46" s="631">
        <v>1</v>
      </c>
      <c r="O46" s="625"/>
      <c r="P46" s="626"/>
      <c r="Q46" s="626"/>
      <c r="R46" s="626"/>
      <c r="S46" s="626"/>
      <c r="T46" s="626"/>
      <c r="U46" s="626"/>
      <c r="V46" s="734"/>
    </row>
    <row r="47" spans="1:22" ht="36.75" thickBot="1">
      <c r="A47" s="1314"/>
      <c r="B47" s="702"/>
      <c r="C47" s="1296"/>
      <c r="D47" s="1268"/>
      <c r="E47" s="659" t="s">
        <v>1479</v>
      </c>
      <c r="F47" s="633" t="s">
        <v>1457</v>
      </c>
      <c r="G47" s="633">
        <v>11</v>
      </c>
      <c r="H47" s="718">
        <v>11</v>
      </c>
      <c r="I47" s="636">
        <f t="shared" si="6"/>
        <v>1</v>
      </c>
      <c r="J47" s="633"/>
      <c r="K47" s="633"/>
      <c r="L47" s="638">
        <v>15</v>
      </c>
      <c r="M47" s="638">
        <f t="shared" ref="M47" si="7">H47</f>
        <v>11</v>
      </c>
      <c r="N47" s="639">
        <f t="shared" ref="N47" si="8">M47/L47</f>
        <v>0.73333333333333328</v>
      </c>
      <c r="O47" s="735"/>
      <c r="P47" s="736"/>
      <c r="Q47" s="736"/>
      <c r="R47" s="736"/>
      <c r="S47" s="736"/>
      <c r="T47" s="736"/>
      <c r="U47" s="736"/>
      <c r="V47" s="737"/>
    </row>
    <row r="48" spans="1:22" ht="13.5" customHeight="1" thickBot="1">
      <c r="A48" s="1314"/>
      <c r="B48" s="1280" t="s">
        <v>1480</v>
      </c>
      <c r="C48" s="1281" t="s">
        <v>1433</v>
      </c>
      <c r="D48" s="1282" t="s">
        <v>1481</v>
      </c>
      <c r="E48" s="1286" t="s">
        <v>1482</v>
      </c>
      <c r="F48" s="1287"/>
      <c r="G48" s="1287"/>
      <c r="H48" s="1288"/>
      <c r="I48" s="587">
        <f>(I50+I51+I52+I53+I54+I56+I58+I59+I62+I63+I64+I65+I66+I68)/14</f>
        <v>0.45890756302521007</v>
      </c>
      <c r="J48" s="588"/>
      <c r="K48" s="589"/>
      <c r="L48" s="1223"/>
      <c r="M48" s="1224"/>
      <c r="N48" s="700">
        <f>SUM(N49+N50+N51+N52+N53+N54+N55+N56+N57+N58+N61+N62+N63+N64+N65+N66+N68)/17</f>
        <v>0.29460841983852365</v>
      </c>
      <c r="O48" s="738">
        <f>O49+O60+O67</f>
        <v>0.23583842800000002</v>
      </c>
      <c r="P48" s="1120">
        <f>P49+P60+P67</f>
        <v>4313909641</v>
      </c>
      <c r="Q48" s="739">
        <f>Q49+Q60+Q67</f>
        <v>561371123</v>
      </c>
      <c r="R48" s="591">
        <f>Q48/P48</f>
        <v>0.13013047785346507</v>
      </c>
      <c r="S48" s="739">
        <f>S49+S60+S67</f>
        <v>6429778996</v>
      </c>
      <c r="T48" s="739">
        <f>T49+T60+T67</f>
        <v>14143722845</v>
      </c>
      <c r="U48" s="740">
        <f>T48/S48</f>
        <v>2.1997214606907773</v>
      </c>
      <c r="V48" s="598"/>
    </row>
    <row r="49" spans="1:22" ht="13.5" customHeight="1" thickBot="1">
      <c r="A49" s="1314"/>
      <c r="B49" s="1280"/>
      <c r="C49" s="1281"/>
      <c r="D49" s="1283"/>
      <c r="E49" s="1289" t="s">
        <v>1483</v>
      </c>
      <c r="F49" s="1290"/>
      <c r="G49" s="1290"/>
      <c r="H49" s="1291"/>
      <c r="I49" s="587">
        <f>(I50+I51+I52+I53+I54+I56+I58+I59)/8</f>
        <v>0.375</v>
      </c>
      <c r="J49" s="589"/>
      <c r="K49" s="741"/>
      <c r="L49" s="644"/>
      <c r="M49" s="742"/>
      <c r="N49" s="662">
        <f>SUM(N50+N51+N52+N53+N54+N55+N56+N57+N58+N59)/10</f>
        <v>0.30050000000000004</v>
      </c>
      <c r="O49" s="743">
        <v>8.3000000000000004E-2</v>
      </c>
      <c r="P49" s="1121">
        <f>'Anexo 5-2 Gastos'!K35</f>
        <v>3386060967</v>
      </c>
      <c r="Q49" s="1136">
        <f>'Anexo 5-2 Gastos'!L35</f>
        <v>307411915</v>
      </c>
      <c r="R49" s="1130">
        <f>Q49/P49</f>
        <v>9.0787471931541269E-2</v>
      </c>
      <c r="S49" s="1018">
        <f>731549993+764794213+799066756+844033875</f>
        <v>3139444837</v>
      </c>
      <c r="T49" s="1019">
        <f>+P49+6985717962</f>
        <v>10371778929</v>
      </c>
      <c r="U49" s="1137">
        <f>T49/S49</f>
        <v>3.3036984140517962</v>
      </c>
      <c r="V49" s="598"/>
    </row>
    <row r="50" spans="1:22" ht="60.75" customHeight="1">
      <c r="A50" s="1314"/>
      <c r="B50" s="1280"/>
      <c r="C50" s="1281"/>
      <c r="D50" s="1284"/>
      <c r="E50" s="831" t="s">
        <v>1484</v>
      </c>
      <c r="F50" s="599" t="s">
        <v>1438</v>
      </c>
      <c r="G50" s="600">
        <v>0.11</v>
      </c>
      <c r="H50" s="601">
        <f>'9RUNAP'!D9</f>
        <v>0</v>
      </c>
      <c r="I50" s="600">
        <f>H50/G50</f>
        <v>0</v>
      </c>
      <c r="J50" s="744"/>
      <c r="K50" s="600"/>
      <c r="L50" s="648">
        <v>1</v>
      </c>
      <c r="M50" s="606">
        <f>0.06+H50</f>
        <v>0.06</v>
      </c>
      <c r="N50" s="649">
        <f>M50/L50</f>
        <v>0.06</v>
      </c>
      <c r="O50" s="605"/>
      <c r="P50" s="651"/>
      <c r="Q50" s="651"/>
      <c r="R50" s="651"/>
      <c r="S50" s="651"/>
      <c r="T50" s="651"/>
      <c r="U50" s="651"/>
      <c r="V50" s="745"/>
    </row>
    <row r="51" spans="1:22" ht="60.75" customHeight="1">
      <c r="A51" s="1314"/>
      <c r="B51" s="1280"/>
      <c r="C51" s="1281"/>
      <c r="D51" s="1284"/>
      <c r="E51" s="832" t="s">
        <v>1780</v>
      </c>
      <c r="F51" s="610" t="s">
        <v>1438</v>
      </c>
      <c r="G51" s="611">
        <v>0.33</v>
      </c>
      <c r="H51" s="612">
        <f>'6POMCASejec'!D8</f>
        <v>0.75</v>
      </c>
      <c r="I51" s="600">
        <v>1</v>
      </c>
      <c r="J51" s="610"/>
      <c r="K51" s="610"/>
      <c r="L51" s="622">
        <v>0.41</v>
      </c>
      <c r="M51" s="622">
        <f>0.33+H51</f>
        <v>1.08</v>
      </c>
      <c r="N51" s="631">
        <v>1</v>
      </c>
      <c r="O51" s="616"/>
      <c r="P51" s="626"/>
      <c r="Q51" s="626"/>
      <c r="R51" s="626"/>
      <c r="S51" s="626"/>
      <c r="T51" s="626"/>
      <c r="U51" s="626"/>
      <c r="V51" s="627"/>
    </row>
    <row r="52" spans="1:22" ht="36">
      <c r="A52" s="1314"/>
      <c r="B52" s="1280"/>
      <c r="C52" s="1281"/>
      <c r="D52" s="1284"/>
      <c r="E52" s="832" t="s">
        <v>322</v>
      </c>
      <c r="F52" s="610" t="s">
        <v>1438</v>
      </c>
      <c r="G52" s="611">
        <v>0.33</v>
      </c>
      <c r="H52" s="1048">
        <f>'8Suelo'!D8</f>
        <v>0</v>
      </c>
      <c r="I52" s="746">
        <f>H52/G52</f>
        <v>0</v>
      </c>
      <c r="J52" s="610"/>
      <c r="K52" s="610"/>
      <c r="L52" s="622">
        <v>1</v>
      </c>
      <c r="M52" s="622">
        <f>0%+H52</f>
        <v>0</v>
      </c>
      <c r="N52" s="631">
        <f t="shared" ref="N52:N58" si="9">M52/L52</f>
        <v>0</v>
      </c>
      <c r="O52" s="616"/>
      <c r="P52" s="626"/>
      <c r="Q52" s="626"/>
      <c r="R52" s="626"/>
      <c r="S52" s="626"/>
      <c r="T52" s="626"/>
      <c r="U52" s="626"/>
      <c r="V52" s="627"/>
    </row>
    <row r="53" spans="1:22" ht="36">
      <c r="A53" s="1314"/>
      <c r="B53" s="1280"/>
      <c r="C53" s="1281"/>
      <c r="D53" s="1284"/>
      <c r="E53" s="832" t="s">
        <v>1485</v>
      </c>
      <c r="F53" s="610" t="s">
        <v>1438</v>
      </c>
      <c r="G53" s="611">
        <v>1</v>
      </c>
      <c r="H53" s="612">
        <f>'12PlanesAP'!D8</f>
        <v>1</v>
      </c>
      <c r="I53" s="613">
        <f t="shared" ref="I53" si="10">H53/G53</f>
        <v>1</v>
      </c>
      <c r="J53" s="747"/>
      <c r="K53" s="610"/>
      <c r="L53" s="622">
        <v>1</v>
      </c>
      <c r="M53" s="622">
        <f>(1+H53)/2</f>
        <v>1</v>
      </c>
      <c r="N53" s="631">
        <f t="shared" si="9"/>
        <v>1</v>
      </c>
      <c r="O53" s="616"/>
      <c r="P53" s="626"/>
      <c r="Q53" s="626"/>
      <c r="R53" s="626"/>
      <c r="S53" s="626"/>
      <c r="T53" s="626"/>
      <c r="U53" s="626"/>
      <c r="V53" s="627"/>
    </row>
    <row r="54" spans="1:22" ht="49.5" customHeight="1">
      <c r="A54" s="1314"/>
      <c r="B54" s="1280"/>
      <c r="C54" s="1281"/>
      <c r="D54" s="1284"/>
      <c r="E54" s="832" t="s">
        <v>1486</v>
      </c>
      <c r="F54" s="610" t="s">
        <v>1438</v>
      </c>
      <c r="G54" s="611">
        <v>0.25</v>
      </c>
      <c r="H54" s="612">
        <f>'15Restaura'!D8</f>
        <v>0.53500000000000003</v>
      </c>
      <c r="I54" s="613">
        <v>1</v>
      </c>
      <c r="J54" s="610"/>
      <c r="K54" s="610"/>
      <c r="L54" s="622">
        <v>1</v>
      </c>
      <c r="M54" s="622">
        <f>0.25+H54</f>
        <v>0.78500000000000003</v>
      </c>
      <c r="N54" s="631">
        <f t="shared" si="9"/>
        <v>0.78500000000000003</v>
      </c>
      <c r="O54" s="616"/>
      <c r="P54" s="626"/>
      <c r="Q54" s="626"/>
      <c r="R54" s="626"/>
      <c r="S54" s="626"/>
      <c r="T54" s="626"/>
      <c r="U54" s="626"/>
      <c r="V54" s="627"/>
    </row>
    <row r="55" spans="1:22" ht="36">
      <c r="A55" s="1314"/>
      <c r="B55" s="1280"/>
      <c r="C55" s="1281"/>
      <c r="D55" s="1284"/>
      <c r="E55" s="832" t="s">
        <v>594</v>
      </c>
      <c r="F55" s="610" t="s">
        <v>1438</v>
      </c>
      <c r="G55" s="611">
        <v>0</v>
      </c>
      <c r="H55" s="1048" t="str">
        <f>'16MIZC'!D8</f>
        <v>SIN INFORMACION</v>
      </c>
      <c r="I55" s="613" t="s">
        <v>1439</v>
      </c>
      <c r="J55" s="747"/>
      <c r="K55" s="610"/>
      <c r="L55" s="622">
        <v>1</v>
      </c>
      <c r="M55" s="617">
        <f>0.16+0%</f>
        <v>0.16</v>
      </c>
      <c r="N55" s="631">
        <f t="shared" si="9"/>
        <v>0.16</v>
      </c>
      <c r="O55" s="616"/>
      <c r="P55" s="626"/>
      <c r="Q55" s="626"/>
      <c r="R55" s="626"/>
      <c r="S55" s="626"/>
      <c r="T55" s="626"/>
      <c r="U55" s="626"/>
      <c r="V55" s="627"/>
    </row>
    <row r="56" spans="1:22" ht="40.5" customHeight="1">
      <c r="A56" s="1314"/>
      <c r="B56" s="1280"/>
      <c r="C56" s="1281"/>
      <c r="D56" s="1284"/>
      <c r="E56" s="657" t="s">
        <v>1487</v>
      </c>
      <c r="F56" s="610" t="s">
        <v>1457</v>
      </c>
      <c r="G56" s="610">
        <v>1</v>
      </c>
      <c r="H56" s="658">
        <v>0</v>
      </c>
      <c r="I56" s="613">
        <f>H56/G56</f>
        <v>0</v>
      </c>
      <c r="J56" s="610"/>
      <c r="K56" s="610"/>
      <c r="L56" s="616">
        <v>1</v>
      </c>
      <c r="M56" s="616">
        <f>0+H56</f>
        <v>0</v>
      </c>
      <c r="N56" s="631">
        <f t="shared" si="9"/>
        <v>0</v>
      </c>
      <c r="O56" s="616"/>
      <c r="P56" s="626"/>
      <c r="Q56" s="626"/>
      <c r="R56" s="626"/>
      <c r="S56" s="626"/>
      <c r="T56" s="626"/>
      <c r="U56" s="626"/>
      <c r="V56" s="627"/>
    </row>
    <row r="57" spans="1:22" ht="49.5" customHeight="1">
      <c r="A57" s="1314"/>
      <c r="B57" s="1280"/>
      <c r="C57" s="1281"/>
      <c r="D57" s="1284"/>
      <c r="E57" s="748" t="s">
        <v>1488</v>
      </c>
      <c r="F57" s="610" t="s">
        <v>1457</v>
      </c>
      <c r="G57" s="610">
        <v>0</v>
      </c>
      <c r="H57" s="658">
        <v>0</v>
      </c>
      <c r="I57" s="613" t="s">
        <v>1439</v>
      </c>
      <c r="J57" s="610"/>
      <c r="K57" s="610"/>
      <c r="L57" s="616">
        <v>2</v>
      </c>
      <c r="M57" s="616">
        <f>0+H57</f>
        <v>0</v>
      </c>
      <c r="N57" s="631">
        <f t="shared" si="9"/>
        <v>0</v>
      </c>
      <c r="O57" s="616"/>
      <c r="P57" s="626"/>
      <c r="Q57" s="626"/>
      <c r="R57" s="626"/>
      <c r="S57" s="626"/>
      <c r="T57" s="626"/>
      <c r="U57" s="626"/>
      <c r="V57" s="627"/>
    </row>
    <row r="58" spans="1:22" ht="57" customHeight="1">
      <c r="A58" s="1314"/>
      <c r="B58" s="1280"/>
      <c r="C58" s="1281"/>
      <c r="D58" s="1284"/>
      <c r="E58" s="748" t="s">
        <v>1489</v>
      </c>
      <c r="F58" s="610" t="s">
        <v>1470</v>
      </c>
      <c r="G58" s="610">
        <v>2</v>
      </c>
      <c r="H58" s="658">
        <v>0</v>
      </c>
      <c r="I58" s="613">
        <f>H58/G58</f>
        <v>0</v>
      </c>
      <c r="J58" s="610"/>
      <c r="K58" s="610"/>
      <c r="L58" s="616">
        <v>8</v>
      </c>
      <c r="M58" s="616">
        <f>0+H58</f>
        <v>0</v>
      </c>
      <c r="N58" s="631">
        <f t="shared" si="9"/>
        <v>0</v>
      </c>
      <c r="O58" s="616"/>
      <c r="P58" s="626"/>
      <c r="Q58" s="626"/>
      <c r="R58" s="626"/>
      <c r="S58" s="626"/>
      <c r="T58" s="626"/>
      <c r="U58" s="626"/>
      <c r="V58" s="627"/>
    </row>
    <row r="59" spans="1:22" ht="36.75" thickBot="1">
      <c r="A59" s="1314"/>
      <c r="B59" s="1280"/>
      <c r="C59" s="1281"/>
      <c r="D59" s="1285"/>
      <c r="E59" s="749" t="s">
        <v>1490</v>
      </c>
      <c r="F59" s="633" t="s">
        <v>1457</v>
      </c>
      <c r="G59" s="633">
        <v>1</v>
      </c>
      <c r="H59" s="718">
        <v>0</v>
      </c>
      <c r="I59" s="613">
        <f>H59/G59</f>
        <v>0</v>
      </c>
      <c r="J59" s="750"/>
      <c r="K59" s="633"/>
      <c r="L59" s="638">
        <v>1</v>
      </c>
      <c r="M59" s="638">
        <f>0+H59</f>
        <v>0</v>
      </c>
      <c r="N59" s="639">
        <f>M59/L59</f>
        <v>0</v>
      </c>
      <c r="O59" s="638"/>
      <c r="P59" s="641"/>
      <c r="Q59" s="641"/>
      <c r="R59" s="641"/>
      <c r="S59" s="641"/>
      <c r="T59" s="641"/>
      <c r="U59" s="641"/>
      <c r="V59" s="642"/>
    </row>
    <row r="60" spans="1:22" ht="13.5" customHeight="1" thickBot="1">
      <c r="A60" s="1314"/>
      <c r="B60" s="751"/>
      <c r="C60" s="1263" t="s">
        <v>1491</v>
      </c>
      <c r="D60" s="1266" t="s">
        <v>1492</v>
      </c>
      <c r="E60" s="1242" t="s">
        <v>1493</v>
      </c>
      <c r="F60" s="1243"/>
      <c r="G60" s="1243"/>
      <c r="H60" s="1244"/>
      <c r="I60" s="587">
        <f>(I62+I63+I64+I65+I66)/5</f>
        <v>0.55294117647058827</v>
      </c>
      <c r="J60" s="661"/>
      <c r="K60" s="587"/>
      <c r="L60" s="646"/>
      <c r="M60" s="662"/>
      <c r="N60" s="646">
        <f>(N61+N62+N63+N64+N65+N66)/6</f>
        <v>0.22630718954248363</v>
      </c>
      <c r="O60" s="647">
        <v>7.8602620100000006E-2</v>
      </c>
      <c r="P60" s="1122">
        <f>'Anexo 5-2 Gastos'!K36</f>
        <v>875018181</v>
      </c>
      <c r="Q60" s="1019">
        <f>'Anexo 5-2 Gastos'!L36</f>
        <v>230823334</v>
      </c>
      <c r="R60" s="1138">
        <f>Q60/P60</f>
        <v>0.26379261484167948</v>
      </c>
      <c r="S60" s="1019">
        <f>640338090+675396851+710820372+755582314</f>
        <v>2782137627</v>
      </c>
      <c r="T60" s="1122">
        <f>658238090+P60</f>
        <v>1533256271</v>
      </c>
      <c r="U60" s="1130">
        <f>T60/S60</f>
        <v>0.55110726950388933</v>
      </c>
      <c r="V60" s="1131"/>
    </row>
    <row r="61" spans="1:22" ht="36">
      <c r="A61" s="1314"/>
      <c r="B61" s="751"/>
      <c r="C61" s="1264"/>
      <c r="D61" s="1267"/>
      <c r="E61" s="831" t="s">
        <v>1494</v>
      </c>
      <c r="F61" s="599" t="s">
        <v>1438</v>
      </c>
      <c r="G61" s="600">
        <v>0</v>
      </c>
      <c r="H61" s="1047" t="str">
        <f>'11Forest'!D8</f>
        <v>SIN INFORMACION</v>
      </c>
      <c r="I61" s="666" t="s">
        <v>1439</v>
      </c>
      <c r="J61" s="599"/>
      <c r="K61" s="599"/>
      <c r="L61" s="648">
        <v>1</v>
      </c>
      <c r="M61" s="648">
        <f>0+0%</f>
        <v>0</v>
      </c>
      <c r="N61" s="649">
        <f t="shared" ref="N61:N66" si="11">M61/L61</f>
        <v>0</v>
      </c>
      <c r="O61" s="605"/>
      <c r="P61" s="651"/>
      <c r="Q61" s="651"/>
      <c r="R61" s="651"/>
      <c r="S61" s="651"/>
      <c r="T61" s="651"/>
      <c r="U61" s="651"/>
      <c r="V61" s="652"/>
    </row>
    <row r="62" spans="1:22" ht="51" customHeight="1">
      <c r="A62" s="1314"/>
      <c r="B62" s="751"/>
      <c r="C62" s="1264"/>
      <c r="D62" s="1267"/>
      <c r="E62" s="832" t="s">
        <v>1495</v>
      </c>
      <c r="F62" s="610" t="s">
        <v>1438</v>
      </c>
      <c r="G62" s="611">
        <v>1</v>
      </c>
      <c r="H62" s="612">
        <f>'13Amenaz'!D8</f>
        <v>0.26470588235294118</v>
      </c>
      <c r="I62" s="613">
        <f t="shared" ref="I62:I66" si="12">H62/G62</f>
        <v>0.26470588235294118</v>
      </c>
      <c r="J62" s="610"/>
      <c r="K62" s="610"/>
      <c r="L62" s="622">
        <v>1</v>
      </c>
      <c r="M62" s="622">
        <f>(1+H62)/4</f>
        <v>0.31617647058823528</v>
      </c>
      <c r="N62" s="715">
        <f t="shared" si="11"/>
        <v>0.31617647058823528</v>
      </c>
      <c r="O62" s="616"/>
      <c r="P62" s="626"/>
      <c r="Q62" s="626"/>
      <c r="R62" s="626"/>
      <c r="S62" s="626"/>
      <c r="T62" s="626"/>
      <c r="U62" s="626"/>
      <c r="V62" s="627"/>
    </row>
    <row r="63" spans="1:22" ht="48">
      <c r="A63" s="1314"/>
      <c r="B63" s="751"/>
      <c r="C63" s="1264"/>
      <c r="D63" s="1267"/>
      <c r="E63" s="832" t="s">
        <v>1496</v>
      </c>
      <c r="F63" s="611" t="s">
        <v>1438</v>
      </c>
      <c r="G63" s="611">
        <v>1</v>
      </c>
      <c r="H63" s="612">
        <f>'14Invasor'!D8</f>
        <v>0.5</v>
      </c>
      <c r="I63" s="611">
        <f t="shared" si="12"/>
        <v>0.5</v>
      </c>
      <c r="J63" s="610"/>
      <c r="K63" s="610"/>
      <c r="L63" s="622">
        <v>1</v>
      </c>
      <c r="M63" s="622">
        <f>(1+H63)/4</f>
        <v>0.375</v>
      </c>
      <c r="N63" s="631">
        <f t="shared" si="11"/>
        <v>0.375</v>
      </c>
      <c r="O63" s="616"/>
      <c r="P63" s="626"/>
      <c r="Q63" s="626"/>
      <c r="R63" s="626"/>
      <c r="S63" s="626"/>
      <c r="T63" s="626"/>
      <c r="U63" s="626"/>
      <c r="V63" s="627"/>
    </row>
    <row r="64" spans="1:22" ht="36">
      <c r="A64" s="1314"/>
      <c r="B64" s="751"/>
      <c r="C64" s="1264"/>
      <c r="D64" s="1267"/>
      <c r="E64" s="657" t="s">
        <v>1497</v>
      </c>
      <c r="F64" s="610" t="s">
        <v>1438</v>
      </c>
      <c r="G64" s="611">
        <v>0.3</v>
      </c>
      <c r="H64" s="612">
        <v>0</v>
      </c>
      <c r="I64" s="611">
        <f t="shared" si="12"/>
        <v>0</v>
      </c>
      <c r="J64" s="610"/>
      <c r="K64" s="610"/>
      <c r="L64" s="622">
        <v>1</v>
      </c>
      <c r="M64" s="622">
        <f>0+H64</f>
        <v>0</v>
      </c>
      <c r="N64" s="631">
        <f t="shared" si="11"/>
        <v>0</v>
      </c>
      <c r="O64" s="616"/>
      <c r="P64" s="626"/>
      <c r="Q64" s="626"/>
      <c r="R64" s="626"/>
      <c r="S64" s="626"/>
      <c r="T64" s="626"/>
      <c r="U64" s="626"/>
      <c r="V64" s="627"/>
    </row>
    <row r="65" spans="1:22" ht="51" customHeight="1">
      <c r="A65" s="1314"/>
      <c r="B65" s="751"/>
      <c r="C65" s="1264"/>
      <c r="D65" s="1267"/>
      <c r="E65" s="657" t="s">
        <v>1498</v>
      </c>
      <c r="F65" s="610" t="s">
        <v>1457</v>
      </c>
      <c r="G65" s="610">
        <v>1</v>
      </c>
      <c r="H65" s="658">
        <v>1</v>
      </c>
      <c r="I65" s="611">
        <f t="shared" si="12"/>
        <v>1</v>
      </c>
      <c r="J65" s="610"/>
      <c r="K65" s="610"/>
      <c r="L65" s="616">
        <v>3</v>
      </c>
      <c r="M65" s="616">
        <f>0+H65</f>
        <v>1</v>
      </c>
      <c r="N65" s="631">
        <f t="shared" si="11"/>
        <v>0.33333333333333331</v>
      </c>
      <c r="O65" s="616"/>
      <c r="P65" s="626"/>
      <c r="Q65" s="626"/>
      <c r="R65" s="626"/>
      <c r="S65" s="626"/>
      <c r="T65" s="626"/>
      <c r="U65" s="626"/>
      <c r="V65" s="627"/>
    </row>
    <row r="66" spans="1:22" ht="36.75" thickBot="1">
      <c r="A66" s="1314"/>
      <c r="B66" s="751"/>
      <c r="C66" s="1265"/>
      <c r="D66" s="1268"/>
      <c r="E66" s="659" t="s">
        <v>1499</v>
      </c>
      <c r="F66" s="633" t="s">
        <v>1457</v>
      </c>
      <c r="G66" s="752">
        <v>1</v>
      </c>
      <c r="H66" s="753">
        <v>1</v>
      </c>
      <c r="I66" s="611">
        <f t="shared" si="12"/>
        <v>1</v>
      </c>
      <c r="J66" s="633"/>
      <c r="K66" s="633"/>
      <c r="L66" s="638">
        <v>3</v>
      </c>
      <c r="M66" s="638">
        <f>0+H66</f>
        <v>1</v>
      </c>
      <c r="N66" s="639">
        <f t="shared" si="11"/>
        <v>0.33333333333333331</v>
      </c>
      <c r="O66" s="638"/>
      <c r="P66" s="641"/>
      <c r="Q66" s="641"/>
      <c r="R66" s="641"/>
      <c r="S66" s="641"/>
      <c r="T66" s="641"/>
      <c r="U66" s="641"/>
      <c r="V66" s="642"/>
    </row>
    <row r="67" spans="1:22" ht="13.5" thickBot="1">
      <c r="A67" s="1314"/>
      <c r="B67" s="1269"/>
      <c r="C67" s="1271" t="s">
        <v>1491</v>
      </c>
      <c r="D67" s="1272" t="s">
        <v>1454</v>
      </c>
      <c r="E67" s="1245" t="s">
        <v>1500</v>
      </c>
      <c r="F67" s="1246"/>
      <c r="G67" s="1246"/>
      <c r="H67" s="1246"/>
      <c r="I67" s="587">
        <f>I68</f>
        <v>0.66</v>
      </c>
      <c r="J67" s="661"/>
      <c r="K67" s="587"/>
      <c r="L67" s="646"/>
      <c r="M67" s="662"/>
      <c r="N67" s="646">
        <f>N68</f>
        <v>0.34499999999999997</v>
      </c>
      <c r="O67" s="647">
        <v>7.4235807900000006E-2</v>
      </c>
      <c r="P67" s="1122">
        <f>'Anexo 5-2 Gastos'!K37</f>
        <v>52830493</v>
      </c>
      <c r="Q67" s="1019">
        <f>'Anexo 5-2 Gastos'!L37</f>
        <v>23135874</v>
      </c>
      <c r="R67" s="1138">
        <f>Q67/P67</f>
        <v>0.43792652095826551</v>
      </c>
      <c r="S67" s="1019">
        <f>113192540+122789910+131338638+140875444</f>
        <v>508196532</v>
      </c>
      <c r="T67" s="1122">
        <f>2185857152+P67</f>
        <v>2238687645</v>
      </c>
      <c r="U67" s="1130">
        <f>T67/S67</f>
        <v>4.4051612005097276</v>
      </c>
      <c r="V67" s="1135"/>
    </row>
    <row r="68" spans="1:22" ht="43.5" customHeight="1" thickBot="1">
      <c r="A68" s="1314"/>
      <c r="B68" s="1270"/>
      <c r="C68" s="1271"/>
      <c r="D68" s="1249"/>
      <c r="E68" s="835" t="s">
        <v>790</v>
      </c>
      <c r="F68" s="754" t="s">
        <v>1438</v>
      </c>
      <c r="G68" s="755">
        <v>0.25</v>
      </c>
      <c r="H68" s="756">
        <f>'20Negoc'!D8</f>
        <v>0.16500000000000001</v>
      </c>
      <c r="I68" s="755">
        <f>H68/G68</f>
        <v>0.66</v>
      </c>
      <c r="J68" s="757"/>
      <c r="K68" s="754"/>
      <c r="L68" s="758">
        <v>1</v>
      </c>
      <c r="M68" s="758">
        <f>0.18+H68</f>
        <v>0.34499999999999997</v>
      </c>
      <c r="N68" s="759">
        <f>M68/L68</f>
        <v>0.34499999999999997</v>
      </c>
      <c r="O68" s="760"/>
      <c r="P68" s="761"/>
      <c r="Q68" s="761"/>
      <c r="R68" s="761"/>
      <c r="S68" s="761"/>
      <c r="T68" s="761"/>
      <c r="U68" s="761"/>
      <c r="V68" s="708"/>
    </row>
    <row r="69" spans="1:22" ht="13.5" thickBot="1">
      <c r="A69" s="1314"/>
      <c r="B69" s="1273"/>
      <c r="C69" s="1271"/>
      <c r="D69" s="1274" t="s">
        <v>1461</v>
      </c>
      <c r="E69" s="1278" t="s">
        <v>1501</v>
      </c>
      <c r="F69" s="1279"/>
      <c r="G69" s="1279"/>
      <c r="H69" s="1279"/>
      <c r="I69" s="587">
        <f>+(I71+I72)/2</f>
        <v>0.96</v>
      </c>
      <c r="J69" s="594"/>
      <c r="K69" s="697"/>
      <c r="L69" s="698"/>
      <c r="M69" s="1221"/>
      <c r="N69" s="1222">
        <f>(N71+N73)/2</f>
        <v>0.54200000000000004</v>
      </c>
      <c r="O69" s="762">
        <f>O70+O72+O88</f>
        <v>0.20960480310000001</v>
      </c>
      <c r="P69" s="1013">
        <f>P70+P72</f>
        <v>1128325252</v>
      </c>
      <c r="Q69" s="1013">
        <f>Q70+Q72</f>
        <v>809693088</v>
      </c>
      <c r="R69" s="1014">
        <f>Q69/P69</f>
        <v>0.71760610388253543</v>
      </c>
      <c r="S69" s="1013">
        <f>S70+S72</f>
        <v>2757374103</v>
      </c>
      <c r="T69" s="1012">
        <f>T70+T72</f>
        <v>2278617023</v>
      </c>
      <c r="U69" s="1014">
        <f>T69/S69</f>
        <v>0.82637209819330781</v>
      </c>
      <c r="V69" s="592"/>
    </row>
    <row r="70" spans="1:22" ht="13.5" thickBot="1">
      <c r="A70" s="1314"/>
      <c r="B70" s="1273"/>
      <c r="C70" s="1271"/>
      <c r="D70" s="1275"/>
      <c r="E70" s="1234" t="s">
        <v>1502</v>
      </c>
      <c r="F70" s="1235"/>
      <c r="G70" s="1235"/>
      <c r="H70" s="1236"/>
      <c r="I70" s="587">
        <f>I71</f>
        <v>0.91999999999999982</v>
      </c>
      <c r="J70" s="741"/>
      <c r="K70" s="589"/>
      <c r="L70" s="742"/>
      <c r="M70" s="644"/>
      <c r="N70" s="662">
        <f>(N71)</f>
        <v>0.58399999999999996</v>
      </c>
      <c r="O70" s="597">
        <v>7.8602620100000006E-2</v>
      </c>
      <c r="P70" s="1019">
        <f>'Anexo 5-2 Gastos'!K39</f>
        <v>845706080</v>
      </c>
      <c r="Q70" s="1019">
        <f>'Anexo 5-2 Gastos'!L39</f>
        <v>650643388</v>
      </c>
      <c r="R70" s="1020">
        <f>Q70/P70</f>
        <v>0.76934930868653562</v>
      </c>
      <c r="S70" s="1019">
        <f>337772038+343074562+363062048+384893710</f>
        <v>1428802358</v>
      </c>
      <c r="T70" s="1019">
        <f>751199038+P70</f>
        <v>1596905118</v>
      </c>
      <c r="U70" s="1020">
        <f>T70/S70</f>
        <v>1.1176529133359674</v>
      </c>
      <c r="V70" s="763"/>
    </row>
    <row r="71" spans="1:22" ht="24.75" thickBot="1">
      <c r="A71" s="1314"/>
      <c r="B71" s="1273"/>
      <c r="C71" s="1271"/>
      <c r="D71" s="1276"/>
      <c r="E71" s="836" t="s">
        <v>1503</v>
      </c>
      <c r="F71" s="764" t="s">
        <v>1438</v>
      </c>
      <c r="G71" s="755">
        <v>0.45</v>
      </c>
      <c r="H71" s="1193">
        <f>'19GAU'!D8</f>
        <v>0.41399999999999992</v>
      </c>
      <c r="I71" s="765">
        <f>H71/G71</f>
        <v>0.91999999999999982</v>
      </c>
      <c r="J71" s="766"/>
      <c r="K71" s="766"/>
      <c r="L71" s="758">
        <v>1</v>
      </c>
      <c r="M71" s="758">
        <f>0.17+H71</f>
        <v>0.58399999999999996</v>
      </c>
      <c r="N71" s="759">
        <f>M71/L71</f>
        <v>0.58399999999999996</v>
      </c>
      <c r="O71" s="767"/>
      <c r="P71" s="1123"/>
      <c r="Q71" s="761"/>
      <c r="R71" s="761"/>
      <c r="S71" s="761"/>
      <c r="T71" s="761"/>
      <c r="U71" s="761"/>
      <c r="V71" s="708"/>
    </row>
    <row r="72" spans="1:22" ht="13.5" thickBot="1">
      <c r="A72" s="1314"/>
      <c r="B72" s="1273"/>
      <c r="C72" s="1271"/>
      <c r="D72" s="1275"/>
      <c r="E72" s="1234" t="s">
        <v>1504</v>
      </c>
      <c r="F72" s="1235"/>
      <c r="G72" s="1235"/>
      <c r="H72" s="1235"/>
      <c r="I72" s="587">
        <f>I73</f>
        <v>1</v>
      </c>
      <c r="J72" s="661"/>
      <c r="K72" s="587"/>
      <c r="L72" s="646"/>
      <c r="M72" s="662"/>
      <c r="N72" s="646">
        <f>(N73)</f>
        <v>0.5</v>
      </c>
      <c r="O72" s="768">
        <v>6.5502183000000005E-2</v>
      </c>
      <c r="P72" s="1124">
        <f>'Anexo 5-2 Gastos'!K40</f>
        <v>282619172</v>
      </c>
      <c r="Q72" s="1019">
        <f>'Anexo 5-2 Gastos'!L40</f>
        <v>159049700</v>
      </c>
      <c r="R72" s="1130">
        <f>Q72/P72</f>
        <v>0.56277038416912495</v>
      </c>
      <c r="S72" s="1122">
        <f>291746733+320524448+343855274+372445290</f>
        <v>1328571745</v>
      </c>
      <c r="T72" s="1019">
        <f>399092733+P72</f>
        <v>681711905</v>
      </c>
      <c r="U72" s="1139">
        <f>T72/S72</f>
        <v>0.51311636542443551</v>
      </c>
      <c r="V72" s="1140"/>
    </row>
    <row r="73" spans="1:22" ht="49.5" customHeight="1" thickBot="1">
      <c r="A73" s="1314"/>
      <c r="B73" s="1273"/>
      <c r="C73" s="1271"/>
      <c r="D73" s="1277"/>
      <c r="E73" s="836" t="s">
        <v>664</v>
      </c>
      <c r="F73" s="766" t="s">
        <v>1438</v>
      </c>
      <c r="G73" s="755">
        <v>0.25</v>
      </c>
      <c r="H73" s="756">
        <f>'18Sector'!D8</f>
        <v>0.25</v>
      </c>
      <c r="I73" s="765">
        <f>H73/G73</f>
        <v>1</v>
      </c>
      <c r="J73" s="766"/>
      <c r="K73" s="769"/>
      <c r="L73" s="758">
        <v>1</v>
      </c>
      <c r="M73" s="758">
        <f>0.25+H73</f>
        <v>0.5</v>
      </c>
      <c r="N73" s="759">
        <f>M73/L73</f>
        <v>0.5</v>
      </c>
      <c r="O73" s="770"/>
      <c r="P73" s="1123"/>
      <c r="Q73" s="761"/>
      <c r="R73" s="761"/>
      <c r="S73" s="761"/>
      <c r="T73" s="761"/>
      <c r="U73" s="761"/>
      <c r="V73" s="708"/>
    </row>
    <row r="74" spans="1:22" ht="13.5" thickBot="1">
      <c r="A74" s="1314"/>
      <c r="B74" s="1247" t="s">
        <v>1453</v>
      </c>
      <c r="C74" s="1250" t="s">
        <v>1491</v>
      </c>
      <c r="D74" s="1252" t="s">
        <v>1505</v>
      </c>
      <c r="E74" s="1255" t="s">
        <v>1506</v>
      </c>
      <c r="F74" s="1256"/>
      <c r="G74" s="1256"/>
      <c r="H74" s="1257"/>
      <c r="I74" s="771">
        <f>SUM(I75+I77)/2</f>
        <v>0.46666666666666667</v>
      </c>
      <c r="J74" s="594"/>
      <c r="K74" s="697"/>
      <c r="L74" s="698"/>
      <c r="M74" s="699"/>
      <c r="N74" s="700">
        <f>(N76+N78)/2</f>
        <v>0.4</v>
      </c>
      <c r="O74" s="773">
        <f>O75+O77</f>
        <v>0.13100436681300001</v>
      </c>
      <c r="P74" s="1013">
        <f>P75+P77</f>
        <v>612020948</v>
      </c>
      <c r="Q74" s="1012">
        <f>Q75+Q77</f>
        <v>215303377</v>
      </c>
      <c r="R74" s="1014">
        <f>Q74/P74</f>
        <v>0.35179086223042155</v>
      </c>
      <c r="S74" s="1012">
        <f>S75+S77</f>
        <v>2843953350</v>
      </c>
      <c r="T74" s="1013">
        <f>T75+T77</f>
        <v>1290602018</v>
      </c>
      <c r="U74" s="1014">
        <f>T74/S74</f>
        <v>0.45380562167097432</v>
      </c>
      <c r="V74" s="1021"/>
    </row>
    <row r="75" spans="1:22" ht="13.5" thickBot="1">
      <c r="A75" s="1314"/>
      <c r="B75" s="1248"/>
      <c r="C75" s="1251"/>
      <c r="D75" s="1252"/>
      <c r="E75" s="1258" t="s">
        <v>1507</v>
      </c>
      <c r="F75" s="1259"/>
      <c r="G75" s="1259"/>
      <c r="H75" s="1260"/>
      <c r="I75" s="587">
        <f>SUM(I76)</f>
        <v>0.46666666666666667</v>
      </c>
      <c r="J75" s="741"/>
      <c r="K75" s="589"/>
      <c r="L75" s="662"/>
      <c r="M75" s="644"/>
      <c r="N75" s="662">
        <f>SUM(N76)</f>
        <v>0.4</v>
      </c>
      <c r="O75" s="768">
        <v>6.5502183406500006E-2</v>
      </c>
      <c r="P75" s="1125">
        <f>'Anexo 5-2 Gastos'!K42</f>
        <v>395544536</v>
      </c>
      <c r="Q75" s="1125">
        <f>'Anexo 5-2 Gastos'!L42</f>
        <v>165152148</v>
      </c>
      <c r="R75" s="1130">
        <f>Q75/P75</f>
        <v>0.41753110704075053</v>
      </c>
      <c r="S75" s="1019">
        <f>413999764+433060064+450629158+472214308</f>
        <v>1769903294</v>
      </c>
      <c r="T75" s="1018">
        <f>425170764+P75</f>
        <v>820715300</v>
      </c>
      <c r="U75" s="1130">
        <f>T75/S75</f>
        <v>0.46370629558249754</v>
      </c>
      <c r="V75" s="1141"/>
    </row>
    <row r="76" spans="1:22" ht="26.25" thickBot="1">
      <c r="A76" s="1314"/>
      <c r="B76" s="1248"/>
      <c r="C76" s="1251"/>
      <c r="D76" s="1253"/>
      <c r="E76" s="1058" t="s">
        <v>1133</v>
      </c>
      <c r="F76" s="1059" t="s">
        <v>1438</v>
      </c>
      <c r="G76" s="1060">
        <v>0.45</v>
      </c>
      <c r="H76" s="1060">
        <f>'27Educa'!D8</f>
        <v>0.21000000000000002</v>
      </c>
      <c r="I76" s="765">
        <f>H76/G76</f>
        <v>0.46666666666666667</v>
      </c>
      <c r="J76" s="766"/>
      <c r="K76" s="766"/>
      <c r="L76" s="758">
        <v>1</v>
      </c>
      <c r="M76" s="758">
        <f>0.19+H76</f>
        <v>0.4</v>
      </c>
      <c r="N76" s="759">
        <f>M76/L76</f>
        <v>0.4</v>
      </c>
      <c r="O76" s="774"/>
      <c r="P76" s="1123"/>
      <c r="Q76" s="761"/>
      <c r="R76" s="761"/>
      <c r="S76" s="761"/>
      <c r="T76" s="761"/>
      <c r="U76" s="761"/>
      <c r="V76" s="708"/>
    </row>
    <row r="77" spans="1:22" ht="13.5" thickBot="1">
      <c r="A77" s="1314"/>
      <c r="B77" s="1248"/>
      <c r="C77" s="1251"/>
      <c r="D77" s="1252"/>
      <c r="E77" s="1261" t="s">
        <v>1508</v>
      </c>
      <c r="F77" s="1262"/>
      <c r="G77" s="1262"/>
      <c r="H77" s="1262"/>
      <c r="I77" s="587">
        <f>SUM(I78)</f>
        <v>0.46666666666666667</v>
      </c>
      <c r="J77" s="643"/>
      <c r="K77" s="589"/>
      <c r="L77" s="646"/>
      <c r="M77" s="644"/>
      <c r="N77" s="646">
        <f>SUM(N78)</f>
        <v>0.4</v>
      </c>
      <c r="O77" s="768">
        <v>6.5502183406500006E-2</v>
      </c>
      <c r="P77" s="1122">
        <f>'Anexo 5-2 Gastos'!K43</f>
        <v>216476412</v>
      </c>
      <c r="Q77" s="1019">
        <f>'Anexo 5-2 Gastos'!L43</f>
        <v>50151229</v>
      </c>
      <c r="R77" s="1139">
        <f>Q77/P77</f>
        <v>0.23167064040215152</v>
      </c>
      <c r="S77" s="1019">
        <f>247240306+264243452+274198844+288367454</f>
        <v>1074050056</v>
      </c>
      <c r="T77" s="1122">
        <f>253410306+P77</f>
        <v>469886718</v>
      </c>
      <c r="U77" s="1130">
        <f>T77/S77</f>
        <v>0.43749052046043557</v>
      </c>
      <c r="V77" s="1131"/>
    </row>
    <row r="78" spans="1:22" ht="26.25" thickBot="1">
      <c r="A78" s="1314"/>
      <c r="B78" s="1249"/>
      <c r="C78" s="1251"/>
      <c r="D78" s="1254"/>
      <c r="E78" s="775" t="s">
        <v>1133</v>
      </c>
      <c r="F78" s="776" t="s">
        <v>1438</v>
      </c>
      <c r="G78" s="755">
        <v>0.45</v>
      </c>
      <c r="H78" s="756">
        <f>'27Educa'!D8</f>
        <v>0.21000000000000002</v>
      </c>
      <c r="I78" s="777">
        <f t="shared" ref="I78" si="13">H78/G78</f>
        <v>0.46666666666666667</v>
      </c>
      <c r="J78" s="778"/>
      <c r="K78" s="779"/>
      <c r="L78" s="758">
        <v>1</v>
      </c>
      <c r="M78" s="758">
        <f>0.19+H78</f>
        <v>0.4</v>
      </c>
      <c r="N78" s="759">
        <f t="shared" ref="N78" si="14">M78/L78</f>
        <v>0.4</v>
      </c>
      <c r="O78" s="767"/>
      <c r="P78" s="1126"/>
      <c r="Q78" s="780"/>
      <c r="R78" s="780"/>
      <c r="S78" s="780"/>
      <c r="T78" s="780"/>
      <c r="U78" s="780"/>
      <c r="V78" s="781"/>
    </row>
    <row r="79" spans="1:22" ht="13.5" thickBot="1">
      <c r="A79" s="1314"/>
      <c r="B79" s="782"/>
      <c r="C79" s="783"/>
      <c r="D79" s="784"/>
      <c r="E79" s="1234" t="s">
        <v>1509</v>
      </c>
      <c r="F79" s="1235"/>
      <c r="G79" s="1235"/>
      <c r="H79" s="1236"/>
      <c r="I79" s="785">
        <f>SUM(I81+I82+I83+I84+I85+I86+I87+I89+I90+I91+I92+I93)/12</f>
        <v>0.48061200321831538</v>
      </c>
      <c r="J79" s="698"/>
      <c r="K79" s="786"/>
      <c r="L79" s="698"/>
      <c r="M79" s="787"/>
      <c r="N79" s="700">
        <f>SUM(N81+N82+N83+N84+N85+N86+N87+N89+N90+N91+N92+N93)/12</f>
        <v>0.40687217850572432</v>
      </c>
      <c r="O79" s="788">
        <f>O80</f>
        <v>6.9868995599999997E-2</v>
      </c>
      <c r="P79" s="1127">
        <f>P80+P88</f>
        <v>1058878409</v>
      </c>
      <c r="Q79" s="1142">
        <f>Q80+Q88</f>
        <v>521620890</v>
      </c>
      <c r="R79" s="1014">
        <f>Q79/P79</f>
        <v>0.49261641900189129</v>
      </c>
      <c r="S79" s="1143">
        <f>S80+S88</f>
        <v>4558001842</v>
      </c>
      <c r="T79" s="1013">
        <f>T80+T88</f>
        <v>2365667044</v>
      </c>
      <c r="U79" s="1132">
        <f>T79/S79</f>
        <v>0.51901406054763066</v>
      </c>
      <c r="V79" s="1021"/>
    </row>
    <row r="80" spans="1:22" ht="13.5" thickBot="1">
      <c r="A80" s="1314"/>
      <c r="B80" s="789"/>
      <c r="C80" s="1237" t="s">
        <v>1510</v>
      </c>
      <c r="D80" s="1239" t="s">
        <v>1461</v>
      </c>
      <c r="E80" s="1242" t="s">
        <v>1511</v>
      </c>
      <c r="F80" s="1243"/>
      <c r="G80" s="1243"/>
      <c r="H80" s="1244"/>
      <c r="I80" s="790">
        <f>SUM(I81+I82+I83+I84+I85+I86+I87)/7</f>
        <v>0.49362057694568334</v>
      </c>
      <c r="J80" s="791"/>
      <c r="K80" s="791"/>
      <c r="L80" s="792"/>
      <c r="M80" s="605"/>
      <c r="N80" s="793">
        <f>(N81+N82+N83+N84+N85+N86+N87)/7</f>
        <v>0.34355898204292445</v>
      </c>
      <c r="O80" s="794">
        <v>6.9868995599999997E-2</v>
      </c>
      <c r="P80" s="1128">
        <f>'Anexo 5-2 Gastos'!K45</f>
        <v>774365817</v>
      </c>
      <c r="Q80" s="1144">
        <f>'Anexo 5-2 Gastos'!L45</f>
        <v>378371197</v>
      </c>
      <c r="R80" s="1145">
        <f>Q80/P80</f>
        <v>0.48862073801999967</v>
      </c>
      <c r="S80" s="1146">
        <f>762514412+774477294+858800550+952403462</f>
        <v>3348195718</v>
      </c>
      <c r="T80" s="1146">
        <f>783702414+P80</f>
        <v>1558068231</v>
      </c>
      <c r="U80" s="1145">
        <f>T80/S80</f>
        <v>0.46534562559284653</v>
      </c>
      <c r="V80" s="1147"/>
    </row>
    <row r="81" spans="1:22" ht="51" customHeight="1">
      <c r="A81" s="1314"/>
      <c r="B81" s="796"/>
      <c r="C81" s="1237"/>
      <c r="D81" s="1240"/>
      <c r="E81" s="831" t="s">
        <v>168</v>
      </c>
      <c r="F81" s="797" t="s">
        <v>1438</v>
      </c>
      <c r="G81" s="666">
        <v>1</v>
      </c>
      <c r="H81" s="798">
        <f>'3PSMV'!D8</f>
        <v>0.64</v>
      </c>
      <c r="I81" s="613">
        <f>H81/G81</f>
        <v>0.64</v>
      </c>
      <c r="J81" s="799"/>
      <c r="K81" s="613"/>
      <c r="L81" s="622">
        <v>1</v>
      </c>
      <c r="M81" s="622">
        <f>(1+H81)/4</f>
        <v>0.41000000000000003</v>
      </c>
      <c r="N81" s="617">
        <f>M81/L81</f>
        <v>0.41000000000000003</v>
      </c>
      <c r="O81" s="684"/>
      <c r="P81" s="626"/>
      <c r="Q81" s="626"/>
      <c r="R81" s="800"/>
      <c r="S81" s="626"/>
      <c r="T81" s="626"/>
      <c r="U81" s="626"/>
      <c r="V81" s="642"/>
    </row>
    <row r="82" spans="1:22" ht="36">
      <c r="A82" s="1314"/>
      <c r="B82" s="796"/>
      <c r="C82" s="1237"/>
      <c r="D82" s="1240"/>
      <c r="E82" s="832" t="s">
        <v>207</v>
      </c>
      <c r="F82" s="801" t="s">
        <v>1438</v>
      </c>
      <c r="G82" s="613">
        <v>1</v>
      </c>
      <c r="H82" s="802">
        <f>'5PUEAA'!D8</f>
        <v>0.2857142857142857</v>
      </c>
      <c r="I82" s="613">
        <f t="shared" ref="I82:I87" si="15">H82/G82</f>
        <v>0.2857142857142857</v>
      </c>
      <c r="J82" s="676"/>
      <c r="K82" s="613"/>
      <c r="L82" s="622">
        <v>1</v>
      </c>
      <c r="M82" s="622">
        <f>(1+H82)/4</f>
        <v>0.3214285714285714</v>
      </c>
      <c r="N82" s="617">
        <f t="shared" ref="N82:N86" si="16">M82/L82</f>
        <v>0.3214285714285714</v>
      </c>
      <c r="O82" s="684"/>
      <c r="P82" s="626"/>
      <c r="Q82" s="626"/>
      <c r="R82" s="626"/>
      <c r="S82" s="626"/>
      <c r="T82" s="626"/>
      <c r="U82" s="626"/>
      <c r="V82" s="642"/>
    </row>
    <row r="83" spans="1:22" ht="51" customHeight="1">
      <c r="A83" s="1314"/>
      <c r="B83" s="796"/>
      <c r="C83" s="1237"/>
      <c r="D83" s="1240"/>
      <c r="E83" s="832" t="s">
        <v>643</v>
      </c>
      <c r="F83" s="801" t="s">
        <v>1438</v>
      </c>
      <c r="G83" s="613">
        <v>1</v>
      </c>
      <c r="H83" s="803">
        <f>'17PGIRS'!D8</f>
        <v>0.46666666666666667</v>
      </c>
      <c r="I83" s="613">
        <f t="shared" si="15"/>
        <v>0.46666666666666667</v>
      </c>
      <c r="J83" s="676"/>
      <c r="K83" s="613"/>
      <c r="L83" s="622">
        <v>1</v>
      </c>
      <c r="M83" s="622">
        <f>(1+H83)/4</f>
        <v>0.3666666666666667</v>
      </c>
      <c r="N83" s="617">
        <f t="shared" si="16"/>
        <v>0.3666666666666667</v>
      </c>
      <c r="O83" s="684"/>
      <c r="P83" s="626"/>
      <c r="Q83" s="626"/>
      <c r="R83" s="626"/>
      <c r="S83" s="626"/>
      <c r="T83" s="626"/>
      <c r="U83" s="626"/>
      <c r="V83" s="642"/>
    </row>
    <row r="84" spans="1:22" ht="24">
      <c r="A84" s="1314"/>
      <c r="B84" s="796"/>
      <c r="C84" s="1237"/>
      <c r="D84" s="1240"/>
      <c r="E84" s="832" t="s">
        <v>1512</v>
      </c>
      <c r="F84" s="801" t="s">
        <v>1438</v>
      </c>
      <c r="G84" s="613">
        <v>1</v>
      </c>
      <c r="H84" s="802">
        <f>'22Autor'!D8</f>
        <v>0.54478849644003913</v>
      </c>
      <c r="I84" s="613">
        <f t="shared" si="15"/>
        <v>0.54478849644003913</v>
      </c>
      <c r="J84" s="676"/>
      <c r="K84" s="613"/>
      <c r="L84" s="622">
        <v>1</v>
      </c>
      <c r="M84" s="622">
        <f>(0.97+H84)/4</f>
        <v>0.37869712411000978</v>
      </c>
      <c r="N84" s="617">
        <f t="shared" si="16"/>
        <v>0.37869712411000978</v>
      </c>
      <c r="O84" s="684"/>
      <c r="P84" s="626"/>
      <c r="Q84" s="626"/>
      <c r="R84" s="626"/>
      <c r="S84" s="626"/>
      <c r="T84" s="626"/>
      <c r="U84" s="626"/>
      <c r="V84" s="642"/>
    </row>
    <row r="85" spans="1:22" ht="54" customHeight="1">
      <c r="A85" s="1314"/>
      <c r="B85" s="796"/>
      <c r="C85" s="1237"/>
      <c r="D85" s="1240"/>
      <c r="E85" s="832" t="s">
        <v>1513</v>
      </c>
      <c r="F85" s="801" t="s">
        <v>1514</v>
      </c>
      <c r="G85" s="804">
        <v>90</v>
      </c>
      <c r="H85" s="1188">
        <f>'21TiempoT'!E57</f>
        <v>113.79917440660475</v>
      </c>
      <c r="I85" s="613">
        <f>IF(G85/H85&gt;1,1,G85/H85)</f>
        <v>0.79086689749109917</v>
      </c>
      <c r="J85" s="676"/>
      <c r="K85" s="613"/>
      <c r="L85" s="615">
        <v>90</v>
      </c>
      <c r="M85" s="616">
        <f>123+H85</f>
        <v>236.79917440660475</v>
      </c>
      <c r="N85" s="617">
        <f>IF(L85/M85&gt;1,1,L85/M85)</f>
        <v>0.38006889266202498</v>
      </c>
      <c r="O85" s="684"/>
      <c r="P85" s="626"/>
      <c r="Q85" s="805"/>
      <c r="R85" s="626"/>
      <c r="S85" s="626"/>
      <c r="T85" s="626"/>
      <c r="U85" s="626"/>
      <c r="V85" s="1194" t="s">
        <v>1881</v>
      </c>
    </row>
    <row r="86" spans="1:22" ht="24">
      <c r="A86" s="1314"/>
      <c r="B86" s="796"/>
      <c r="C86" s="1237"/>
      <c r="D86" s="1240"/>
      <c r="E86" s="832" t="s">
        <v>1515</v>
      </c>
      <c r="F86" s="801" t="s">
        <v>1438</v>
      </c>
      <c r="G86" s="611">
        <v>0.8</v>
      </c>
      <c r="H86" s="802">
        <f>'23Sanc'!D8</f>
        <v>0.15384615384615385</v>
      </c>
      <c r="I86" s="629">
        <f t="shared" si="15"/>
        <v>0.19230769230769232</v>
      </c>
      <c r="J86" s="799"/>
      <c r="K86" s="613"/>
      <c r="L86" s="622">
        <v>0.95</v>
      </c>
      <c r="M86" s="622">
        <f>(0.48+H86)/4</f>
        <v>0.15846153846153846</v>
      </c>
      <c r="N86" s="617">
        <f t="shared" si="16"/>
        <v>0.16680161943319838</v>
      </c>
      <c r="O86" s="684"/>
      <c r="P86" s="626"/>
      <c r="Q86" s="626"/>
      <c r="R86" s="626"/>
      <c r="S86" s="626"/>
      <c r="T86" s="626"/>
      <c r="U86" s="626"/>
      <c r="V86" s="642"/>
    </row>
    <row r="87" spans="1:22" ht="36.75" thickBot="1">
      <c r="A87" s="1314"/>
      <c r="B87" s="796"/>
      <c r="C87" s="1237"/>
      <c r="D87" s="1240"/>
      <c r="E87" s="659" t="s">
        <v>1516</v>
      </c>
      <c r="F87" s="801" t="s">
        <v>1457</v>
      </c>
      <c r="G87" s="806">
        <v>200</v>
      </c>
      <c r="H87" s="753">
        <v>107</v>
      </c>
      <c r="I87" s="636">
        <f t="shared" si="15"/>
        <v>0.53500000000000003</v>
      </c>
      <c r="J87" s="807"/>
      <c r="K87" s="636"/>
      <c r="L87" s="808">
        <v>800</v>
      </c>
      <c r="M87" s="638">
        <f>198+H87</f>
        <v>305</v>
      </c>
      <c r="N87" s="809">
        <f>M87/L87</f>
        <v>0.38124999999999998</v>
      </c>
      <c r="O87" s="690"/>
      <c r="P87" s="641"/>
      <c r="Q87" s="641"/>
      <c r="R87" s="641"/>
      <c r="S87" s="641"/>
      <c r="T87" s="641"/>
      <c r="U87" s="641"/>
      <c r="V87" s="642"/>
    </row>
    <row r="88" spans="1:22" ht="13.5" thickBot="1">
      <c r="A88" s="1314"/>
      <c r="B88" s="810"/>
      <c r="C88" s="1237"/>
      <c r="D88" s="1239"/>
      <c r="E88" s="1245" t="s">
        <v>1517</v>
      </c>
      <c r="F88" s="1246"/>
      <c r="G88" s="1246"/>
      <c r="H88" s="1246"/>
      <c r="I88" s="587">
        <f>(I89+I90+I91+I92+I93)/5</f>
        <v>0.46239999999999998</v>
      </c>
      <c r="J88" s="643"/>
      <c r="K88" s="589"/>
      <c r="L88" s="645"/>
      <c r="M88" s="644"/>
      <c r="N88" s="646">
        <f>(N89+N90+N91+N92+N93)/5</f>
        <v>0.4955106535536441</v>
      </c>
      <c r="O88" s="647">
        <v>6.5500000000000003E-2</v>
      </c>
      <c r="P88" s="1122">
        <f>'Anexo 5-2 Gastos'!K46</f>
        <v>284512592</v>
      </c>
      <c r="Q88" s="1019">
        <f>'Anexo 5-2 Gastos'!L46</f>
        <v>143249693</v>
      </c>
      <c r="R88" s="1139">
        <f>Q88/P88</f>
        <v>0.50349157481226703</v>
      </c>
      <c r="S88" s="1019">
        <f>266529220+292674812+312315583+338286509</f>
        <v>1209806124</v>
      </c>
      <c r="T88" s="1019">
        <f>523086221+P88</f>
        <v>807598813</v>
      </c>
      <c r="U88" s="1148">
        <f>T88/S88</f>
        <v>0.66754399484259841</v>
      </c>
      <c r="V88" s="1135"/>
    </row>
    <row r="89" spans="1:22" ht="51" customHeight="1">
      <c r="A89" s="1314"/>
      <c r="B89" s="810"/>
      <c r="C89" s="1237"/>
      <c r="D89" s="1240"/>
      <c r="E89" s="811" t="s">
        <v>1518</v>
      </c>
      <c r="F89" s="668" t="s">
        <v>1457</v>
      </c>
      <c r="G89" s="812">
        <v>50</v>
      </c>
      <c r="H89" s="665">
        <v>0</v>
      </c>
      <c r="I89" s="600">
        <f>H89/G89</f>
        <v>0</v>
      </c>
      <c r="J89" s="791"/>
      <c r="K89" s="668"/>
      <c r="L89" s="813">
        <v>200</v>
      </c>
      <c r="M89" s="605">
        <f>36+H89</f>
        <v>36</v>
      </c>
      <c r="N89" s="606">
        <f>M89/L89</f>
        <v>0.18</v>
      </c>
      <c r="O89" s="814"/>
      <c r="P89" s="673"/>
      <c r="Q89" s="673"/>
      <c r="R89" s="673"/>
      <c r="S89" s="673"/>
      <c r="T89" s="673"/>
      <c r="U89" s="673"/>
      <c r="V89" s="795"/>
    </row>
    <row r="90" spans="1:22" ht="36">
      <c r="A90" s="1314"/>
      <c r="B90" s="810"/>
      <c r="C90" s="1237"/>
      <c r="D90" s="1240"/>
      <c r="E90" s="815" t="s">
        <v>1519</v>
      </c>
      <c r="F90" s="676" t="s">
        <v>1438</v>
      </c>
      <c r="G90" s="674">
        <v>1</v>
      </c>
      <c r="H90" s="612">
        <v>0</v>
      </c>
      <c r="I90" s="611">
        <f>H90/G90</f>
        <v>0</v>
      </c>
      <c r="J90" s="816"/>
      <c r="K90" s="676"/>
      <c r="L90" s="622">
        <v>1</v>
      </c>
      <c r="M90" s="622">
        <f>(1+H90)/4</f>
        <v>0.25</v>
      </c>
      <c r="N90" s="617">
        <f>M90/L90</f>
        <v>0.25</v>
      </c>
      <c r="O90" s="817"/>
      <c r="P90" s="680"/>
      <c r="Q90" s="680"/>
      <c r="R90" s="680"/>
      <c r="S90" s="680"/>
      <c r="T90" s="680"/>
      <c r="U90" s="680"/>
      <c r="V90" s="818"/>
    </row>
    <row r="91" spans="1:22" ht="67.5" customHeight="1">
      <c r="A91" s="1314"/>
      <c r="B91" s="810"/>
      <c r="C91" s="1237"/>
      <c r="D91" s="1240"/>
      <c r="E91" s="815" t="s">
        <v>1520</v>
      </c>
      <c r="F91" s="681" t="s">
        <v>1521</v>
      </c>
      <c r="G91" s="819">
        <v>50</v>
      </c>
      <c r="H91" s="682">
        <v>41</v>
      </c>
      <c r="I91" s="611">
        <f>H91/G91</f>
        <v>0.82</v>
      </c>
      <c r="J91" s="816"/>
      <c r="K91" s="676"/>
      <c r="L91" s="684">
        <v>50</v>
      </c>
      <c r="M91" s="616">
        <f>53.3+H91</f>
        <v>94.3</v>
      </c>
      <c r="N91" s="617">
        <f>L91/M91</f>
        <v>0.53022269353128315</v>
      </c>
      <c r="O91" s="817"/>
      <c r="P91" s="680"/>
      <c r="Q91" s="680"/>
      <c r="R91" s="680"/>
      <c r="S91" s="680"/>
      <c r="T91" s="680"/>
      <c r="U91" s="680"/>
      <c r="V91" s="818"/>
    </row>
    <row r="92" spans="1:22" ht="67.5" customHeight="1">
      <c r="A92" s="1314"/>
      <c r="B92" s="810"/>
      <c r="C92" s="1237"/>
      <c r="D92" s="1240"/>
      <c r="E92" s="815" t="s">
        <v>1522</v>
      </c>
      <c r="F92" s="681" t="s">
        <v>1521</v>
      </c>
      <c r="G92" s="681">
        <v>100</v>
      </c>
      <c r="H92" s="682">
        <v>84.2</v>
      </c>
      <c r="I92" s="611">
        <f>H92/G92</f>
        <v>0.84200000000000008</v>
      </c>
      <c r="J92" s="816"/>
      <c r="K92" s="676"/>
      <c r="L92" s="684">
        <v>100</v>
      </c>
      <c r="M92" s="616">
        <f>109.1+H92</f>
        <v>193.3</v>
      </c>
      <c r="N92" s="617">
        <f>L92/M92</f>
        <v>0.5173305742369374</v>
      </c>
      <c r="O92" s="817"/>
      <c r="P92" s="680"/>
      <c r="Q92" s="680"/>
      <c r="R92" s="680"/>
      <c r="S92" s="680"/>
      <c r="T92" s="680"/>
      <c r="U92" s="680"/>
      <c r="V92" s="818"/>
    </row>
    <row r="93" spans="1:22" ht="24.75" thickBot="1">
      <c r="A93" s="1315"/>
      <c r="B93" s="810"/>
      <c r="C93" s="1238"/>
      <c r="D93" s="1241"/>
      <c r="E93" s="815" t="s">
        <v>1523</v>
      </c>
      <c r="F93" s="676" t="s">
        <v>1457</v>
      </c>
      <c r="G93" s="681">
        <v>20</v>
      </c>
      <c r="H93" s="682">
        <v>13</v>
      </c>
      <c r="I93" s="636">
        <f t="shared" ref="I93" si="17">H93/G93</f>
        <v>0.65</v>
      </c>
      <c r="J93" s="816"/>
      <c r="K93" s="676"/>
      <c r="L93" s="684">
        <v>23</v>
      </c>
      <c r="M93" s="616">
        <f>13+H93</f>
        <v>26</v>
      </c>
      <c r="N93" s="617">
        <v>1</v>
      </c>
      <c r="O93" s="817"/>
      <c r="P93" s="680"/>
      <c r="Q93" s="680"/>
      <c r="R93" s="680"/>
      <c r="S93" s="680"/>
      <c r="T93" s="680"/>
      <c r="U93" s="680"/>
      <c r="V93" s="818"/>
    </row>
    <row r="94" spans="1:22" ht="13.5" thickBot="1">
      <c r="A94" s="1230" t="s">
        <v>1283</v>
      </c>
      <c r="B94" s="1231"/>
      <c r="C94" s="1231"/>
      <c r="D94" s="1231"/>
      <c r="E94" s="1231"/>
      <c r="F94" s="1231"/>
      <c r="G94" s="1231"/>
      <c r="H94" s="1232"/>
      <c r="I94" s="820">
        <f ca="1">(I8+I30+I48+I69+I74+I79)/6</f>
        <v>0.58615594126048609</v>
      </c>
      <c r="J94" s="821"/>
      <c r="K94" s="822"/>
      <c r="L94" s="823"/>
      <c r="M94" s="703">
        <f t="shared" ref="M94" si="18">H94</f>
        <v>0</v>
      </c>
      <c r="N94" s="824">
        <f ca="1">(N10+N11+N12+N13+N14+N15+N16+N17+N18+N20+N21+N22+N23+N24+N26+N27+N28+N29+N32+N33+N34+N35+N36+N37+N38+N39+N41+N42+N43+N44+N45+N46+N47+N49+N50+N51+N52+N53+N54+N55+N56+N57+N58+N61+N62+N63+N64+N65+N66+N68+N71+N73+N76+N78+N81+N82+N83+N84+N85+N86+N87+N89+N90+N91+N92+N93)/67</f>
        <v>0.41262649408642754</v>
      </c>
      <c r="O94" s="825">
        <f>O8+O30+O48+O69+O74+O79</f>
        <v>1.000087772613</v>
      </c>
      <c r="P94" s="826">
        <f>P8+P30+P48+P69+P74+P79</f>
        <v>10637836323</v>
      </c>
      <c r="Q94" s="827">
        <f>Q8+Q30+Q48+Q69+Q74+Q79</f>
        <v>4554654951.5</v>
      </c>
      <c r="R94" s="828">
        <f>Q94/P94</f>
        <v>0.42815614126835255</v>
      </c>
      <c r="S94" s="827">
        <f>S8+S30+S48+S69+S74+S79</f>
        <v>24302595625</v>
      </c>
      <c r="T94" s="826">
        <f>T8+T30+T48+T69+T74+T79</f>
        <v>38302512419</v>
      </c>
      <c r="U94" s="829">
        <f>T94/S94</f>
        <v>1.5760667300738169</v>
      </c>
      <c r="V94" s="830"/>
    </row>
    <row r="97" spans="8:14">
      <c r="N97" s="1226"/>
    </row>
    <row r="109" spans="8:14">
      <c r="H109" s="554">
        <f>59*0.25</f>
        <v>14.75</v>
      </c>
    </row>
    <row r="111" spans="8:14">
      <c r="H111" s="554">
        <f>14.75+22.75</f>
        <v>37.5</v>
      </c>
    </row>
  </sheetData>
  <mergeCells count="59">
    <mergeCell ref="A2:R2"/>
    <mergeCell ref="A8:A93"/>
    <mergeCell ref="B8:B24"/>
    <mergeCell ref="C8:C24"/>
    <mergeCell ref="D8:D24"/>
    <mergeCell ref="E8:H8"/>
    <mergeCell ref="E9:H9"/>
    <mergeCell ref="E19:H19"/>
    <mergeCell ref="B25:B29"/>
    <mergeCell ref="E3:V3"/>
    <mergeCell ref="A4:C4"/>
    <mergeCell ref="D4:D7"/>
    <mergeCell ref="E4:V4"/>
    <mergeCell ref="A5:A7"/>
    <mergeCell ref="B5:B7"/>
    <mergeCell ref="C5:C7"/>
    <mergeCell ref="E5:V5"/>
    <mergeCell ref="E6:E7"/>
    <mergeCell ref="F6:O6"/>
    <mergeCell ref="P6:U6"/>
    <mergeCell ref="V6:V7"/>
    <mergeCell ref="C25:C29"/>
    <mergeCell ref="D25:D29"/>
    <mergeCell ref="E25:H25"/>
    <mergeCell ref="C30:C47"/>
    <mergeCell ref="D30:D47"/>
    <mergeCell ref="E30:H30"/>
    <mergeCell ref="E31:H31"/>
    <mergeCell ref="E40:H40"/>
    <mergeCell ref="B48:B59"/>
    <mergeCell ref="C48:C59"/>
    <mergeCell ref="D48:D59"/>
    <mergeCell ref="E48:H48"/>
    <mergeCell ref="E49:H49"/>
    <mergeCell ref="B67:B68"/>
    <mergeCell ref="C67:C73"/>
    <mergeCell ref="D67:D68"/>
    <mergeCell ref="E67:H67"/>
    <mergeCell ref="B69:B73"/>
    <mergeCell ref="D69:D73"/>
    <mergeCell ref="E69:H69"/>
    <mergeCell ref="E70:H70"/>
    <mergeCell ref="E72:H72"/>
    <mergeCell ref="A94:H94"/>
    <mergeCell ref="R1:V1"/>
    <mergeCell ref="E79:H79"/>
    <mergeCell ref="C80:C93"/>
    <mergeCell ref="D80:D93"/>
    <mergeCell ref="E80:H80"/>
    <mergeCell ref="E88:H88"/>
    <mergeCell ref="B74:B78"/>
    <mergeCell ref="C74:C78"/>
    <mergeCell ref="D74:D78"/>
    <mergeCell ref="E74:H74"/>
    <mergeCell ref="E75:H75"/>
    <mergeCell ref="E77:H77"/>
    <mergeCell ref="C60:C66"/>
    <mergeCell ref="D60:D66"/>
    <mergeCell ref="E60:H60"/>
  </mergeCells>
  <printOptions horizontalCentered="1" verticalCentered="1"/>
  <pageMargins left="0" right="0" top="0.98425196850393704" bottom="0.98425196850393704" header="0" footer="0"/>
  <pageSetup scale="49"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80"/>
  <sheetViews>
    <sheetView showGridLines="0" topLeftCell="A16" zoomScale="98" zoomScaleNormal="98" workbookViewId="0">
      <selection activeCell="H40" sqref="H40"/>
    </sheetView>
  </sheetViews>
  <sheetFormatPr baseColWidth="10" defaultRowHeight="15"/>
  <cols>
    <col min="1" max="1" width="1.85546875" customWidth="1"/>
    <col min="2" max="2" width="12.85546875" customWidth="1"/>
    <col min="3" max="3" width="5" style="88" bestFit="1" customWidth="1"/>
    <col min="4" max="4" width="34.85546875" customWidth="1"/>
    <col min="5" max="5" width="12.140625" customWidth="1"/>
    <col min="7" max="7" width="12" customWidth="1"/>
  </cols>
  <sheetData>
    <row r="1" spans="1:21" s="551" customFormat="1" ht="100.5" customHeight="1" thickBot="1">
      <c r="A1" s="1344"/>
      <c r="B1" s="1345"/>
      <c r="C1" s="1345"/>
      <c r="D1" s="1345"/>
      <c r="E1" s="1345"/>
      <c r="F1" s="1345"/>
      <c r="G1" s="1345"/>
      <c r="H1" s="1345"/>
      <c r="I1" s="1345"/>
      <c r="J1" s="1345"/>
      <c r="K1" s="1345"/>
      <c r="L1" s="1345"/>
      <c r="M1" s="1345"/>
      <c r="N1" s="1345"/>
      <c r="O1" s="1345"/>
      <c r="P1" s="1346"/>
      <c r="Q1" s="413"/>
      <c r="R1" s="413"/>
    </row>
    <row r="2" spans="1:21" s="552" customFormat="1" ht="16.5" thickBot="1">
      <c r="A2" s="1352" t="str">
        <f>'Datos Generales'!C5</f>
        <v>Corporación Autónoma Regional de La Guajira – CORPOGUAJIRA</v>
      </c>
      <c r="B2" s="1353"/>
      <c r="C2" s="1353"/>
      <c r="D2" s="1353"/>
      <c r="E2" s="1353"/>
      <c r="F2" s="1353"/>
      <c r="G2" s="1353"/>
      <c r="H2" s="1353"/>
      <c r="I2" s="1353"/>
      <c r="J2" s="1353"/>
      <c r="K2" s="1353"/>
      <c r="L2" s="1353"/>
      <c r="M2" s="1353"/>
      <c r="N2" s="1353"/>
      <c r="O2" s="1353"/>
      <c r="P2" s="1354"/>
      <c r="Q2" s="413"/>
      <c r="R2" s="413"/>
    </row>
    <row r="3" spans="1:21" s="552" customFormat="1" ht="16.5" thickBot="1">
      <c r="A3" s="1347" t="s">
        <v>1419</v>
      </c>
      <c r="B3" s="1348"/>
      <c r="C3" s="1348"/>
      <c r="D3" s="1348"/>
      <c r="E3" s="1348"/>
      <c r="F3" s="1348"/>
      <c r="G3" s="1348"/>
      <c r="H3" s="1348"/>
      <c r="I3" s="1348"/>
      <c r="J3" s="1348"/>
      <c r="K3" s="1348"/>
      <c r="L3" s="1348"/>
      <c r="M3" s="1348"/>
      <c r="N3" s="1348"/>
      <c r="O3" s="1348"/>
      <c r="P3" s="1349"/>
      <c r="Q3" s="413"/>
      <c r="R3" s="413"/>
    </row>
    <row r="4" spans="1:21" s="552" customFormat="1" ht="16.5" thickBot="1">
      <c r="A4" s="1350" t="s">
        <v>1418</v>
      </c>
      <c r="B4" s="1351"/>
      <c r="C4" s="1351"/>
      <c r="D4" s="1351"/>
      <c r="E4" s="571" t="str">
        <f>'Datos Generales'!C6</f>
        <v>2016-II</v>
      </c>
      <c r="F4" s="571"/>
      <c r="G4" s="571"/>
      <c r="H4" s="571"/>
      <c r="I4" s="571"/>
      <c r="J4" s="571"/>
      <c r="K4" s="571"/>
      <c r="L4" s="572"/>
      <c r="M4" s="572"/>
      <c r="N4" s="572"/>
      <c r="O4" s="572"/>
      <c r="P4" s="573"/>
      <c r="Q4" s="413"/>
      <c r="R4" s="413"/>
    </row>
    <row r="5" spans="1:21" s="245" customFormat="1" ht="16.5" customHeight="1" thickBot="1">
      <c r="A5" s="1347" t="s">
        <v>535</v>
      </c>
      <c r="B5" s="1348"/>
      <c r="C5" s="1348"/>
      <c r="D5" s="1348"/>
      <c r="E5" s="1348"/>
      <c r="F5" s="1348"/>
      <c r="G5" s="1348"/>
      <c r="H5" s="1348"/>
      <c r="I5" s="1348"/>
      <c r="J5" s="1348"/>
      <c r="K5" s="1348"/>
      <c r="L5" s="1348"/>
      <c r="M5" s="1348"/>
      <c r="N5" s="1348"/>
      <c r="O5" s="1348"/>
      <c r="P5" s="1349"/>
    </row>
    <row r="6" spans="1:21">
      <c r="B6" s="2" t="s">
        <v>1</v>
      </c>
      <c r="C6" s="77"/>
      <c r="D6" s="6"/>
      <c r="E6" s="75"/>
      <c r="F6" s="6" t="s">
        <v>133</v>
      </c>
      <c r="G6" s="6"/>
      <c r="H6" s="6"/>
      <c r="I6" s="6"/>
      <c r="J6" s="6"/>
      <c r="K6" s="6"/>
    </row>
    <row r="7" spans="1:21" ht="15.75" thickBot="1">
      <c r="B7" s="76"/>
      <c r="C7" s="78"/>
      <c r="D7" s="6"/>
      <c r="E7" s="18"/>
      <c r="F7" s="6" t="s">
        <v>134</v>
      </c>
      <c r="G7" s="6"/>
      <c r="H7" s="6"/>
      <c r="I7" s="6"/>
      <c r="J7" s="6"/>
      <c r="K7" s="6"/>
    </row>
    <row r="8" spans="1:21" ht="15.75" thickBot="1">
      <c r="B8" s="178" t="s">
        <v>1204</v>
      </c>
      <c r="C8" s="222">
        <v>2017</v>
      </c>
      <c r="D8" s="226">
        <f>IF(E10="NO APLICA","NO APLICA",IF(E11="NO SE REPORTA","SIN INFORMACION",+K21))</f>
        <v>0.5</v>
      </c>
      <c r="E8" s="223"/>
      <c r="F8" s="6" t="s">
        <v>135</v>
      </c>
      <c r="G8" s="6"/>
      <c r="H8" s="6"/>
      <c r="I8" s="6"/>
      <c r="J8" s="6"/>
      <c r="K8" s="6"/>
    </row>
    <row r="9" spans="1:21">
      <c r="B9" s="507" t="s">
        <v>1205</v>
      </c>
      <c r="C9" s="89"/>
      <c r="D9" s="6"/>
      <c r="E9" s="6"/>
      <c r="F9" s="6"/>
      <c r="G9" s="6"/>
      <c r="H9" s="6"/>
      <c r="I9" s="6"/>
      <c r="J9" s="6"/>
      <c r="K9" s="6"/>
    </row>
    <row r="10" spans="1:21" s="413" customFormat="1">
      <c r="A10" s="245"/>
      <c r="B10" s="1412" t="s">
        <v>1265</v>
      </c>
      <c r="C10" s="1412"/>
      <c r="D10" s="1412"/>
      <c r="E10" s="513" t="s">
        <v>1262</v>
      </c>
      <c r="F10" s="1419"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420"/>
      <c r="H10" s="1420"/>
      <c r="I10" s="1420"/>
      <c r="J10" s="1420"/>
      <c r="K10" s="1420"/>
      <c r="L10" s="1420"/>
      <c r="M10" s="1420"/>
      <c r="N10" s="1420"/>
      <c r="O10" s="1420"/>
      <c r="P10" s="1420"/>
      <c r="Q10" s="1420"/>
      <c r="R10" s="1420"/>
      <c r="S10" s="1420"/>
      <c r="T10" s="509"/>
      <c r="U10" s="509"/>
    </row>
    <row r="11" spans="1:21" s="413" customFormat="1" ht="14.45" customHeight="1">
      <c r="A11" s="245"/>
      <c r="B11" s="510"/>
      <c r="C11" s="511"/>
      <c r="D11" s="512" t="str">
        <f>IF(E10="SI APLICA","¿El indicador no se reporta por limitaciones de información disponible? ","")</f>
        <v xml:space="preserve">¿El indicador no se reporta por limitaciones de información disponible? </v>
      </c>
      <c r="E11" s="514" t="s">
        <v>1264</v>
      </c>
      <c r="F11" s="1413"/>
      <c r="G11" s="1414"/>
      <c r="H11" s="1414"/>
      <c r="I11" s="1414"/>
      <c r="J11" s="1414"/>
      <c r="K11" s="1414"/>
      <c r="L11" s="1414"/>
      <c r="M11" s="1414"/>
      <c r="N11" s="1414"/>
      <c r="O11" s="1414"/>
      <c r="P11" s="1414"/>
      <c r="Q11" s="1414"/>
      <c r="R11" s="1414"/>
      <c r="S11" s="1414"/>
    </row>
    <row r="12" spans="1:21" s="413" customFormat="1" ht="23.45" customHeight="1">
      <c r="A12" s="245"/>
      <c r="B12" s="507"/>
      <c r="C12" s="304"/>
      <c r="D12" s="512" t="str">
        <f>IF(E11="SI SE REPORTA","¿Qué programas o proyectos del Plan de Acción están asociados al indicador? ","")</f>
        <v xml:space="preserve">¿Qué programas o proyectos del Plan de Acción están asociados al indicador? </v>
      </c>
      <c r="E12" s="1415" t="str">
        <f>'Anexo 1 Matriz Inf Gestión'!E60:H60</f>
        <v>Proyecto No 3.2. Protección y conservación de la biodiversidad (7).</v>
      </c>
      <c r="F12" s="1415"/>
      <c r="G12" s="1415"/>
      <c r="H12" s="1415"/>
      <c r="I12" s="1415"/>
      <c r="J12" s="1415"/>
      <c r="K12" s="1415"/>
      <c r="L12" s="1415"/>
      <c r="M12" s="1415"/>
      <c r="N12" s="1415"/>
      <c r="O12" s="1415"/>
      <c r="P12" s="1415"/>
      <c r="Q12" s="1415"/>
      <c r="R12" s="1415"/>
    </row>
    <row r="13" spans="1:21" s="413" customFormat="1" ht="21.95" customHeight="1">
      <c r="A13" s="245"/>
      <c r="B13" s="507"/>
      <c r="C13" s="304"/>
      <c r="D13" s="512" t="s">
        <v>1267</v>
      </c>
      <c r="E13" s="1416"/>
      <c r="F13" s="1417"/>
      <c r="G13" s="1417"/>
      <c r="H13" s="1417"/>
      <c r="I13" s="1417"/>
      <c r="J13" s="1417"/>
      <c r="K13" s="1417"/>
      <c r="L13" s="1417"/>
      <c r="M13" s="1417"/>
      <c r="N13" s="1417"/>
      <c r="O13" s="1417"/>
      <c r="P13" s="1417"/>
      <c r="Q13" s="1417"/>
      <c r="R13" s="1418"/>
    </row>
    <row r="14" spans="1:21" s="413" customFormat="1" ht="6.95" customHeight="1" thickBot="1">
      <c r="B14" s="507"/>
      <c r="C14" s="89"/>
      <c r="D14" s="6"/>
      <c r="E14" s="6"/>
      <c r="F14" s="6"/>
      <c r="G14" s="6"/>
      <c r="H14" s="6"/>
      <c r="I14" s="6"/>
      <c r="J14" s="6"/>
      <c r="K14" s="6"/>
    </row>
    <row r="15" spans="1:21" ht="15.75" thickBot="1">
      <c r="B15" s="1505" t="s">
        <v>2</v>
      </c>
      <c r="C15" s="103"/>
      <c r="D15" s="1458" t="s">
        <v>344</v>
      </c>
      <c r="E15" s="1459"/>
      <c r="F15" s="1459"/>
      <c r="G15" s="1459"/>
      <c r="H15" s="1459"/>
      <c r="I15" s="1459"/>
      <c r="J15" s="1459"/>
      <c r="K15" s="1459"/>
      <c r="L15" s="1509"/>
    </row>
    <row r="16" spans="1:21" ht="15.75" thickBot="1">
      <c r="B16" s="1537"/>
      <c r="C16" s="110"/>
      <c r="D16" s="1460"/>
      <c r="E16" s="1453" t="s">
        <v>555</v>
      </c>
      <c r="F16" s="1454"/>
      <c r="G16" s="1455"/>
      <c r="H16" s="1453" t="s">
        <v>556</v>
      </c>
      <c r="I16" s="1454"/>
      <c r="J16" s="1455"/>
      <c r="K16" s="1447" t="s">
        <v>476</v>
      </c>
      <c r="L16" s="14"/>
    </row>
    <row r="17" spans="2:12" ht="15.75" thickBot="1">
      <c r="B17" s="1537"/>
      <c r="C17" s="110"/>
      <c r="D17" s="1494"/>
      <c r="E17" s="66" t="s">
        <v>515</v>
      </c>
      <c r="F17" s="66" t="s">
        <v>516</v>
      </c>
      <c r="G17" s="66" t="s">
        <v>557</v>
      </c>
      <c r="H17" s="66" t="s">
        <v>515</v>
      </c>
      <c r="I17" s="66" t="s">
        <v>516</v>
      </c>
      <c r="J17" s="66" t="s">
        <v>557</v>
      </c>
      <c r="K17" s="1449"/>
      <c r="L17" s="14"/>
    </row>
    <row r="18" spans="2:12" ht="24.75" thickBot="1">
      <c r="B18" s="1537"/>
      <c r="C18" s="110"/>
      <c r="D18" s="41" t="s">
        <v>558</v>
      </c>
      <c r="E18" s="7"/>
      <c r="F18" s="7">
        <v>1</v>
      </c>
      <c r="G18" s="43">
        <f>+E18+F18</f>
        <v>1</v>
      </c>
      <c r="H18" s="7"/>
      <c r="I18" s="7">
        <v>1</v>
      </c>
      <c r="J18" s="43">
        <f t="shared" ref="J18:J20" si="0">+H18+I18</f>
        <v>1</v>
      </c>
      <c r="K18" s="43">
        <f>+G18+J18</f>
        <v>2</v>
      </c>
      <c r="L18" s="14"/>
    </row>
    <row r="19" spans="2:12" ht="36.75" thickBot="1">
      <c r="B19" s="1537"/>
      <c r="C19" s="110"/>
      <c r="D19" s="41" t="s">
        <v>559</v>
      </c>
      <c r="E19" s="7"/>
      <c r="F19" s="7">
        <v>1</v>
      </c>
      <c r="G19" s="43">
        <f t="shared" ref="G19:G20" si="1">+E19+F19</f>
        <v>1</v>
      </c>
      <c r="H19" s="7"/>
      <c r="I19" s="7">
        <v>1</v>
      </c>
      <c r="J19" s="43">
        <f t="shared" si="0"/>
        <v>1</v>
      </c>
      <c r="K19" s="43">
        <f t="shared" ref="K19:K20" si="2">+G19+J19</f>
        <v>2</v>
      </c>
      <c r="L19" s="14"/>
    </row>
    <row r="20" spans="2:12" ht="36.75" thickBot="1">
      <c r="B20" s="1537"/>
      <c r="C20" s="110"/>
      <c r="D20" s="41" t="s">
        <v>560</v>
      </c>
      <c r="E20" s="7"/>
      <c r="F20" s="7">
        <v>0</v>
      </c>
      <c r="G20" s="43">
        <f t="shared" si="1"/>
        <v>0</v>
      </c>
      <c r="H20" s="7"/>
      <c r="I20" s="7">
        <v>1</v>
      </c>
      <c r="J20" s="43">
        <f t="shared" si="0"/>
        <v>1</v>
      </c>
      <c r="K20" s="43">
        <f t="shared" si="2"/>
        <v>1</v>
      </c>
      <c r="L20" s="14"/>
    </row>
    <row r="21" spans="2:12" ht="36.75" thickBot="1">
      <c r="B21" s="1537"/>
      <c r="C21" s="110"/>
      <c r="D21" s="41" t="s">
        <v>535</v>
      </c>
      <c r="E21" s="196" t="str">
        <f>IFERROR(E20/E19,"N.A.")</f>
        <v>N.A.</v>
      </c>
      <c r="F21" s="196">
        <f t="shared" ref="F21:K21" si="3">IFERROR(F20/F19,"N.A.")</f>
        <v>0</v>
      </c>
      <c r="G21" s="196">
        <f t="shared" si="3"/>
        <v>0</v>
      </c>
      <c r="H21" s="196" t="str">
        <f t="shared" si="3"/>
        <v>N.A.</v>
      </c>
      <c r="I21" s="196">
        <f t="shared" si="3"/>
        <v>1</v>
      </c>
      <c r="J21" s="145">
        <f t="shared" si="3"/>
        <v>1</v>
      </c>
      <c r="K21" s="145">
        <f t="shared" si="3"/>
        <v>0.5</v>
      </c>
      <c r="L21" s="14"/>
    </row>
    <row r="22" spans="2:12">
      <c r="B22" s="1537"/>
      <c r="C22" s="104"/>
      <c r="D22" s="1464"/>
      <c r="E22" s="1465"/>
      <c r="F22" s="1465"/>
      <c r="G22" s="1465"/>
      <c r="H22" s="1465"/>
      <c r="I22" s="1465"/>
      <c r="J22" s="1465"/>
      <c r="K22" s="1465"/>
      <c r="L22" s="1516"/>
    </row>
    <row r="23" spans="2:12">
      <c r="B23" s="1537"/>
      <c r="C23" s="104"/>
      <c r="D23" s="1461" t="s">
        <v>254</v>
      </c>
      <c r="E23" s="1462"/>
      <c r="F23" s="1462"/>
      <c r="G23" s="1462"/>
      <c r="H23" s="1462"/>
      <c r="I23" s="1462"/>
      <c r="J23" s="1462"/>
      <c r="K23" s="1462"/>
      <c r="L23" s="1517"/>
    </row>
    <row r="24" spans="2:12">
      <c r="B24" s="1537"/>
      <c r="C24" s="104"/>
      <c r="D24" s="1461" t="s">
        <v>561</v>
      </c>
      <c r="E24" s="1462"/>
      <c r="F24" s="1462"/>
      <c r="G24" s="1462"/>
      <c r="H24" s="1462"/>
      <c r="I24" s="1462"/>
      <c r="J24" s="1462"/>
      <c r="K24" s="1462"/>
      <c r="L24" s="1517"/>
    </row>
    <row r="25" spans="2:12" ht="15.75" thickBot="1">
      <c r="B25" s="1537"/>
      <c r="C25" s="104"/>
      <c r="D25" s="1492" t="s">
        <v>348</v>
      </c>
      <c r="E25" s="1493"/>
      <c r="F25" s="1493"/>
      <c r="G25" s="1493"/>
      <c r="H25" s="1493"/>
      <c r="I25" s="1493"/>
      <c r="J25" s="1493"/>
      <c r="K25" s="1493"/>
      <c r="L25" s="1518"/>
    </row>
    <row r="26" spans="2:12" ht="21" customHeight="1">
      <c r="B26" s="1537"/>
      <c r="C26" s="1520" t="s">
        <v>24</v>
      </c>
      <c r="D26" s="1529" t="s">
        <v>278</v>
      </c>
      <c r="E26" s="1553" t="s">
        <v>527</v>
      </c>
      <c r="F26" s="1553" t="s">
        <v>528</v>
      </c>
      <c r="G26" s="1553" t="s">
        <v>529</v>
      </c>
      <c r="H26" s="212" t="s">
        <v>482</v>
      </c>
      <c r="I26" s="212" t="s">
        <v>484</v>
      </c>
      <c r="J26" s="1553" t="s">
        <v>282</v>
      </c>
      <c r="K26" s="1553" t="s">
        <v>283</v>
      </c>
      <c r="L26" s="1553" t="s">
        <v>60</v>
      </c>
    </row>
    <row r="27" spans="2:12" ht="15.75" thickBot="1">
      <c r="B27" s="1537"/>
      <c r="C27" s="1521"/>
      <c r="D27" s="1530"/>
      <c r="E27" s="1554"/>
      <c r="F27" s="1554"/>
      <c r="G27" s="1554"/>
      <c r="H27" s="213" t="s">
        <v>483</v>
      </c>
      <c r="I27" s="213" t="s">
        <v>485</v>
      </c>
      <c r="J27" s="1554"/>
      <c r="K27" s="1554"/>
      <c r="L27" s="1554"/>
    </row>
    <row r="28" spans="2:12" ht="15.75" thickBot="1">
      <c r="B28" s="1537"/>
      <c r="C28" s="379"/>
      <c r="D28" s="31"/>
      <c r="E28" s="31" t="s">
        <v>1715</v>
      </c>
      <c r="F28" s="31" t="s">
        <v>1717</v>
      </c>
      <c r="G28" s="480" t="s">
        <v>1718</v>
      </c>
      <c r="H28" s="218"/>
      <c r="I28" s="218"/>
      <c r="J28" s="218"/>
      <c r="K28" s="218"/>
      <c r="L28" s="218"/>
    </row>
    <row r="29" spans="2:12" ht="15.75" thickBot="1">
      <c r="B29" s="1537"/>
      <c r="C29" s="379"/>
      <c r="D29" s="31"/>
      <c r="E29" s="31"/>
      <c r="F29" s="31"/>
      <c r="G29" s="31"/>
      <c r="H29" s="218"/>
      <c r="I29" s="218"/>
      <c r="J29" s="218"/>
      <c r="K29" s="218"/>
      <c r="L29" s="218"/>
    </row>
    <row r="30" spans="2:12" ht="15.75" thickBot="1">
      <c r="B30" s="1537"/>
      <c r="C30" s="379"/>
      <c r="D30" s="31"/>
      <c r="E30" s="31"/>
      <c r="F30" s="31"/>
      <c r="G30" s="31"/>
      <c r="H30" s="218"/>
      <c r="I30" s="218"/>
      <c r="J30" s="218"/>
      <c r="K30" s="218"/>
      <c r="L30" s="218"/>
    </row>
    <row r="31" spans="2:12" ht="15.75" thickBot="1">
      <c r="B31" s="1537"/>
      <c r="C31" s="379"/>
      <c r="D31" s="31"/>
      <c r="E31" s="31"/>
      <c r="F31" s="31"/>
      <c r="G31" s="31"/>
      <c r="H31" s="218"/>
      <c r="I31" s="218"/>
      <c r="J31" s="218"/>
      <c r="K31" s="218"/>
      <c r="L31" s="218"/>
    </row>
    <row r="32" spans="2:12" ht="15.75" thickBot="1">
      <c r="B32" s="1537"/>
      <c r="C32" s="379"/>
      <c r="D32" s="31"/>
      <c r="E32" s="31"/>
      <c r="F32" s="31"/>
      <c r="G32" s="31"/>
      <c r="H32" s="218"/>
      <c r="I32" s="218"/>
      <c r="J32" s="218"/>
      <c r="K32" s="218"/>
      <c r="L32" s="218"/>
    </row>
    <row r="33" spans="2:12" ht="15.75" thickBot="1">
      <c r="B33" s="1537"/>
      <c r="C33" s="379"/>
      <c r="D33" s="31"/>
      <c r="E33" s="31" t="s">
        <v>1716</v>
      </c>
      <c r="F33" s="31" t="s">
        <v>1717</v>
      </c>
      <c r="G33" s="31" t="s">
        <v>1719</v>
      </c>
      <c r="H33" s="218"/>
      <c r="I33" s="218"/>
      <c r="J33" s="218"/>
      <c r="K33" s="218"/>
      <c r="L33" s="218"/>
    </row>
    <row r="34" spans="2:12" ht="15.75" thickBot="1">
      <c r="B34" s="1537"/>
      <c r="C34" s="379"/>
      <c r="D34" s="31"/>
      <c r="E34" s="31"/>
      <c r="F34" s="31"/>
      <c r="G34" s="31"/>
      <c r="H34" s="218"/>
      <c r="I34" s="218"/>
      <c r="J34" s="218"/>
      <c r="K34" s="218"/>
      <c r="L34" s="218"/>
    </row>
    <row r="35" spans="2:12" ht="15.75" thickBot="1">
      <c r="B35" s="1537"/>
      <c r="C35" s="379"/>
      <c r="D35" s="31"/>
      <c r="E35" s="31"/>
      <c r="F35" s="31"/>
      <c r="G35" s="31"/>
      <c r="H35" s="218"/>
      <c r="I35" s="218"/>
      <c r="J35" s="218"/>
      <c r="K35" s="218"/>
      <c r="L35" s="218"/>
    </row>
    <row r="36" spans="2:12" ht="15.75" thickBot="1">
      <c r="B36" s="1537"/>
      <c r="C36" s="379"/>
      <c r="D36" s="31"/>
      <c r="E36" s="31"/>
      <c r="F36" s="31"/>
      <c r="G36" s="31"/>
      <c r="H36" s="218"/>
      <c r="I36" s="218"/>
      <c r="J36" s="218"/>
      <c r="K36" s="218"/>
      <c r="L36" s="218"/>
    </row>
    <row r="37" spans="2:12" ht="15.75" thickBot="1">
      <c r="B37" s="1506"/>
      <c r="C37" s="111"/>
      <c r="D37" s="27"/>
      <c r="E37" s="40" t="s">
        <v>157</v>
      </c>
      <c r="F37" s="27"/>
      <c r="G37" s="27"/>
      <c r="H37" s="201">
        <f t="shared" ref="H37" si="4">SUM(H28:H36)</f>
        <v>0</v>
      </c>
      <c r="I37" s="201">
        <f>SUM(I28:I36)</f>
        <v>0</v>
      </c>
      <c r="J37" s="201">
        <f t="shared" ref="J37:K37" si="5">SUM(J28:J36)</f>
        <v>0</v>
      </c>
      <c r="K37" s="201">
        <f t="shared" si="5"/>
        <v>0</v>
      </c>
      <c r="L37" s="218"/>
    </row>
    <row r="38" spans="2:12" ht="36" customHeight="1" thickBot="1">
      <c r="B38" s="73" t="s">
        <v>39</v>
      </c>
      <c r="C38" s="109"/>
      <c r="D38" s="1453" t="s">
        <v>562</v>
      </c>
      <c r="E38" s="1454"/>
      <c r="F38" s="1454"/>
      <c r="G38" s="1454"/>
      <c r="H38" s="1454"/>
      <c r="I38" s="1454"/>
      <c r="J38" s="1454"/>
      <c r="K38" s="1454"/>
      <c r="L38" s="1519"/>
    </row>
    <row r="39" spans="2:12" ht="24" customHeight="1" thickBot="1">
      <c r="B39" s="73" t="s">
        <v>41</v>
      </c>
      <c r="C39" s="109"/>
      <c r="D39" s="1453" t="s">
        <v>563</v>
      </c>
      <c r="E39" s="1454"/>
      <c r="F39" s="1454"/>
      <c r="G39" s="1454"/>
      <c r="H39" s="1454"/>
      <c r="I39" s="1454"/>
      <c r="J39" s="1454"/>
      <c r="K39" s="1454"/>
      <c r="L39" s="1519"/>
    </row>
    <row r="40" spans="2:12" ht="15.75" thickBot="1">
      <c r="B40" s="2"/>
      <c r="C40" s="77"/>
      <c r="D40" s="6"/>
      <c r="E40" s="6"/>
      <c r="F40" s="6"/>
      <c r="G40" s="6"/>
      <c r="H40" s="6"/>
      <c r="I40" s="6"/>
      <c r="J40" s="6"/>
      <c r="K40" s="6"/>
    </row>
    <row r="41" spans="2:12" ht="24" customHeight="1" thickBot="1">
      <c r="B41" s="1450" t="s">
        <v>43</v>
      </c>
      <c r="C41" s="1451"/>
      <c r="D41" s="1451"/>
      <c r="E41" s="1452"/>
      <c r="F41" s="6"/>
      <c r="G41" s="6"/>
      <c r="H41" s="6"/>
      <c r="I41" s="6"/>
      <c r="J41" s="6"/>
      <c r="K41" s="6"/>
    </row>
    <row r="42" spans="2:12" ht="15.75" thickBot="1">
      <c r="B42" s="1447">
        <v>1</v>
      </c>
      <c r="C42" s="95"/>
      <c r="D42" s="49" t="s">
        <v>44</v>
      </c>
      <c r="E42" s="31" t="s">
        <v>1642</v>
      </c>
      <c r="F42" s="6"/>
      <c r="G42" s="6"/>
      <c r="H42" s="6"/>
      <c r="I42" s="6"/>
      <c r="J42" s="6"/>
      <c r="K42" s="6"/>
    </row>
    <row r="43" spans="2:12" ht="15.75" thickBot="1">
      <c r="B43" s="1448"/>
      <c r="C43" s="95"/>
      <c r="D43" s="41" t="s">
        <v>45</v>
      </c>
      <c r="E43" s="31" t="s">
        <v>1729</v>
      </c>
      <c r="F43" s="6"/>
      <c r="G43" s="6"/>
      <c r="H43" s="6"/>
      <c r="I43" s="6"/>
      <c r="J43" s="6"/>
      <c r="K43" s="6"/>
    </row>
    <row r="44" spans="2:12" ht="15.75" thickBot="1">
      <c r="B44" s="1448"/>
      <c r="C44" s="95"/>
      <c r="D44" s="41" t="s">
        <v>46</v>
      </c>
      <c r="E44" s="31" t="s">
        <v>1790</v>
      </c>
      <c r="F44" s="6"/>
      <c r="G44" s="6"/>
      <c r="H44" s="6"/>
      <c r="I44" s="6"/>
      <c r="J44" s="6"/>
      <c r="K44" s="6"/>
    </row>
    <row r="45" spans="2:12" ht="15.75" thickBot="1">
      <c r="B45" s="1448"/>
      <c r="C45" s="95"/>
      <c r="D45" s="41" t="s">
        <v>47</v>
      </c>
      <c r="E45" s="31" t="s">
        <v>1647</v>
      </c>
      <c r="F45" s="6"/>
      <c r="G45" s="6"/>
      <c r="H45" s="6"/>
      <c r="I45" s="6"/>
      <c r="J45" s="6"/>
      <c r="K45" s="6"/>
    </row>
    <row r="46" spans="2:12" ht="15.75" thickBot="1">
      <c r="B46" s="1448"/>
      <c r="C46" s="95"/>
      <c r="D46" s="41" t="s">
        <v>48</v>
      </c>
      <c r="E46" s="31" t="s">
        <v>1731</v>
      </c>
      <c r="F46" s="6"/>
      <c r="G46" s="6"/>
      <c r="H46" s="6"/>
      <c r="I46" s="6"/>
      <c r="J46" s="6"/>
      <c r="K46" s="6"/>
    </row>
    <row r="47" spans="2:12" ht="15.75" thickBot="1">
      <c r="B47" s="1448"/>
      <c r="C47" s="95"/>
      <c r="D47" s="41" t="s">
        <v>49</v>
      </c>
      <c r="E47" s="31" t="s">
        <v>1746</v>
      </c>
      <c r="F47" s="6"/>
      <c r="G47" s="6"/>
      <c r="H47" s="6"/>
      <c r="I47" s="6"/>
      <c r="J47" s="6"/>
      <c r="K47" s="6"/>
    </row>
    <row r="48" spans="2:12" ht="15.75" thickBot="1">
      <c r="B48" s="1449"/>
      <c r="C48" s="3"/>
      <c r="D48" s="41" t="s">
        <v>50</v>
      </c>
      <c r="E48" s="31" t="s">
        <v>1629</v>
      </c>
      <c r="F48" s="6"/>
      <c r="G48" s="6"/>
      <c r="H48" s="6"/>
      <c r="I48" s="6"/>
      <c r="J48" s="6"/>
      <c r="K48" s="6"/>
    </row>
    <row r="49" spans="2:11" ht="15.75" thickBot="1">
      <c r="B49" s="2"/>
      <c r="C49" s="77"/>
      <c r="D49" s="6"/>
      <c r="E49" s="6"/>
      <c r="F49" s="6"/>
      <c r="G49" s="6"/>
      <c r="H49" s="6"/>
      <c r="I49" s="6"/>
      <c r="J49" s="6"/>
      <c r="K49" s="6"/>
    </row>
    <row r="50" spans="2:11" ht="15.75" thickBot="1">
      <c r="B50" s="1450" t="s">
        <v>51</v>
      </c>
      <c r="C50" s="1451"/>
      <c r="D50" s="1451"/>
      <c r="E50" s="1452"/>
      <c r="F50" s="6"/>
      <c r="G50" s="6"/>
      <c r="H50" s="6"/>
      <c r="I50" s="6"/>
      <c r="J50" s="6"/>
      <c r="K50" s="6"/>
    </row>
    <row r="51" spans="2:11" ht="15.75" thickBot="1">
      <c r="B51" s="1447">
        <v>1</v>
      </c>
      <c r="C51" s="95"/>
      <c r="D51" s="49" t="s">
        <v>44</v>
      </c>
      <c r="E51" s="506" t="s">
        <v>52</v>
      </c>
      <c r="F51" s="6"/>
      <c r="G51" s="6"/>
      <c r="H51" s="6"/>
      <c r="I51" s="6"/>
      <c r="J51" s="6"/>
      <c r="K51" s="6"/>
    </row>
    <row r="52" spans="2:11" ht="15.75" thickBot="1">
      <c r="B52" s="1448"/>
      <c r="C52" s="95"/>
      <c r="D52" s="41" t="s">
        <v>45</v>
      </c>
      <c r="E52" s="506" t="s">
        <v>53</v>
      </c>
      <c r="F52" s="6"/>
      <c r="G52" s="6"/>
      <c r="H52" s="6"/>
      <c r="I52" s="6"/>
      <c r="J52" s="6"/>
      <c r="K52" s="6"/>
    </row>
    <row r="53" spans="2:11" ht="15.75" thickBot="1">
      <c r="B53" s="1448"/>
      <c r="C53" s="95"/>
      <c r="D53" s="41" t="s">
        <v>46</v>
      </c>
      <c r="E53" s="315"/>
      <c r="F53" s="6"/>
      <c r="G53" s="6"/>
      <c r="H53" s="6"/>
      <c r="I53" s="6"/>
      <c r="J53" s="6"/>
      <c r="K53" s="6"/>
    </row>
    <row r="54" spans="2:11" ht="15.75" thickBot="1">
      <c r="B54" s="1448"/>
      <c r="C54" s="95"/>
      <c r="D54" s="41" t="s">
        <v>47</v>
      </c>
      <c r="E54" s="315"/>
      <c r="F54" s="6"/>
      <c r="G54" s="6"/>
      <c r="H54" s="6"/>
      <c r="I54" s="6"/>
      <c r="J54" s="6"/>
      <c r="K54" s="6"/>
    </row>
    <row r="55" spans="2:11" ht="15.75" thickBot="1">
      <c r="B55" s="1448"/>
      <c r="C55" s="95"/>
      <c r="D55" s="41" t="s">
        <v>48</v>
      </c>
      <c r="E55" s="315"/>
      <c r="F55" s="6"/>
      <c r="G55" s="6"/>
      <c r="H55" s="6"/>
      <c r="I55" s="6"/>
      <c r="J55" s="6"/>
      <c r="K55" s="6"/>
    </row>
    <row r="56" spans="2:11" ht="15.75" thickBot="1">
      <c r="B56" s="1448"/>
      <c r="C56" s="95"/>
      <c r="D56" s="41" t="s">
        <v>49</v>
      </c>
      <c r="E56" s="315"/>
      <c r="F56" s="6"/>
      <c r="G56" s="6"/>
      <c r="H56" s="6"/>
      <c r="I56" s="6"/>
      <c r="J56" s="6"/>
      <c r="K56" s="6"/>
    </row>
    <row r="57" spans="2:11" ht="15.75" thickBot="1">
      <c r="B57" s="1449"/>
      <c r="C57" s="3"/>
      <c r="D57" s="41" t="s">
        <v>50</v>
      </c>
      <c r="E57" s="315"/>
      <c r="F57" s="6"/>
      <c r="G57" s="6"/>
      <c r="H57" s="6"/>
      <c r="I57" s="6"/>
      <c r="J57" s="6"/>
      <c r="K57" s="6"/>
    </row>
    <row r="58" spans="2:11" ht="15.75" thickBot="1">
      <c r="B58" s="2"/>
      <c r="C58" s="77"/>
      <c r="D58" s="6"/>
      <c r="E58" s="6"/>
      <c r="F58" s="6"/>
      <c r="G58" s="6"/>
      <c r="H58" s="6"/>
      <c r="I58" s="6"/>
      <c r="J58" s="6"/>
      <c r="K58" s="6"/>
    </row>
    <row r="59" spans="2:11" ht="15" customHeight="1" thickBot="1">
      <c r="B59" s="121" t="s">
        <v>54</v>
      </c>
      <c r="C59" s="122"/>
      <c r="D59" s="122"/>
      <c r="E59" s="123"/>
      <c r="G59" s="6"/>
      <c r="H59" s="6"/>
      <c r="I59" s="6"/>
      <c r="J59" s="6"/>
      <c r="K59" s="6"/>
    </row>
    <row r="60" spans="2:11" ht="24.75" thickBot="1">
      <c r="B60" s="48" t="s">
        <v>55</v>
      </c>
      <c r="C60" s="41" t="s">
        <v>56</v>
      </c>
      <c r="D60" s="41" t="s">
        <v>57</v>
      </c>
      <c r="E60" s="41" t="s">
        <v>58</v>
      </c>
      <c r="F60" s="6"/>
      <c r="G60" s="6"/>
      <c r="H60" s="6"/>
      <c r="I60" s="6"/>
      <c r="J60" s="6"/>
    </row>
    <row r="61" spans="2:11" ht="72.75" thickBot="1">
      <c r="B61" s="50">
        <v>42401</v>
      </c>
      <c r="C61" s="41">
        <v>0.01</v>
      </c>
      <c r="D61" s="51" t="s">
        <v>564</v>
      </c>
      <c r="E61" s="41"/>
      <c r="F61" s="6"/>
      <c r="G61" s="6"/>
      <c r="H61" s="6"/>
      <c r="I61" s="6"/>
      <c r="J61" s="6"/>
    </row>
    <row r="62" spans="2:11" ht="15.75" thickBot="1">
      <c r="B62" s="4"/>
      <c r="C62" s="96"/>
      <c r="D62" s="6"/>
      <c r="E62" s="6"/>
      <c r="F62" s="6"/>
      <c r="G62" s="6"/>
      <c r="H62" s="6"/>
      <c r="I62" s="6"/>
      <c r="J62" s="6"/>
      <c r="K62" s="6"/>
    </row>
    <row r="63" spans="2:11">
      <c r="B63" s="136" t="s">
        <v>60</v>
      </c>
      <c r="C63" s="97"/>
      <c r="D63" s="6"/>
      <c r="E63" s="6"/>
      <c r="F63" s="6"/>
      <c r="G63" s="6"/>
      <c r="H63" s="6"/>
      <c r="I63" s="6"/>
      <c r="J63" s="6"/>
      <c r="K63" s="6"/>
    </row>
    <row r="64" spans="2:11" ht="81" customHeight="1">
      <c r="B64" s="1547" t="s">
        <v>565</v>
      </c>
      <c r="C64" s="1548"/>
      <c r="D64" s="1549"/>
      <c r="E64" s="6"/>
      <c r="F64" s="6"/>
      <c r="G64" s="6"/>
      <c r="H64" s="6"/>
      <c r="I64" s="6"/>
      <c r="J64" s="6"/>
      <c r="K64" s="6"/>
    </row>
    <row r="65" spans="2:11">
      <c r="B65" s="1550"/>
      <c r="C65" s="1551"/>
      <c r="D65" s="1552"/>
      <c r="E65" s="6"/>
      <c r="F65" s="6"/>
      <c r="G65" s="6"/>
      <c r="H65" s="6"/>
      <c r="I65" s="6"/>
      <c r="J65" s="6"/>
      <c r="K65" s="6"/>
    </row>
    <row r="66" spans="2:11">
      <c r="B66" s="2"/>
      <c r="C66" s="77"/>
      <c r="D66" s="6"/>
      <c r="E66" s="6"/>
      <c r="F66" s="6"/>
      <c r="G66" s="6"/>
      <c r="H66" s="6"/>
      <c r="I66" s="6"/>
      <c r="J66" s="6"/>
      <c r="K66" s="6"/>
    </row>
    <row r="67" spans="2:11" ht="15.75" thickBot="1">
      <c r="B67" s="6"/>
      <c r="D67" s="6"/>
      <c r="E67" s="6"/>
      <c r="F67" s="6"/>
      <c r="G67" s="6"/>
      <c r="H67" s="6"/>
      <c r="I67" s="6"/>
      <c r="J67" s="6"/>
      <c r="K67" s="6"/>
    </row>
    <row r="68" spans="2:11" ht="24.75" thickBot="1">
      <c r="B68" s="52" t="s">
        <v>460</v>
      </c>
      <c r="C68" s="98"/>
      <c r="D68" s="6"/>
      <c r="E68" s="6"/>
      <c r="F68" s="6"/>
      <c r="G68" s="6"/>
      <c r="H68" s="6"/>
      <c r="I68" s="6"/>
      <c r="J68" s="6"/>
      <c r="K68" s="6"/>
    </row>
    <row r="69" spans="2:11" ht="15.75" thickBot="1">
      <c r="B69" s="38"/>
      <c r="C69" s="89"/>
      <c r="D69" s="6"/>
      <c r="E69" s="6"/>
      <c r="F69" s="6"/>
      <c r="G69" s="6"/>
      <c r="H69" s="6"/>
      <c r="I69" s="6"/>
      <c r="J69" s="6"/>
      <c r="K69" s="6"/>
    </row>
    <row r="70" spans="2:11" ht="84.75" thickBot="1">
      <c r="B70" s="53" t="s">
        <v>62</v>
      </c>
      <c r="C70" s="99"/>
      <c r="D70" s="44" t="s">
        <v>536</v>
      </c>
      <c r="E70" s="6"/>
      <c r="F70" s="6"/>
      <c r="G70" s="6"/>
      <c r="H70" s="6"/>
      <c r="I70" s="6"/>
      <c r="J70" s="6"/>
      <c r="K70" s="6"/>
    </row>
    <row r="71" spans="2:11">
      <c r="B71" s="1447" t="s">
        <v>64</v>
      </c>
      <c r="C71" s="95"/>
      <c r="D71" s="54" t="s">
        <v>65</v>
      </c>
      <c r="E71" s="6"/>
      <c r="F71" s="6"/>
      <c r="G71" s="6"/>
      <c r="H71" s="6"/>
      <c r="I71" s="6"/>
      <c r="J71" s="6"/>
      <c r="K71" s="6"/>
    </row>
    <row r="72" spans="2:11" ht="120">
      <c r="B72" s="1448"/>
      <c r="C72" s="95"/>
      <c r="D72" s="47" t="s">
        <v>537</v>
      </c>
      <c r="E72" s="6"/>
      <c r="F72" s="6"/>
      <c r="G72" s="6"/>
      <c r="H72" s="6"/>
      <c r="I72" s="6"/>
      <c r="J72" s="6"/>
      <c r="K72" s="6"/>
    </row>
    <row r="73" spans="2:11">
      <c r="B73" s="1448"/>
      <c r="C73" s="95"/>
      <c r="D73" s="54" t="s">
        <v>68</v>
      </c>
      <c r="E73" s="6"/>
      <c r="F73" s="6"/>
      <c r="G73" s="6"/>
      <c r="H73" s="6"/>
      <c r="I73" s="6"/>
      <c r="J73" s="6"/>
      <c r="K73" s="6"/>
    </row>
    <row r="74" spans="2:11">
      <c r="B74" s="1448"/>
      <c r="C74" s="95"/>
      <c r="D74" s="47" t="s">
        <v>171</v>
      </c>
      <c r="E74" s="6"/>
      <c r="F74" s="6"/>
      <c r="G74" s="6"/>
      <c r="H74" s="6"/>
      <c r="I74" s="6"/>
      <c r="J74" s="6"/>
      <c r="K74" s="6"/>
    </row>
    <row r="75" spans="2:11" ht="24">
      <c r="B75" s="1448"/>
      <c r="C75" s="95"/>
      <c r="D75" s="47" t="s">
        <v>538</v>
      </c>
      <c r="E75" s="6"/>
      <c r="F75" s="6"/>
      <c r="G75" s="6"/>
      <c r="H75" s="6"/>
      <c r="I75" s="6"/>
      <c r="J75" s="6"/>
      <c r="K75" s="6"/>
    </row>
    <row r="76" spans="2:11">
      <c r="B76" s="1448"/>
      <c r="C76" s="95"/>
      <c r="D76" s="47" t="s">
        <v>539</v>
      </c>
      <c r="E76" s="6"/>
      <c r="F76" s="6"/>
      <c r="G76" s="6"/>
      <c r="H76" s="6"/>
      <c r="I76" s="6"/>
      <c r="J76" s="6"/>
      <c r="K76" s="6"/>
    </row>
    <row r="77" spans="2:11" ht="24">
      <c r="B77" s="1448"/>
      <c r="C77" s="95"/>
      <c r="D77" s="47" t="s">
        <v>540</v>
      </c>
      <c r="E77" s="6"/>
      <c r="F77" s="6"/>
      <c r="G77" s="6"/>
      <c r="H77" s="6"/>
      <c r="I77" s="6"/>
      <c r="J77" s="6"/>
      <c r="K77" s="6"/>
    </row>
    <row r="78" spans="2:11" ht="24">
      <c r="B78" s="1448"/>
      <c r="C78" s="95"/>
      <c r="D78" s="47" t="s">
        <v>541</v>
      </c>
      <c r="E78" s="6"/>
      <c r="F78" s="6"/>
      <c r="G78" s="6"/>
      <c r="H78" s="6"/>
      <c r="I78" s="6"/>
      <c r="J78" s="6"/>
      <c r="K78" s="6"/>
    </row>
    <row r="79" spans="2:11" ht="24">
      <c r="B79" s="1448"/>
      <c r="C79" s="95"/>
      <c r="D79" s="47" t="s">
        <v>542</v>
      </c>
      <c r="E79" s="6"/>
      <c r="F79" s="6"/>
      <c r="G79" s="6"/>
      <c r="H79" s="6"/>
      <c r="I79" s="6"/>
      <c r="J79" s="6"/>
      <c r="K79" s="6"/>
    </row>
    <row r="80" spans="2:11">
      <c r="B80" s="1448"/>
      <c r="C80" s="95"/>
      <c r="D80" s="54" t="s">
        <v>296</v>
      </c>
      <c r="E80" s="6"/>
      <c r="F80" s="6"/>
      <c r="G80" s="6"/>
      <c r="H80" s="6"/>
      <c r="I80" s="6"/>
      <c r="J80" s="6"/>
      <c r="K80" s="6"/>
    </row>
    <row r="81" spans="2:11" ht="36">
      <c r="B81" s="1448"/>
      <c r="C81" s="95"/>
      <c r="D81" s="47" t="s">
        <v>361</v>
      </c>
      <c r="E81" s="6"/>
      <c r="F81" s="6"/>
      <c r="G81" s="6"/>
      <c r="H81" s="6"/>
      <c r="I81" s="6"/>
      <c r="J81" s="6"/>
      <c r="K81" s="6"/>
    </row>
    <row r="82" spans="2:11" ht="36">
      <c r="B82" s="1448"/>
      <c r="C82" s="95"/>
      <c r="D82" s="47" t="s">
        <v>543</v>
      </c>
      <c r="E82" s="6"/>
      <c r="F82" s="6"/>
      <c r="G82" s="6"/>
      <c r="H82" s="6"/>
      <c r="I82" s="6"/>
      <c r="J82" s="6"/>
      <c r="K82" s="6"/>
    </row>
    <row r="83" spans="2:11" ht="84.75" thickBot="1">
      <c r="B83" s="1449"/>
      <c r="C83" s="3"/>
      <c r="D83" s="41" t="s">
        <v>544</v>
      </c>
      <c r="E83" s="6"/>
      <c r="F83" s="6"/>
      <c r="G83" s="6"/>
      <c r="H83" s="6"/>
      <c r="I83" s="6"/>
      <c r="J83" s="6"/>
      <c r="K83" s="6"/>
    </row>
    <row r="84" spans="2:11" ht="24.75" thickBot="1">
      <c r="B84" s="48" t="s">
        <v>77</v>
      </c>
      <c r="C84" s="3"/>
      <c r="D84" s="41"/>
      <c r="E84" s="6"/>
      <c r="F84" s="6"/>
      <c r="G84" s="6"/>
      <c r="H84" s="6"/>
      <c r="I84" s="6"/>
      <c r="J84" s="6"/>
      <c r="K84" s="6"/>
    </row>
    <row r="85" spans="2:11" ht="84">
      <c r="B85" s="1447" t="s">
        <v>78</v>
      </c>
      <c r="C85" s="95"/>
      <c r="D85" s="47" t="s">
        <v>545</v>
      </c>
      <c r="E85" s="6"/>
      <c r="F85" s="6"/>
      <c r="G85" s="6"/>
      <c r="H85" s="6"/>
      <c r="I85" s="6"/>
      <c r="J85" s="6"/>
      <c r="K85" s="6"/>
    </row>
    <row r="86" spans="2:11" ht="96">
      <c r="B86" s="1448"/>
      <c r="C86" s="95"/>
      <c r="D86" s="47" t="s">
        <v>546</v>
      </c>
      <c r="E86" s="6"/>
      <c r="F86" s="6"/>
      <c r="G86" s="6"/>
      <c r="H86" s="6"/>
      <c r="I86" s="6"/>
      <c r="J86" s="6"/>
      <c r="K86" s="6"/>
    </row>
    <row r="87" spans="2:11" ht="132">
      <c r="B87" s="1448"/>
      <c r="C87" s="95"/>
      <c r="D87" s="47" t="s">
        <v>547</v>
      </c>
      <c r="E87" s="6"/>
      <c r="F87" s="6"/>
      <c r="G87" s="6"/>
      <c r="H87" s="6"/>
      <c r="I87" s="6"/>
      <c r="J87" s="6"/>
      <c r="K87" s="6"/>
    </row>
    <row r="88" spans="2:11" ht="144.75" thickBot="1">
      <c r="B88" s="1449"/>
      <c r="C88" s="3"/>
      <c r="D88" s="41" t="s">
        <v>548</v>
      </c>
      <c r="E88" s="6"/>
      <c r="F88" s="6"/>
      <c r="G88" s="6"/>
      <c r="H88" s="6"/>
      <c r="I88" s="6"/>
      <c r="J88" s="6"/>
      <c r="K88" s="6"/>
    </row>
    <row r="89" spans="2:11" ht="24">
      <c r="B89" s="1447" t="s">
        <v>95</v>
      </c>
      <c r="C89" s="95"/>
      <c r="D89" s="54" t="s">
        <v>535</v>
      </c>
      <c r="E89" s="6"/>
      <c r="F89" s="6"/>
      <c r="G89" s="6"/>
      <c r="H89" s="6"/>
      <c r="I89" s="6"/>
      <c r="J89" s="6"/>
      <c r="K89" s="6"/>
    </row>
    <row r="90" spans="2:11">
      <c r="B90" s="1448"/>
      <c r="C90" s="95"/>
      <c r="D90" s="47" t="s">
        <v>506</v>
      </c>
      <c r="E90" s="6"/>
      <c r="F90" s="6"/>
      <c r="G90" s="6"/>
      <c r="H90" s="6"/>
      <c r="I90" s="6"/>
      <c r="J90" s="6"/>
      <c r="K90" s="6"/>
    </row>
    <row r="91" spans="2:11">
      <c r="B91" s="1448"/>
      <c r="C91" s="95"/>
      <c r="D91" s="47" t="s">
        <v>96</v>
      </c>
      <c r="E91" s="6"/>
      <c r="F91" s="6"/>
      <c r="G91" s="6"/>
      <c r="H91" s="6"/>
      <c r="I91" s="6"/>
      <c r="J91" s="6"/>
      <c r="K91" s="6"/>
    </row>
    <row r="92" spans="2:11" ht="37.5">
      <c r="B92" s="1448"/>
      <c r="C92" s="95"/>
      <c r="D92" s="47" t="s">
        <v>549</v>
      </c>
      <c r="E92" s="6"/>
      <c r="F92" s="6"/>
      <c r="G92" s="6"/>
      <c r="H92" s="6"/>
      <c r="I92" s="6"/>
      <c r="J92" s="6"/>
      <c r="K92" s="6"/>
    </row>
    <row r="93" spans="2:11" ht="37.5">
      <c r="B93" s="1448"/>
      <c r="C93" s="95"/>
      <c r="D93" s="47" t="s">
        <v>550</v>
      </c>
      <c r="E93" s="6"/>
      <c r="F93" s="6"/>
      <c r="G93" s="6"/>
      <c r="H93" s="6"/>
      <c r="I93" s="6"/>
      <c r="J93" s="6"/>
      <c r="K93" s="6"/>
    </row>
    <row r="94" spans="2:11" ht="37.5">
      <c r="B94" s="1448"/>
      <c r="C94" s="95"/>
      <c r="D94" s="47" t="s">
        <v>551</v>
      </c>
      <c r="E94" s="6"/>
      <c r="F94" s="6"/>
      <c r="G94" s="6"/>
      <c r="H94" s="6"/>
      <c r="I94" s="6"/>
      <c r="J94" s="6"/>
      <c r="K94" s="6"/>
    </row>
    <row r="95" spans="2:11" ht="84">
      <c r="B95" s="1448"/>
      <c r="C95" s="95"/>
      <c r="D95" s="55" t="s">
        <v>243</v>
      </c>
      <c r="E95" s="6"/>
      <c r="F95" s="6"/>
      <c r="G95" s="6"/>
      <c r="H95" s="6"/>
      <c r="I95" s="6"/>
      <c r="J95" s="6"/>
      <c r="K95" s="6"/>
    </row>
    <row r="96" spans="2:11">
      <c r="B96" s="1448"/>
      <c r="C96" s="95"/>
      <c r="D96" s="54" t="s">
        <v>254</v>
      </c>
      <c r="E96" s="6"/>
      <c r="F96" s="6"/>
      <c r="G96" s="6"/>
      <c r="H96" s="6"/>
      <c r="I96" s="6"/>
      <c r="J96" s="6"/>
      <c r="K96" s="6"/>
    </row>
    <row r="97" spans="2:11" ht="24">
      <c r="B97" s="1448"/>
      <c r="C97" s="95"/>
      <c r="D97" s="54" t="s">
        <v>552</v>
      </c>
      <c r="E97" s="6"/>
      <c r="F97" s="6"/>
      <c r="G97" s="6"/>
      <c r="H97" s="6"/>
      <c r="I97" s="6"/>
      <c r="J97" s="6"/>
      <c r="K97" s="6"/>
    </row>
    <row r="98" spans="2:11">
      <c r="B98" s="1448"/>
      <c r="C98" s="95"/>
      <c r="D98" s="17"/>
      <c r="E98" s="6"/>
      <c r="F98" s="6"/>
      <c r="G98" s="6"/>
      <c r="H98" s="6"/>
      <c r="I98" s="6"/>
      <c r="J98" s="6"/>
      <c r="K98" s="6"/>
    </row>
    <row r="99" spans="2:11">
      <c r="B99" s="1448"/>
      <c r="C99" s="95"/>
      <c r="D99" s="47" t="s">
        <v>96</v>
      </c>
      <c r="E99" s="6"/>
      <c r="F99" s="6"/>
      <c r="G99" s="6"/>
      <c r="H99" s="6"/>
      <c r="I99" s="6"/>
      <c r="J99" s="6"/>
      <c r="K99" s="6"/>
    </row>
    <row r="100" spans="2:11" ht="49.5">
      <c r="B100" s="1448"/>
      <c r="C100" s="95"/>
      <c r="D100" s="47" t="s">
        <v>553</v>
      </c>
      <c r="E100" s="6"/>
      <c r="F100" s="6"/>
      <c r="G100" s="6"/>
      <c r="H100" s="6"/>
      <c r="I100" s="6"/>
      <c r="J100" s="6"/>
      <c r="K100" s="6"/>
    </row>
    <row r="101" spans="2:11" ht="50.25" thickBot="1">
      <c r="B101" s="1449"/>
      <c r="C101" s="3"/>
      <c r="D101" s="41" t="s">
        <v>554</v>
      </c>
      <c r="E101" s="6"/>
      <c r="F101" s="6"/>
      <c r="G101" s="6"/>
      <c r="H101" s="6"/>
      <c r="I101" s="6"/>
      <c r="J101" s="6"/>
      <c r="K101" s="6"/>
    </row>
    <row r="102" spans="2:11">
      <c r="B102" s="6"/>
      <c r="D102" s="6"/>
      <c r="E102" s="6"/>
      <c r="F102" s="6"/>
      <c r="G102" s="6"/>
      <c r="H102" s="6"/>
      <c r="I102" s="6"/>
      <c r="J102" s="6"/>
      <c r="K102" s="6"/>
    </row>
    <row r="103" spans="2:11">
      <c r="B103" s="6"/>
      <c r="D103" s="6"/>
      <c r="E103" s="6"/>
      <c r="F103" s="6"/>
      <c r="G103" s="6"/>
      <c r="H103" s="6"/>
      <c r="I103" s="6"/>
      <c r="J103" s="6"/>
      <c r="K103" s="6"/>
    </row>
    <row r="104" spans="2:11">
      <c r="B104" s="6"/>
      <c r="D104" s="6"/>
      <c r="E104" s="6"/>
      <c r="F104" s="6"/>
      <c r="G104" s="6"/>
      <c r="H104" s="6"/>
      <c r="I104" s="6"/>
      <c r="J104" s="6"/>
      <c r="K104" s="6"/>
    </row>
    <row r="105" spans="2:11">
      <c r="B105" s="6"/>
      <c r="D105" s="6"/>
      <c r="E105" s="6"/>
      <c r="F105" s="6"/>
      <c r="G105" s="6"/>
      <c r="H105" s="6"/>
      <c r="I105" s="6"/>
      <c r="J105" s="6"/>
      <c r="K105" s="6"/>
    </row>
    <row r="106" spans="2:11">
      <c r="B106" s="6"/>
      <c r="D106" s="6"/>
      <c r="E106" s="6"/>
      <c r="F106" s="6"/>
      <c r="G106" s="6"/>
      <c r="H106" s="6"/>
      <c r="I106" s="6"/>
      <c r="J106" s="6"/>
      <c r="K106" s="6"/>
    </row>
    <row r="107" spans="2:11">
      <c r="B107" s="6"/>
      <c r="D107" s="6"/>
      <c r="E107" s="6"/>
      <c r="F107" s="6"/>
      <c r="G107" s="6"/>
      <c r="H107" s="6"/>
      <c r="I107" s="6"/>
      <c r="J107" s="6"/>
      <c r="K107" s="6"/>
    </row>
    <row r="108" spans="2:11">
      <c r="B108" s="6"/>
      <c r="D108" s="6"/>
      <c r="E108" s="6"/>
      <c r="F108" s="6"/>
      <c r="G108" s="6"/>
      <c r="H108" s="6"/>
      <c r="I108" s="6"/>
      <c r="J108" s="6"/>
      <c r="K108" s="6"/>
    </row>
    <row r="109" spans="2:11">
      <c r="B109" s="6"/>
      <c r="D109" s="6"/>
      <c r="E109" s="6"/>
      <c r="F109" s="6"/>
      <c r="G109" s="6"/>
      <c r="H109" s="6"/>
      <c r="I109" s="6"/>
      <c r="J109" s="6"/>
      <c r="K109" s="6"/>
    </row>
    <row r="110" spans="2:11">
      <c r="B110" s="6"/>
      <c r="D110" s="6"/>
      <c r="E110" s="6"/>
      <c r="F110" s="6"/>
      <c r="G110" s="6"/>
      <c r="H110" s="6"/>
      <c r="I110" s="6"/>
      <c r="J110" s="6"/>
      <c r="K110" s="6"/>
    </row>
    <row r="111" spans="2:11">
      <c r="B111" s="6"/>
      <c r="D111" s="6"/>
      <c r="E111" s="6"/>
      <c r="F111" s="6"/>
      <c r="G111" s="6"/>
      <c r="H111" s="6"/>
      <c r="I111" s="6"/>
      <c r="J111" s="6"/>
      <c r="K111" s="6"/>
    </row>
    <row r="112" spans="2:11">
      <c r="B112" s="6"/>
      <c r="D112" s="6"/>
      <c r="E112" s="6"/>
      <c r="F112" s="6"/>
      <c r="G112" s="6"/>
      <c r="H112" s="6"/>
      <c r="I112" s="6"/>
      <c r="J112" s="6"/>
      <c r="K112" s="6"/>
    </row>
    <row r="113" spans="2:11">
      <c r="B113" s="6"/>
      <c r="D113" s="6"/>
      <c r="E113" s="6"/>
      <c r="F113" s="6"/>
      <c r="G113" s="6"/>
      <c r="H113" s="6"/>
      <c r="I113" s="6"/>
      <c r="J113" s="6"/>
      <c r="K113" s="6"/>
    </row>
    <row r="114" spans="2:11">
      <c r="B114" s="6"/>
      <c r="D114" s="6"/>
      <c r="E114" s="6"/>
      <c r="F114" s="6"/>
      <c r="G114" s="6"/>
      <c r="H114" s="6"/>
      <c r="I114" s="6"/>
      <c r="J114" s="6"/>
      <c r="K114" s="6"/>
    </row>
    <row r="115" spans="2:11">
      <c r="B115" s="6"/>
      <c r="D115" s="6"/>
      <c r="E115" s="6"/>
      <c r="F115" s="6"/>
      <c r="G115" s="6"/>
      <c r="H115" s="6"/>
      <c r="I115" s="6"/>
      <c r="J115" s="6"/>
      <c r="K115" s="6"/>
    </row>
    <row r="116" spans="2:11">
      <c r="B116" s="6"/>
      <c r="D116" s="6"/>
      <c r="E116" s="6"/>
      <c r="F116" s="6"/>
      <c r="G116" s="6"/>
      <c r="H116" s="6"/>
      <c r="I116" s="6"/>
      <c r="J116" s="6"/>
      <c r="K116" s="6"/>
    </row>
    <row r="117" spans="2:11">
      <c r="B117" s="6"/>
      <c r="D117" s="6"/>
      <c r="E117" s="6"/>
      <c r="F117" s="6"/>
      <c r="G117" s="6"/>
      <c r="H117" s="6"/>
      <c r="I117" s="6"/>
      <c r="J117" s="6"/>
      <c r="K117" s="6"/>
    </row>
    <row r="118" spans="2:11">
      <c r="B118" s="6"/>
      <c r="D118" s="6"/>
      <c r="E118" s="6"/>
      <c r="F118" s="6"/>
      <c r="G118" s="6"/>
      <c r="H118" s="6"/>
      <c r="I118" s="6"/>
      <c r="J118" s="6"/>
      <c r="K118" s="6"/>
    </row>
    <row r="119" spans="2:11">
      <c r="B119" s="6"/>
      <c r="D119" s="6"/>
      <c r="E119" s="6"/>
      <c r="F119" s="6"/>
      <c r="G119" s="6"/>
      <c r="H119" s="6"/>
      <c r="I119" s="6"/>
      <c r="J119" s="6"/>
      <c r="K119" s="6"/>
    </row>
    <row r="120" spans="2:11">
      <c r="B120" s="6"/>
      <c r="D120" s="6"/>
      <c r="E120" s="6"/>
      <c r="F120" s="6"/>
      <c r="G120" s="6"/>
      <c r="H120" s="6"/>
      <c r="I120" s="6"/>
      <c r="J120" s="6"/>
      <c r="K120" s="6"/>
    </row>
    <row r="121" spans="2:11">
      <c r="B121" s="6"/>
      <c r="D121" s="6"/>
      <c r="E121" s="6"/>
      <c r="F121" s="6"/>
      <c r="G121" s="6"/>
      <c r="H121" s="6"/>
      <c r="I121" s="6"/>
      <c r="J121" s="6"/>
      <c r="K121" s="6"/>
    </row>
    <row r="122" spans="2:11">
      <c r="B122" s="6"/>
      <c r="D122" s="6"/>
      <c r="E122" s="6"/>
      <c r="F122" s="6"/>
      <c r="G122" s="6"/>
      <c r="H122" s="6"/>
      <c r="I122" s="6"/>
      <c r="J122" s="6"/>
      <c r="K122" s="6"/>
    </row>
    <row r="123" spans="2:11">
      <c r="B123" s="6"/>
      <c r="D123" s="6"/>
      <c r="E123" s="6"/>
      <c r="F123" s="6"/>
      <c r="G123" s="6"/>
      <c r="H123" s="6"/>
      <c r="I123" s="6"/>
      <c r="J123" s="6"/>
      <c r="K123" s="6"/>
    </row>
    <row r="124" spans="2:11">
      <c r="B124" s="6"/>
      <c r="D124" s="6"/>
      <c r="E124" s="6"/>
      <c r="F124" s="6"/>
      <c r="G124" s="6"/>
      <c r="H124" s="6"/>
      <c r="I124" s="6"/>
      <c r="J124" s="6"/>
      <c r="K124" s="6"/>
    </row>
    <row r="125" spans="2:11">
      <c r="B125" s="6"/>
      <c r="D125" s="6"/>
      <c r="E125" s="6"/>
      <c r="F125" s="6"/>
      <c r="G125" s="6"/>
      <c r="H125" s="6"/>
      <c r="I125" s="6"/>
      <c r="J125" s="6"/>
      <c r="K125" s="6"/>
    </row>
    <row r="126" spans="2:11">
      <c r="B126" s="6"/>
      <c r="D126" s="6"/>
      <c r="E126" s="6"/>
      <c r="F126" s="6"/>
      <c r="G126" s="6"/>
      <c r="H126" s="6"/>
      <c r="I126" s="6"/>
      <c r="J126" s="6"/>
      <c r="K126" s="6"/>
    </row>
    <row r="127" spans="2:11">
      <c r="B127" s="6"/>
      <c r="D127" s="6"/>
      <c r="E127" s="6"/>
      <c r="F127" s="6"/>
      <c r="G127" s="6"/>
      <c r="H127" s="6"/>
      <c r="I127" s="6"/>
      <c r="J127" s="6"/>
      <c r="K127" s="6"/>
    </row>
    <row r="128" spans="2:11">
      <c r="B128" s="6"/>
      <c r="D128" s="6"/>
      <c r="E128" s="6"/>
      <c r="F128" s="6"/>
      <c r="G128" s="6"/>
      <c r="H128" s="6"/>
      <c r="I128" s="6"/>
      <c r="J128" s="6"/>
      <c r="K128" s="6"/>
    </row>
    <row r="129" spans="2:11">
      <c r="B129" s="6"/>
      <c r="D129" s="6"/>
      <c r="E129" s="6"/>
      <c r="F129" s="6"/>
      <c r="G129" s="6"/>
      <c r="H129" s="6"/>
      <c r="I129" s="6"/>
      <c r="J129" s="6"/>
      <c r="K129" s="6"/>
    </row>
    <row r="130" spans="2:11">
      <c r="B130" s="6"/>
      <c r="D130" s="6"/>
      <c r="E130" s="6"/>
      <c r="F130" s="6"/>
      <c r="G130" s="6"/>
      <c r="H130" s="6"/>
      <c r="I130" s="6"/>
      <c r="J130" s="6"/>
      <c r="K130" s="6"/>
    </row>
    <row r="131" spans="2:11">
      <c r="B131" s="6"/>
      <c r="D131" s="6"/>
      <c r="E131" s="6"/>
      <c r="F131" s="6"/>
      <c r="G131" s="6"/>
      <c r="H131" s="6"/>
      <c r="I131" s="6"/>
      <c r="J131" s="6"/>
      <c r="K131" s="6"/>
    </row>
    <row r="132" spans="2:11">
      <c r="B132" s="6"/>
      <c r="D132" s="6"/>
      <c r="E132" s="6"/>
      <c r="F132" s="6"/>
      <c r="G132" s="6"/>
      <c r="H132" s="6"/>
      <c r="I132" s="6"/>
      <c r="J132" s="6"/>
      <c r="K132" s="6"/>
    </row>
    <row r="133" spans="2:11">
      <c r="B133" s="6"/>
      <c r="D133" s="6"/>
      <c r="E133" s="6"/>
      <c r="F133" s="6"/>
      <c r="G133" s="6"/>
      <c r="H133" s="6"/>
      <c r="I133" s="6"/>
      <c r="J133" s="6"/>
      <c r="K133" s="6"/>
    </row>
    <row r="134" spans="2:11">
      <c r="B134" s="6"/>
      <c r="D134" s="6"/>
      <c r="E134" s="6"/>
      <c r="F134" s="6"/>
      <c r="G134" s="6"/>
      <c r="H134" s="6"/>
      <c r="I134" s="6"/>
      <c r="J134" s="6"/>
      <c r="K134" s="6"/>
    </row>
    <row r="135" spans="2:11">
      <c r="B135" s="6"/>
      <c r="D135" s="6"/>
      <c r="E135" s="6"/>
      <c r="F135" s="6"/>
      <c r="G135" s="6"/>
      <c r="H135" s="6"/>
      <c r="I135" s="6"/>
      <c r="J135" s="6"/>
      <c r="K135" s="6"/>
    </row>
    <row r="136" spans="2:11">
      <c r="B136" s="6"/>
      <c r="D136" s="6"/>
      <c r="E136" s="6"/>
      <c r="F136" s="6"/>
      <c r="G136" s="6"/>
      <c r="H136" s="6"/>
      <c r="I136" s="6"/>
      <c r="J136" s="6"/>
      <c r="K136" s="6"/>
    </row>
    <row r="137" spans="2:11">
      <c r="B137" s="6"/>
      <c r="D137" s="6"/>
      <c r="E137" s="6"/>
      <c r="F137" s="6"/>
      <c r="G137" s="6"/>
      <c r="H137" s="6"/>
      <c r="I137" s="6"/>
      <c r="J137" s="6"/>
      <c r="K137" s="6"/>
    </row>
    <row r="138" spans="2:11">
      <c r="B138" s="6"/>
      <c r="D138" s="6"/>
      <c r="E138" s="6"/>
      <c r="F138" s="6"/>
      <c r="G138" s="6"/>
      <c r="H138" s="6"/>
      <c r="I138" s="6"/>
      <c r="J138" s="6"/>
      <c r="K138" s="6"/>
    </row>
    <row r="139" spans="2:11">
      <c r="B139" s="6"/>
      <c r="D139" s="6"/>
      <c r="E139" s="6"/>
      <c r="F139" s="6"/>
      <c r="G139" s="6"/>
      <c r="H139" s="6"/>
      <c r="I139" s="6"/>
      <c r="J139" s="6"/>
      <c r="K139" s="6"/>
    </row>
    <row r="140" spans="2:11">
      <c r="B140" s="6"/>
      <c r="D140" s="6"/>
      <c r="E140" s="6"/>
      <c r="F140" s="6"/>
      <c r="G140" s="6"/>
      <c r="H140" s="6"/>
      <c r="I140" s="6"/>
      <c r="J140" s="6"/>
      <c r="K140" s="6"/>
    </row>
    <row r="141" spans="2:11">
      <c r="B141" s="6"/>
      <c r="D141" s="6"/>
      <c r="E141" s="6"/>
      <c r="F141" s="6"/>
      <c r="G141" s="6"/>
      <c r="H141" s="6"/>
      <c r="I141" s="6"/>
      <c r="J141" s="6"/>
      <c r="K141" s="6"/>
    </row>
    <row r="142" spans="2:11">
      <c r="B142" s="6"/>
      <c r="D142" s="6"/>
      <c r="E142" s="6"/>
      <c r="F142" s="6"/>
      <c r="G142" s="6"/>
      <c r="H142" s="6"/>
      <c r="I142" s="6"/>
      <c r="J142" s="6"/>
      <c r="K142" s="6"/>
    </row>
    <row r="143" spans="2:11">
      <c r="B143" s="6"/>
      <c r="D143" s="6"/>
      <c r="E143" s="6"/>
      <c r="F143" s="6"/>
      <c r="G143" s="6"/>
      <c r="H143" s="6"/>
      <c r="I143" s="6"/>
      <c r="J143" s="6"/>
      <c r="K143" s="6"/>
    </row>
    <row r="144" spans="2:11">
      <c r="B144" s="6"/>
      <c r="D144" s="6"/>
      <c r="E144" s="6"/>
      <c r="F144" s="6"/>
      <c r="G144" s="6"/>
      <c r="H144" s="6"/>
      <c r="I144" s="6"/>
      <c r="J144" s="6"/>
      <c r="K144" s="6"/>
    </row>
    <row r="145" spans="2:11">
      <c r="B145" s="6"/>
      <c r="D145" s="6"/>
      <c r="E145" s="6"/>
      <c r="F145" s="6"/>
      <c r="G145" s="6"/>
      <c r="H145" s="6"/>
      <c r="I145" s="6"/>
      <c r="J145" s="6"/>
      <c r="K145" s="6"/>
    </row>
    <row r="146" spans="2:11">
      <c r="B146" s="6"/>
      <c r="D146" s="6"/>
      <c r="E146" s="6"/>
      <c r="F146" s="6"/>
      <c r="G146" s="6"/>
      <c r="H146" s="6"/>
      <c r="I146" s="6"/>
      <c r="J146" s="6"/>
      <c r="K146" s="6"/>
    </row>
    <row r="147" spans="2:11">
      <c r="B147" s="6"/>
      <c r="D147" s="6"/>
      <c r="E147" s="6"/>
      <c r="F147" s="6"/>
      <c r="G147" s="6"/>
      <c r="H147" s="6"/>
      <c r="I147" s="6"/>
      <c r="J147" s="6"/>
      <c r="K147" s="6"/>
    </row>
    <row r="148" spans="2:11">
      <c r="B148" s="6"/>
      <c r="D148" s="6"/>
      <c r="E148" s="6"/>
      <c r="F148" s="6"/>
      <c r="G148" s="6"/>
      <c r="H148" s="6"/>
      <c r="I148" s="6"/>
      <c r="J148" s="6"/>
      <c r="K148" s="6"/>
    </row>
    <row r="149" spans="2:11">
      <c r="B149" s="6"/>
      <c r="D149" s="6"/>
      <c r="E149" s="6"/>
      <c r="F149" s="6"/>
      <c r="G149" s="6"/>
      <c r="H149" s="6"/>
      <c r="I149" s="6"/>
      <c r="J149" s="6"/>
      <c r="K149" s="6"/>
    </row>
    <row r="150" spans="2:11">
      <c r="B150" s="6"/>
      <c r="D150" s="6"/>
      <c r="E150" s="6"/>
      <c r="F150" s="6"/>
      <c r="G150" s="6"/>
      <c r="H150" s="6"/>
      <c r="I150" s="6"/>
      <c r="J150" s="6"/>
      <c r="K150" s="6"/>
    </row>
    <row r="151" spans="2:11">
      <c r="B151" s="6"/>
      <c r="D151" s="6"/>
      <c r="E151" s="6"/>
      <c r="F151" s="6"/>
      <c r="G151" s="6"/>
      <c r="H151" s="6"/>
      <c r="I151" s="6"/>
      <c r="J151" s="6"/>
      <c r="K151" s="6"/>
    </row>
    <row r="152" spans="2:11">
      <c r="B152" s="6"/>
      <c r="D152" s="6"/>
      <c r="E152" s="6"/>
      <c r="F152" s="6"/>
      <c r="G152" s="6"/>
      <c r="H152" s="6"/>
      <c r="I152" s="6"/>
      <c r="J152" s="6"/>
      <c r="K152" s="6"/>
    </row>
    <row r="153" spans="2:11">
      <c r="B153" s="6"/>
      <c r="D153" s="6"/>
      <c r="E153" s="6"/>
      <c r="F153" s="6"/>
      <c r="G153" s="6"/>
      <c r="H153" s="6"/>
      <c r="I153" s="6"/>
      <c r="J153" s="6"/>
      <c r="K153" s="6"/>
    </row>
    <row r="154" spans="2:11">
      <c r="B154" s="6"/>
      <c r="D154" s="6"/>
      <c r="E154" s="6"/>
      <c r="F154" s="6"/>
      <c r="G154" s="6"/>
      <c r="H154" s="6"/>
      <c r="I154" s="6"/>
      <c r="J154" s="6"/>
      <c r="K154" s="6"/>
    </row>
    <row r="155" spans="2:11">
      <c r="B155" s="6"/>
      <c r="D155" s="6"/>
      <c r="E155" s="6"/>
      <c r="F155" s="6"/>
      <c r="G155" s="6"/>
      <c r="H155" s="6"/>
      <c r="I155" s="6"/>
      <c r="J155" s="6"/>
      <c r="K155" s="6"/>
    </row>
    <row r="156" spans="2:11">
      <c r="B156" s="6"/>
      <c r="D156" s="6"/>
      <c r="E156" s="6"/>
      <c r="F156" s="6"/>
      <c r="G156" s="6"/>
      <c r="H156" s="6"/>
      <c r="I156" s="6"/>
      <c r="J156" s="6"/>
      <c r="K156" s="6"/>
    </row>
    <row r="157" spans="2:11">
      <c r="B157" s="6"/>
      <c r="D157" s="6"/>
      <c r="E157" s="6"/>
      <c r="F157" s="6"/>
      <c r="G157" s="6"/>
      <c r="H157" s="6"/>
      <c r="I157" s="6"/>
      <c r="J157" s="6"/>
      <c r="K157" s="6"/>
    </row>
    <row r="158" spans="2:11">
      <c r="B158" s="6"/>
      <c r="D158" s="6"/>
      <c r="E158" s="6"/>
      <c r="F158" s="6"/>
      <c r="G158" s="6"/>
      <c r="H158" s="6"/>
      <c r="I158" s="6"/>
      <c r="J158" s="6"/>
      <c r="K158" s="6"/>
    </row>
    <row r="159" spans="2:11">
      <c r="B159" s="6"/>
      <c r="D159" s="6"/>
      <c r="E159" s="6"/>
      <c r="F159" s="6"/>
      <c r="G159" s="6"/>
      <c r="H159" s="6"/>
      <c r="I159" s="6"/>
      <c r="J159" s="6"/>
      <c r="K159" s="6"/>
    </row>
    <row r="160" spans="2:11">
      <c r="B160" s="6"/>
      <c r="D160" s="6"/>
      <c r="E160" s="6"/>
      <c r="F160" s="6"/>
      <c r="G160" s="6"/>
      <c r="H160" s="6"/>
      <c r="I160" s="6"/>
      <c r="J160" s="6"/>
      <c r="K160" s="6"/>
    </row>
    <row r="161" spans="2:11">
      <c r="B161" s="6"/>
      <c r="D161" s="6"/>
      <c r="E161" s="6"/>
      <c r="F161" s="6"/>
      <c r="G161" s="6"/>
      <c r="H161" s="6"/>
      <c r="I161" s="6"/>
      <c r="J161" s="6"/>
      <c r="K161" s="6"/>
    </row>
    <row r="162" spans="2:11">
      <c r="B162" s="6"/>
      <c r="D162" s="6"/>
      <c r="E162" s="6"/>
      <c r="F162" s="6"/>
      <c r="G162" s="6"/>
      <c r="H162" s="6"/>
      <c r="I162" s="6"/>
      <c r="J162" s="6"/>
      <c r="K162" s="6"/>
    </row>
    <row r="163" spans="2:11">
      <c r="B163" s="6"/>
      <c r="D163" s="6"/>
      <c r="E163" s="6"/>
      <c r="F163" s="6"/>
      <c r="G163" s="6"/>
      <c r="H163" s="6"/>
      <c r="I163" s="6"/>
      <c r="J163" s="6"/>
      <c r="K163" s="6"/>
    </row>
    <row r="164" spans="2:11">
      <c r="B164" s="6"/>
      <c r="D164" s="6"/>
      <c r="E164" s="6"/>
      <c r="F164" s="6"/>
      <c r="G164" s="6"/>
      <c r="H164" s="6"/>
      <c r="I164" s="6"/>
      <c r="J164" s="6"/>
      <c r="K164" s="6"/>
    </row>
    <row r="165" spans="2:11">
      <c r="B165" s="6"/>
      <c r="D165" s="6"/>
      <c r="E165" s="6"/>
      <c r="F165" s="6"/>
      <c r="G165" s="6"/>
      <c r="H165" s="6"/>
      <c r="I165" s="6"/>
      <c r="J165" s="6"/>
      <c r="K165" s="6"/>
    </row>
    <row r="166" spans="2:11">
      <c r="B166" s="6"/>
      <c r="D166" s="6"/>
      <c r="E166" s="6"/>
      <c r="F166" s="6"/>
      <c r="G166" s="6"/>
      <c r="H166" s="6"/>
      <c r="I166" s="6"/>
      <c r="J166" s="6"/>
      <c r="K166" s="6"/>
    </row>
    <row r="167" spans="2:11">
      <c r="B167" s="6"/>
      <c r="D167" s="6"/>
      <c r="E167" s="6"/>
      <c r="F167" s="6"/>
      <c r="G167" s="6"/>
      <c r="H167" s="6"/>
      <c r="I167" s="6"/>
      <c r="J167" s="6"/>
      <c r="K167" s="6"/>
    </row>
    <row r="168" spans="2:11">
      <c r="B168" s="6"/>
      <c r="D168" s="6"/>
      <c r="E168" s="6"/>
      <c r="F168" s="6"/>
      <c r="G168" s="6"/>
      <c r="H168" s="6"/>
      <c r="I168" s="6"/>
      <c r="J168" s="6"/>
      <c r="K168" s="6"/>
    </row>
    <row r="169" spans="2:11">
      <c r="B169" s="6"/>
      <c r="D169" s="6"/>
      <c r="E169" s="6"/>
      <c r="F169" s="6"/>
      <c r="G169" s="6"/>
      <c r="H169" s="6"/>
      <c r="I169" s="6"/>
      <c r="J169" s="6"/>
      <c r="K169" s="6"/>
    </row>
    <row r="170" spans="2:11">
      <c r="B170" s="6"/>
      <c r="D170" s="6"/>
      <c r="E170" s="6"/>
      <c r="F170" s="6"/>
      <c r="G170" s="6"/>
      <c r="H170" s="6"/>
      <c r="I170" s="6"/>
      <c r="J170" s="6"/>
      <c r="K170" s="6"/>
    </row>
    <row r="171" spans="2:11">
      <c r="B171" s="6"/>
      <c r="D171" s="6"/>
      <c r="E171" s="6"/>
      <c r="F171" s="6"/>
      <c r="G171" s="6"/>
      <c r="H171" s="6"/>
      <c r="I171" s="6"/>
      <c r="J171" s="6"/>
      <c r="K171" s="6"/>
    </row>
    <row r="172" spans="2:11">
      <c r="B172" s="6"/>
      <c r="D172" s="6"/>
      <c r="E172" s="6"/>
      <c r="F172" s="6"/>
      <c r="G172" s="6"/>
      <c r="H172" s="6"/>
      <c r="I172" s="6"/>
      <c r="J172" s="6"/>
      <c r="K172" s="6"/>
    </row>
    <row r="173" spans="2:11">
      <c r="B173" s="6"/>
      <c r="D173" s="6"/>
      <c r="E173" s="6"/>
      <c r="F173" s="6"/>
      <c r="G173" s="6"/>
      <c r="H173" s="6"/>
      <c r="I173" s="6"/>
      <c r="J173" s="6"/>
      <c r="K173" s="6"/>
    </row>
    <row r="174" spans="2:11">
      <c r="B174" s="6"/>
      <c r="D174" s="6"/>
      <c r="E174" s="6"/>
      <c r="F174" s="6"/>
      <c r="G174" s="6"/>
      <c r="H174" s="6"/>
      <c r="I174" s="6"/>
      <c r="J174" s="6"/>
      <c r="K174" s="6"/>
    </row>
    <row r="175" spans="2:11">
      <c r="B175" s="6"/>
      <c r="D175" s="6"/>
      <c r="E175" s="6"/>
      <c r="F175" s="6"/>
      <c r="G175" s="6"/>
      <c r="H175" s="6"/>
      <c r="I175" s="6"/>
      <c r="J175" s="6"/>
      <c r="K175" s="6"/>
    </row>
    <row r="176" spans="2:11">
      <c r="B176" s="6"/>
      <c r="D176" s="6"/>
      <c r="E176" s="6"/>
      <c r="F176" s="6"/>
      <c r="G176" s="6"/>
      <c r="H176" s="6"/>
      <c r="I176" s="6"/>
      <c r="J176" s="6"/>
      <c r="K176" s="6"/>
    </row>
    <row r="177" spans="2:11">
      <c r="B177" s="6"/>
      <c r="D177" s="6"/>
      <c r="E177" s="6"/>
      <c r="F177" s="6"/>
      <c r="G177" s="6"/>
      <c r="H177" s="6"/>
      <c r="I177" s="6"/>
      <c r="J177" s="6"/>
      <c r="K177" s="6"/>
    </row>
    <row r="178" spans="2:11">
      <c r="B178" s="6"/>
      <c r="D178" s="6"/>
      <c r="E178" s="6"/>
      <c r="F178" s="6"/>
      <c r="G178" s="6"/>
      <c r="H178" s="6"/>
      <c r="I178" s="6"/>
      <c r="J178" s="6"/>
      <c r="K178" s="6"/>
    </row>
    <row r="179" spans="2:11">
      <c r="B179" s="6"/>
      <c r="D179" s="6"/>
      <c r="E179" s="6"/>
      <c r="F179" s="6"/>
      <c r="G179" s="6"/>
      <c r="H179" s="6"/>
      <c r="I179" s="6"/>
      <c r="J179" s="6"/>
      <c r="K179" s="6"/>
    </row>
    <row r="180" spans="2:11">
      <c r="B180" s="6"/>
      <c r="D180" s="6"/>
      <c r="E180" s="6"/>
      <c r="F180" s="6"/>
      <c r="G180" s="6"/>
      <c r="H180" s="6"/>
      <c r="I180" s="6"/>
      <c r="J180" s="6"/>
      <c r="K180" s="6"/>
    </row>
  </sheetData>
  <sheetProtection sheet="1" objects="1" scenarios="1" insertRows="0"/>
  <mergeCells count="38">
    <mergeCell ref="A1:P1"/>
    <mergeCell ref="A2:P2"/>
    <mergeCell ref="A3:P3"/>
    <mergeCell ref="A4:D4"/>
    <mergeCell ref="A5:P5"/>
    <mergeCell ref="D23:L23"/>
    <mergeCell ref="D24:L24"/>
    <mergeCell ref="D25:L25"/>
    <mergeCell ref="K16:K17"/>
    <mergeCell ref="C26:C27"/>
    <mergeCell ref="D26:D27"/>
    <mergeCell ref="E26:E27"/>
    <mergeCell ref="F26:F27"/>
    <mergeCell ref="G26:G27"/>
    <mergeCell ref="J26:J27"/>
    <mergeCell ref="H16:J16"/>
    <mergeCell ref="L26:L27"/>
    <mergeCell ref="B71:B83"/>
    <mergeCell ref="B85:B88"/>
    <mergeCell ref="B89:B101"/>
    <mergeCell ref="D16:D17"/>
    <mergeCell ref="E16:G16"/>
    <mergeCell ref="D38:L38"/>
    <mergeCell ref="D39:L39"/>
    <mergeCell ref="B41:E41"/>
    <mergeCell ref="B42:B48"/>
    <mergeCell ref="B50:E50"/>
    <mergeCell ref="B51:B57"/>
    <mergeCell ref="B64:D65"/>
    <mergeCell ref="K26:K27"/>
    <mergeCell ref="B15:B37"/>
    <mergeCell ref="D15:L15"/>
    <mergeCell ref="D22:L22"/>
    <mergeCell ref="B10:D10"/>
    <mergeCell ref="F10:S10"/>
    <mergeCell ref="F11:S11"/>
    <mergeCell ref="E12:R12"/>
    <mergeCell ref="E13:R13"/>
  </mergeCells>
  <conditionalFormatting sqref="F10">
    <cfRule type="notContainsBlanks" dxfId="74" priority="4">
      <formula>LEN(TRIM(F10))&gt;0</formula>
    </cfRule>
  </conditionalFormatting>
  <conditionalFormatting sqref="F11:S11">
    <cfRule type="expression" dxfId="73" priority="2">
      <formula>E11="NO SE REPORTA"</formula>
    </cfRule>
    <cfRule type="expression" dxfId="72" priority="3">
      <formula>E10="NO APLICA"</formula>
    </cfRule>
  </conditionalFormatting>
  <conditionalFormatting sqref="E12:R12">
    <cfRule type="expression" dxfId="71" priority="1">
      <formula>E11="SI SE REPORTA"</formula>
    </cfRule>
  </conditionalFormatting>
  <dataValidations count="4">
    <dataValidation type="whole" operator="greaterThanOrEqual" allowBlank="1" showErrorMessage="1" errorTitle="ERROR" error="Escriba un número igual o mayor que 0" promptTitle="ERROR" prompt="Escriba un número igual o mayor que 0" sqref="E18:F20 H18:I20">
      <formula1>0</formula1>
    </dataValidation>
    <dataValidation type="whole" operator="greaterThanOrEqual" allowBlank="1" showInputMessage="1" showErrorMessage="1" errorTitle="ERROR" error="Valor en PESOS (sin centavos)" sqref="H28:K36">
      <formula1>0</formula1>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79"/>
  <sheetViews>
    <sheetView showGridLines="0" zoomScale="98" zoomScaleNormal="98" workbookViewId="0">
      <selection sqref="A1:XFD1048576"/>
    </sheetView>
  </sheetViews>
  <sheetFormatPr baseColWidth="10" defaultRowHeight="15"/>
  <cols>
    <col min="1" max="1" width="1.85546875" customWidth="1"/>
    <col min="2" max="2" width="12.85546875" customWidth="1"/>
    <col min="3" max="3" width="5" style="88" bestFit="1" customWidth="1"/>
    <col min="4" max="4" width="34.85546875" customWidth="1"/>
    <col min="5" max="5" width="12.140625" customWidth="1"/>
  </cols>
  <sheetData>
    <row r="1" spans="1:21" s="551" customFormat="1" ht="100.5" customHeight="1" thickBot="1">
      <c r="A1" s="1344"/>
      <c r="B1" s="1345"/>
      <c r="C1" s="1345"/>
      <c r="D1" s="1345"/>
      <c r="E1" s="1345"/>
      <c r="F1" s="1345"/>
      <c r="G1" s="1345"/>
      <c r="H1" s="1345"/>
      <c r="I1" s="1345"/>
      <c r="J1" s="1345"/>
      <c r="K1" s="1345"/>
      <c r="L1" s="1345"/>
      <c r="M1" s="1345"/>
      <c r="N1" s="1345"/>
      <c r="O1" s="1345"/>
      <c r="P1" s="1346"/>
      <c r="Q1" s="413"/>
      <c r="R1" s="413"/>
    </row>
    <row r="2" spans="1:21" s="552" customFormat="1" ht="16.5" thickBot="1">
      <c r="A2" s="1352" t="str">
        <f>'Datos Generales'!C5</f>
        <v>Corporación Autónoma Regional de La Guajira – CORPOGUAJIRA</v>
      </c>
      <c r="B2" s="1353"/>
      <c r="C2" s="1353"/>
      <c r="D2" s="1353"/>
      <c r="E2" s="1353"/>
      <c r="F2" s="1353"/>
      <c r="G2" s="1353"/>
      <c r="H2" s="1353"/>
      <c r="I2" s="1353"/>
      <c r="J2" s="1353"/>
      <c r="K2" s="1353"/>
      <c r="L2" s="1353"/>
      <c r="M2" s="1353"/>
      <c r="N2" s="1353"/>
      <c r="O2" s="1353"/>
      <c r="P2" s="1354"/>
      <c r="Q2" s="413"/>
      <c r="R2" s="413"/>
    </row>
    <row r="3" spans="1:21" s="552" customFormat="1" ht="16.5" thickBot="1">
      <c r="A3" s="1347" t="s">
        <v>1419</v>
      </c>
      <c r="B3" s="1348"/>
      <c r="C3" s="1348"/>
      <c r="D3" s="1348"/>
      <c r="E3" s="1348"/>
      <c r="F3" s="1348"/>
      <c r="G3" s="1348"/>
      <c r="H3" s="1348"/>
      <c r="I3" s="1348"/>
      <c r="J3" s="1348"/>
      <c r="K3" s="1348"/>
      <c r="L3" s="1348"/>
      <c r="M3" s="1348"/>
      <c r="N3" s="1348"/>
      <c r="O3" s="1348"/>
      <c r="P3" s="1349"/>
      <c r="Q3" s="413"/>
      <c r="R3" s="413"/>
    </row>
    <row r="4" spans="1:21" s="552" customFormat="1" ht="16.5" thickBot="1">
      <c r="A4" s="1350" t="s">
        <v>1418</v>
      </c>
      <c r="B4" s="1351"/>
      <c r="C4" s="1351"/>
      <c r="D4" s="1351"/>
      <c r="E4" s="571" t="str">
        <f>'Datos Generales'!C6</f>
        <v>2016-II</v>
      </c>
      <c r="F4" s="571"/>
      <c r="G4" s="571"/>
      <c r="H4" s="571"/>
      <c r="I4" s="571"/>
      <c r="J4" s="571"/>
      <c r="K4" s="571"/>
      <c r="L4" s="572"/>
      <c r="M4" s="572"/>
      <c r="N4" s="572"/>
      <c r="O4" s="572"/>
      <c r="P4" s="573"/>
      <c r="Q4" s="413"/>
      <c r="R4" s="413"/>
    </row>
    <row r="5" spans="1:21" s="245" customFormat="1" ht="16.5" customHeight="1" thickBot="1">
      <c r="A5" s="1347" t="s">
        <v>566</v>
      </c>
      <c r="B5" s="1348"/>
      <c r="C5" s="1348"/>
      <c r="D5" s="1348"/>
      <c r="E5" s="1348"/>
      <c r="F5" s="1348"/>
      <c r="G5" s="1348"/>
      <c r="H5" s="1348"/>
      <c r="I5" s="1348"/>
      <c r="J5" s="1348"/>
      <c r="K5" s="1348"/>
      <c r="L5" s="1348"/>
      <c r="M5" s="1348"/>
      <c r="N5" s="1348"/>
      <c r="O5" s="1348"/>
      <c r="P5" s="1349"/>
    </row>
    <row r="6" spans="1:21">
      <c r="B6" s="2" t="s">
        <v>1</v>
      </c>
      <c r="C6" s="77"/>
      <c r="D6" s="6"/>
      <c r="E6" s="75"/>
      <c r="F6" s="6" t="s">
        <v>133</v>
      </c>
      <c r="G6" s="6"/>
      <c r="H6" s="6"/>
      <c r="I6" s="6"/>
      <c r="J6" s="6"/>
      <c r="K6" s="6"/>
    </row>
    <row r="7" spans="1:21" ht="15.75" thickBot="1">
      <c r="B7" s="76"/>
      <c r="C7" s="108"/>
      <c r="D7" s="6"/>
      <c r="E7" s="18"/>
      <c r="F7" s="6" t="s">
        <v>134</v>
      </c>
      <c r="G7" s="6"/>
      <c r="H7" s="6"/>
      <c r="I7" s="6"/>
      <c r="J7" s="6"/>
      <c r="K7" s="6"/>
    </row>
    <row r="8" spans="1:21" ht="15.75" thickBot="1">
      <c r="B8" s="179" t="s">
        <v>1204</v>
      </c>
      <c r="C8" s="222">
        <v>2017</v>
      </c>
      <c r="D8" s="419">
        <f>IF(E10="NO APLICA","NO APLICA",IF(E11="NO SE REPORTA","SIN INFORMACION",+F22))</f>
        <v>0.53500000000000003</v>
      </c>
      <c r="E8" s="223"/>
      <c r="F8" s="6" t="s">
        <v>135</v>
      </c>
      <c r="G8" s="6"/>
      <c r="H8" s="6"/>
      <c r="I8" s="6"/>
      <c r="J8" s="6"/>
      <c r="K8" s="6"/>
    </row>
    <row r="9" spans="1:21">
      <c r="B9" s="507" t="s">
        <v>1205</v>
      </c>
      <c r="C9" s="89"/>
      <c r="D9" s="6"/>
      <c r="E9" s="6"/>
      <c r="F9" s="6"/>
      <c r="G9" s="6"/>
      <c r="H9" s="6"/>
      <c r="I9" s="6"/>
      <c r="J9" s="6"/>
      <c r="K9" s="6"/>
    </row>
    <row r="10" spans="1:21" s="413" customFormat="1">
      <c r="A10" s="245"/>
      <c r="B10" s="1412" t="s">
        <v>1265</v>
      </c>
      <c r="C10" s="1412"/>
      <c r="D10" s="1412"/>
      <c r="E10" s="513" t="s">
        <v>1262</v>
      </c>
      <c r="F10" s="1419"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420"/>
      <c r="H10" s="1420"/>
      <c r="I10" s="1420"/>
      <c r="J10" s="1420"/>
      <c r="K10" s="1420"/>
      <c r="L10" s="1420"/>
      <c r="M10" s="1420"/>
      <c r="N10" s="1420"/>
      <c r="O10" s="1420"/>
      <c r="P10" s="1420"/>
      <c r="Q10" s="1420"/>
      <c r="R10" s="1420"/>
      <c r="S10" s="1420"/>
      <c r="T10" s="509"/>
      <c r="U10" s="509"/>
    </row>
    <row r="11" spans="1:21" s="413" customFormat="1" ht="14.45" customHeight="1">
      <c r="A11" s="245"/>
      <c r="B11" s="510"/>
      <c r="C11" s="511"/>
      <c r="D11" s="512" t="str">
        <f>IF(E10="SI APLICA","¿El indicador no se reporta por limitaciones de información disponible? ","")</f>
        <v xml:space="preserve">¿El indicador no se reporta por limitaciones de información disponible? </v>
      </c>
      <c r="E11" s="514" t="s">
        <v>1264</v>
      </c>
      <c r="F11" s="1413"/>
      <c r="G11" s="1414"/>
      <c r="H11" s="1414"/>
      <c r="I11" s="1414"/>
      <c r="J11" s="1414"/>
      <c r="K11" s="1414"/>
      <c r="L11" s="1414"/>
      <c r="M11" s="1414"/>
      <c r="N11" s="1414"/>
      <c r="O11" s="1414"/>
      <c r="P11" s="1414"/>
      <c r="Q11" s="1414"/>
      <c r="R11" s="1414"/>
      <c r="S11" s="1414"/>
    </row>
    <row r="12" spans="1:21" s="413" customFormat="1" ht="23.45" customHeight="1">
      <c r="A12" s="245"/>
      <c r="B12" s="507"/>
      <c r="C12" s="304"/>
      <c r="D12" s="512" t="str">
        <f>IF(E11="SI SE REPORTA","¿Qué programas o proyectos del Plan de Acción están asociados al indicador? ","")</f>
        <v xml:space="preserve">¿Qué programas o proyectos del Plan de Acción están asociados al indicador? </v>
      </c>
      <c r="E12" s="1415" t="str">
        <f>'Anexo 1 Matriz Inf Gestión'!E48:H48</f>
        <v>Programa No 3. Bosques, Biodiversidad y Servicios Ecosistemicos.</v>
      </c>
      <c r="F12" s="1415"/>
      <c r="G12" s="1415"/>
      <c r="H12" s="1415"/>
      <c r="I12" s="1415"/>
      <c r="J12" s="1415"/>
      <c r="K12" s="1415"/>
      <c r="L12" s="1415"/>
      <c r="M12" s="1415"/>
      <c r="N12" s="1415"/>
      <c r="O12" s="1415"/>
      <c r="P12" s="1415"/>
      <c r="Q12" s="1415"/>
      <c r="R12" s="1415"/>
    </row>
    <row r="13" spans="1:21" s="413" customFormat="1" ht="21.95" customHeight="1">
      <c r="A13" s="245"/>
      <c r="B13" s="507"/>
      <c r="C13" s="304"/>
      <c r="D13" s="512" t="s">
        <v>1267</v>
      </c>
      <c r="E13" s="1416"/>
      <c r="F13" s="1417"/>
      <c r="G13" s="1417"/>
      <c r="H13" s="1417"/>
      <c r="I13" s="1417"/>
      <c r="J13" s="1417"/>
      <c r="K13" s="1417"/>
      <c r="L13" s="1417"/>
      <c r="M13" s="1417"/>
      <c r="N13" s="1417"/>
      <c r="O13" s="1417"/>
      <c r="P13" s="1417"/>
      <c r="Q13" s="1417"/>
      <c r="R13" s="1418"/>
    </row>
    <row r="14" spans="1:21" s="413" customFormat="1" ht="6.95" customHeight="1" thickBot="1">
      <c r="B14" s="507"/>
      <c r="C14" s="89"/>
      <c r="D14" s="6"/>
      <c r="E14" s="6"/>
      <c r="F14" s="6"/>
      <c r="G14" s="6"/>
      <c r="H14" s="6"/>
      <c r="I14" s="6"/>
      <c r="J14" s="6"/>
      <c r="K14" s="6"/>
    </row>
    <row r="15" spans="1:21" ht="15.6" customHeight="1" thickTop="1" thickBot="1">
      <c r="B15" s="1503" t="s">
        <v>2</v>
      </c>
      <c r="C15" s="90"/>
      <c r="D15" s="1458" t="s">
        <v>344</v>
      </c>
      <c r="E15" s="1459"/>
      <c r="F15" s="1459"/>
      <c r="G15" s="1459"/>
      <c r="H15" s="1459"/>
      <c r="I15" s="1459"/>
      <c r="J15" s="1459"/>
      <c r="K15" s="1460"/>
    </row>
    <row r="16" spans="1:21" ht="15.75" thickBot="1">
      <c r="B16" s="1504"/>
      <c r="C16" s="95"/>
      <c r="D16" s="44" t="s">
        <v>156</v>
      </c>
      <c r="E16" s="67" t="s">
        <v>25</v>
      </c>
      <c r="F16" s="67" t="s">
        <v>26</v>
      </c>
      <c r="G16" s="67" t="s">
        <v>27</v>
      </c>
      <c r="H16" s="418" t="s">
        <v>28</v>
      </c>
      <c r="I16" s="417"/>
      <c r="J16" s="6"/>
      <c r="K16" s="22"/>
    </row>
    <row r="17" spans="2:11" ht="36.75" thickBot="1">
      <c r="B17" s="1504"/>
      <c r="C17" s="95"/>
      <c r="D17" s="41" t="s">
        <v>585</v>
      </c>
      <c r="E17" s="1199">
        <v>800</v>
      </c>
      <c r="F17" s="1199">
        <v>800</v>
      </c>
      <c r="G17" s="1199">
        <v>800</v>
      </c>
      <c r="H17" s="1199">
        <v>800</v>
      </c>
      <c r="I17" s="417"/>
      <c r="J17" s="6"/>
      <c r="K17" s="22"/>
    </row>
    <row r="18" spans="2:11" ht="24.75" thickBot="1">
      <c r="B18" s="1504"/>
      <c r="C18" s="95"/>
      <c r="D18" s="41" t="s">
        <v>586</v>
      </c>
      <c r="E18" s="1199">
        <v>1519</v>
      </c>
      <c r="F18" s="1199">
        <v>428</v>
      </c>
      <c r="G18" s="197"/>
      <c r="H18" s="479"/>
      <c r="I18" s="417"/>
      <c r="J18" s="6"/>
      <c r="K18" s="22"/>
    </row>
    <row r="19" spans="2:11" ht="15.75" thickBot="1">
      <c r="B19" s="1504"/>
      <c r="C19" s="95"/>
      <c r="D19" s="41" t="s">
        <v>587</v>
      </c>
      <c r="E19" s="197">
        <v>0</v>
      </c>
      <c r="F19" s="197"/>
      <c r="G19" s="197"/>
      <c r="H19" s="479"/>
      <c r="I19" s="417"/>
      <c r="J19" s="6"/>
      <c r="K19" s="22"/>
    </row>
    <row r="20" spans="2:11" ht="15.75" thickBot="1">
      <c r="B20" s="1504"/>
      <c r="C20" s="95"/>
      <c r="D20" s="41" t="s">
        <v>588</v>
      </c>
      <c r="E20" s="197">
        <v>0</v>
      </c>
      <c r="F20" s="197"/>
      <c r="G20" s="197"/>
      <c r="H20" s="479"/>
      <c r="I20" s="417"/>
      <c r="J20" s="6"/>
      <c r="K20" s="22"/>
    </row>
    <row r="21" spans="2:11" ht="15.75" thickBot="1">
      <c r="B21" s="1504"/>
      <c r="C21" s="95"/>
      <c r="D21" s="41" t="s">
        <v>157</v>
      </c>
      <c r="E21" s="1200">
        <v>1519</v>
      </c>
      <c r="F21" s="1200">
        <f t="shared" ref="F21:H21" si="0">SUM(F18:F20)</f>
        <v>428</v>
      </c>
      <c r="G21" s="1200">
        <f t="shared" si="0"/>
        <v>0</v>
      </c>
      <c r="H21" s="1200">
        <f t="shared" si="0"/>
        <v>0</v>
      </c>
      <c r="I21" s="417"/>
      <c r="J21" s="6"/>
      <c r="K21" s="22"/>
    </row>
    <row r="22" spans="2:11" s="413" customFormat="1" ht="36.75" thickBot="1">
      <c r="B22" s="1504"/>
      <c r="C22" s="131"/>
      <c r="D22" s="53" t="s">
        <v>566</v>
      </c>
      <c r="E22" s="1201">
        <f>+E21/E17</f>
        <v>1.8987499999999999</v>
      </c>
      <c r="F22" s="1201">
        <f t="shared" ref="F22:H22" si="1">+F21/F17</f>
        <v>0.53500000000000003</v>
      </c>
      <c r="G22" s="1201">
        <f t="shared" si="1"/>
        <v>0</v>
      </c>
      <c r="H22" s="1201">
        <f t="shared" si="1"/>
        <v>0</v>
      </c>
      <c r="I22" s="417"/>
      <c r="J22" s="6"/>
      <c r="K22" s="22"/>
    </row>
    <row r="23" spans="2:11">
      <c r="B23" s="1504"/>
      <c r="C23" s="93"/>
      <c r="D23" s="1461" t="s">
        <v>254</v>
      </c>
      <c r="E23" s="1462"/>
      <c r="F23" s="1462"/>
      <c r="G23" s="1462"/>
      <c r="H23" s="1462"/>
      <c r="I23" s="1462"/>
      <c r="J23" s="1462"/>
      <c r="K23" s="1463"/>
    </row>
    <row r="24" spans="2:11">
      <c r="B24" s="1504"/>
      <c r="C24" s="93"/>
      <c r="D24" s="1461" t="s">
        <v>589</v>
      </c>
      <c r="E24" s="1462"/>
      <c r="F24" s="1462"/>
      <c r="G24" s="1462"/>
      <c r="H24" s="1462"/>
      <c r="I24" s="1462"/>
      <c r="J24" s="1462"/>
      <c r="K24" s="1463"/>
    </row>
    <row r="25" spans="2:11" ht="15.75" thickBot="1">
      <c r="B25" s="1504"/>
      <c r="C25" s="93"/>
      <c r="D25" s="1492" t="s">
        <v>348</v>
      </c>
      <c r="E25" s="1493"/>
      <c r="F25" s="1493"/>
      <c r="G25" s="1493"/>
      <c r="H25" s="1493"/>
      <c r="I25" s="1493"/>
      <c r="J25" s="1493"/>
      <c r="K25" s="1494"/>
    </row>
    <row r="26" spans="2:11" ht="57" thickBot="1">
      <c r="B26" s="437"/>
      <c r="C26" s="99" t="s">
        <v>24</v>
      </c>
      <c r="D26" s="67" t="s">
        <v>278</v>
      </c>
      <c r="E26" s="67" t="s">
        <v>590</v>
      </c>
      <c r="F26" s="67" t="s">
        <v>591</v>
      </c>
      <c r="G26" s="67" t="s">
        <v>351</v>
      </c>
      <c r="H26" s="67" t="s">
        <v>352</v>
      </c>
      <c r="I26" s="67" t="s">
        <v>282</v>
      </c>
      <c r="J26" s="67" t="s">
        <v>283</v>
      </c>
      <c r="K26" s="443" t="s">
        <v>60</v>
      </c>
    </row>
    <row r="27" spans="2:11" ht="45.75" thickBot="1">
      <c r="B27" s="437"/>
      <c r="C27" s="3">
        <v>1</v>
      </c>
      <c r="D27" s="1196" t="s">
        <v>1885</v>
      </c>
      <c r="E27" s="1197" t="s">
        <v>1713</v>
      </c>
      <c r="F27" s="1198">
        <v>215</v>
      </c>
      <c r="G27" s="218"/>
      <c r="H27" s="218"/>
      <c r="I27" s="218"/>
      <c r="J27" s="218"/>
      <c r="K27" s="218"/>
    </row>
    <row r="28" spans="2:11" ht="34.5" thickBot="1">
      <c r="B28" s="437"/>
      <c r="C28" s="3">
        <v>2</v>
      </c>
      <c r="D28" s="1196" t="s">
        <v>1886</v>
      </c>
      <c r="E28" s="1197" t="s">
        <v>1713</v>
      </c>
      <c r="F28" s="1198">
        <v>44</v>
      </c>
      <c r="G28" s="218"/>
      <c r="H28" s="218"/>
      <c r="I28" s="218"/>
      <c r="J28" s="218"/>
      <c r="K28" s="218"/>
    </row>
    <row r="29" spans="2:11" ht="45.75" thickBot="1">
      <c r="B29" s="437"/>
      <c r="C29" s="3">
        <v>3</v>
      </c>
      <c r="D29" s="1196" t="s">
        <v>1887</v>
      </c>
      <c r="E29" s="1197" t="s">
        <v>1713</v>
      </c>
      <c r="F29" s="1198">
        <v>169</v>
      </c>
      <c r="G29" s="218"/>
      <c r="H29" s="218"/>
      <c r="I29" s="218"/>
      <c r="J29" s="218"/>
      <c r="K29" s="218"/>
    </row>
    <row r="30" spans="2:11" ht="15.75" thickBot="1">
      <c r="B30" s="437"/>
      <c r="C30" s="3">
        <v>4</v>
      </c>
      <c r="D30" s="30"/>
      <c r="E30" s="480"/>
      <c r="F30" s="218"/>
      <c r="G30" s="218"/>
      <c r="H30" s="218"/>
      <c r="I30" s="218"/>
      <c r="J30" s="218"/>
      <c r="K30" s="218"/>
    </row>
    <row r="31" spans="2:11" ht="15.75" thickBot="1">
      <c r="B31" s="437"/>
      <c r="C31" s="3">
        <v>5</v>
      </c>
      <c r="D31" s="31"/>
      <c r="E31" s="480"/>
      <c r="F31" s="218"/>
      <c r="G31" s="218"/>
      <c r="H31" s="218"/>
      <c r="I31" s="218"/>
      <c r="J31" s="218"/>
      <c r="K31" s="218"/>
    </row>
    <row r="32" spans="2:11" ht="15.75" thickBot="1">
      <c r="B32" s="437"/>
      <c r="C32" s="3">
        <v>6</v>
      </c>
      <c r="D32" s="31"/>
      <c r="E32" s="31"/>
      <c r="F32" s="218"/>
      <c r="G32" s="218"/>
      <c r="H32" s="218"/>
      <c r="I32" s="218"/>
      <c r="J32" s="218"/>
      <c r="K32" s="218"/>
    </row>
    <row r="33" spans="2:11" ht="15.75" thickBot="1">
      <c r="B33" s="438"/>
      <c r="C33" s="3"/>
      <c r="D33" s="41" t="s">
        <v>157</v>
      </c>
      <c r="E33" s="41"/>
      <c r="F33" s="143">
        <f>SUM(F27:F32)</f>
        <v>428</v>
      </c>
      <c r="G33" s="143">
        <f>SUM(G27:G32)</f>
        <v>0</v>
      </c>
      <c r="H33" s="143">
        <f t="shared" ref="H33:J33" si="2">SUM(H27:H32)</f>
        <v>0</v>
      </c>
      <c r="I33" s="143">
        <f t="shared" si="2"/>
        <v>0</v>
      </c>
      <c r="J33" s="143">
        <f t="shared" si="2"/>
        <v>0</v>
      </c>
      <c r="K33" s="218"/>
    </row>
    <row r="34" spans="2:11" ht="24" customHeight="1" thickBot="1">
      <c r="B34" s="73" t="s">
        <v>39</v>
      </c>
      <c r="C34" s="109"/>
      <c r="D34" s="1453" t="s">
        <v>592</v>
      </c>
      <c r="E34" s="1454"/>
      <c r="F34" s="1454"/>
      <c r="G34" s="1454"/>
      <c r="H34" s="1454"/>
      <c r="I34" s="1454"/>
      <c r="J34" s="1454"/>
      <c r="K34" s="1455"/>
    </row>
    <row r="35" spans="2:11" ht="24" customHeight="1" thickBot="1">
      <c r="B35" s="73" t="s">
        <v>41</v>
      </c>
      <c r="C35" s="109"/>
      <c r="D35" s="1453" t="s">
        <v>354</v>
      </c>
      <c r="E35" s="1454"/>
      <c r="F35" s="1454"/>
      <c r="G35" s="1454"/>
      <c r="H35" s="1454"/>
      <c r="I35" s="1454"/>
      <c r="J35" s="1454"/>
      <c r="K35" s="1455"/>
    </row>
    <row r="36" spans="2:11" ht="15.75" thickBot="1">
      <c r="B36" s="2"/>
      <c r="C36" s="77"/>
      <c r="D36" s="6"/>
      <c r="E36" s="6"/>
      <c r="F36" s="6"/>
      <c r="G36" s="6"/>
      <c r="H36" s="6"/>
      <c r="I36" s="6"/>
      <c r="J36" s="6"/>
      <c r="K36" s="6"/>
    </row>
    <row r="37" spans="2:11" ht="24" customHeight="1" thickBot="1">
      <c r="B37" s="1450" t="s">
        <v>43</v>
      </c>
      <c r="C37" s="1451"/>
      <c r="D37" s="1451"/>
      <c r="E37" s="1452"/>
      <c r="F37" s="6"/>
      <c r="G37" s="6"/>
      <c r="H37" s="6"/>
      <c r="I37" s="6"/>
      <c r="J37" s="6"/>
      <c r="K37" s="6"/>
    </row>
    <row r="38" spans="2:11" ht="15.75" thickBot="1">
      <c r="B38" s="1447">
        <v>1</v>
      </c>
      <c r="C38" s="95"/>
      <c r="D38" s="49" t="s">
        <v>44</v>
      </c>
      <c r="E38" s="31" t="s">
        <v>1642</v>
      </c>
      <c r="F38" s="6"/>
      <c r="G38" s="6"/>
      <c r="H38" s="6"/>
      <c r="I38" s="6"/>
      <c r="J38" s="6"/>
      <c r="K38" s="6"/>
    </row>
    <row r="39" spans="2:11" ht="15.75" thickBot="1">
      <c r="B39" s="1448"/>
      <c r="C39" s="95"/>
      <c r="D39" s="41" t="s">
        <v>45</v>
      </c>
      <c r="E39" s="31" t="s">
        <v>1757</v>
      </c>
      <c r="F39" s="6"/>
      <c r="G39" s="6"/>
      <c r="H39" s="6"/>
      <c r="I39" s="6"/>
      <c r="J39" s="6"/>
      <c r="K39" s="6"/>
    </row>
    <row r="40" spans="2:11" ht="15.75" thickBot="1">
      <c r="B40" s="1448"/>
      <c r="C40" s="95"/>
      <c r="D40" s="41" t="s">
        <v>46</v>
      </c>
      <c r="E40" s="31" t="s">
        <v>1730</v>
      </c>
      <c r="F40" s="6"/>
      <c r="G40" s="6"/>
      <c r="H40" s="6"/>
      <c r="I40" s="6"/>
      <c r="J40" s="6"/>
      <c r="K40" s="6"/>
    </row>
    <row r="41" spans="2:11" ht="15.75" thickBot="1">
      <c r="B41" s="1448"/>
      <c r="C41" s="95"/>
      <c r="D41" s="41" t="s">
        <v>47</v>
      </c>
      <c r="E41" s="31" t="s">
        <v>1660</v>
      </c>
      <c r="F41" s="6"/>
      <c r="G41" s="6"/>
      <c r="H41" s="6"/>
      <c r="I41" s="6"/>
      <c r="J41" s="6"/>
      <c r="K41" s="6"/>
    </row>
    <row r="42" spans="2:11" ht="15.75" thickBot="1">
      <c r="B42" s="1448"/>
      <c r="C42" s="95"/>
      <c r="D42" s="41" t="s">
        <v>48</v>
      </c>
      <c r="E42" s="1036" t="s">
        <v>1731</v>
      </c>
      <c r="F42" s="6"/>
      <c r="G42" s="6"/>
      <c r="H42" s="6"/>
      <c r="I42" s="6"/>
      <c r="J42" s="6"/>
      <c r="K42" s="6"/>
    </row>
    <row r="43" spans="2:11" ht="15.75" thickBot="1">
      <c r="B43" s="1448"/>
      <c r="C43" s="95"/>
      <c r="D43" s="41" t="s">
        <v>49</v>
      </c>
      <c r="E43" s="31" t="s">
        <v>1746</v>
      </c>
      <c r="F43" s="6"/>
      <c r="G43" s="6"/>
      <c r="H43" s="6"/>
      <c r="I43" s="6"/>
      <c r="J43" s="6"/>
      <c r="K43" s="6"/>
    </row>
    <row r="44" spans="2:11" ht="15.75" thickBot="1">
      <c r="B44" s="1449"/>
      <c r="C44" s="3"/>
      <c r="D44" s="41" t="s">
        <v>50</v>
      </c>
      <c r="E44" s="31" t="s">
        <v>1629</v>
      </c>
      <c r="F44" s="6"/>
      <c r="G44" s="6"/>
      <c r="H44" s="6"/>
      <c r="I44" s="6"/>
      <c r="J44" s="6"/>
      <c r="K44" s="6"/>
    </row>
    <row r="45" spans="2:11" ht="15.75" thickBot="1">
      <c r="B45" s="2"/>
      <c r="C45" s="77"/>
      <c r="D45" s="6"/>
      <c r="E45" s="6"/>
      <c r="F45" s="6"/>
      <c r="G45" s="6"/>
      <c r="H45" s="6"/>
      <c r="I45" s="6"/>
      <c r="J45" s="6"/>
      <c r="K45" s="6"/>
    </row>
    <row r="46" spans="2:11" ht="15.75" thickBot="1">
      <c r="B46" s="1450" t="s">
        <v>51</v>
      </c>
      <c r="C46" s="1451"/>
      <c r="D46" s="1451"/>
      <c r="E46" s="1452"/>
      <c r="F46" s="6"/>
      <c r="G46" s="6"/>
      <c r="H46" s="6"/>
      <c r="I46" s="6"/>
      <c r="J46" s="6"/>
      <c r="K46" s="6"/>
    </row>
    <row r="47" spans="2:11" ht="15.75" thickBot="1">
      <c r="B47" s="1447">
        <v>1</v>
      </c>
      <c r="C47" s="95"/>
      <c r="D47" s="49" t="s">
        <v>44</v>
      </c>
      <c r="E47" s="445" t="s">
        <v>52</v>
      </c>
      <c r="F47" s="6"/>
      <c r="G47" s="6"/>
      <c r="H47" s="6"/>
      <c r="I47" s="6"/>
      <c r="J47" s="6"/>
      <c r="K47" s="6"/>
    </row>
    <row r="48" spans="2:11" ht="15.75" thickBot="1">
      <c r="B48" s="1448"/>
      <c r="C48" s="95"/>
      <c r="D48" s="41" t="s">
        <v>45</v>
      </c>
      <c r="E48" s="445" t="s">
        <v>166</v>
      </c>
      <c r="F48" s="6"/>
      <c r="G48" s="6"/>
      <c r="H48" s="6"/>
      <c r="I48" s="6"/>
      <c r="J48" s="6"/>
      <c r="K48" s="6"/>
    </row>
    <row r="49" spans="2:11" ht="15.75" thickBot="1">
      <c r="B49" s="1448"/>
      <c r="C49" s="95"/>
      <c r="D49" s="41" t="s">
        <v>46</v>
      </c>
      <c r="E49" s="315"/>
      <c r="F49" s="6"/>
      <c r="G49" s="6"/>
      <c r="H49" s="6"/>
      <c r="I49" s="6"/>
      <c r="J49" s="6"/>
      <c r="K49" s="6"/>
    </row>
    <row r="50" spans="2:11" ht="15.75" thickBot="1">
      <c r="B50" s="1448"/>
      <c r="C50" s="95"/>
      <c r="D50" s="41" t="s">
        <v>47</v>
      </c>
      <c r="E50" s="315"/>
      <c r="F50" s="6"/>
      <c r="G50" s="6"/>
      <c r="H50" s="6"/>
      <c r="I50" s="6"/>
      <c r="J50" s="6"/>
      <c r="K50" s="6"/>
    </row>
    <row r="51" spans="2:11" ht="15.75" thickBot="1">
      <c r="B51" s="1448"/>
      <c r="C51" s="95"/>
      <c r="D51" s="41" t="s">
        <v>48</v>
      </c>
      <c r="E51" s="315"/>
      <c r="F51" s="6"/>
      <c r="G51" s="6"/>
      <c r="H51" s="6"/>
      <c r="I51" s="6"/>
      <c r="J51" s="6"/>
      <c r="K51" s="6"/>
    </row>
    <row r="52" spans="2:11" ht="15.75" thickBot="1">
      <c r="B52" s="1448"/>
      <c r="C52" s="95"/>
      <c r="D52" s="41" t="s">
        <v>49</v>
      </c>
      <c r="E52" s="315"/>
      <c r="F52" s="6"/>
      <c r="G52" s="6"/>
      <c r="H52" s="6"/>
      <c r="I52" s="6"/>
      <c r="J52" s="6"/>
      <c r="K52" s="6"/>
    </row>
    <row r="53" spans="2:11" ht="15.75" thickBot="1">
      <c r="B53" s="1449"/>
      <c r="C53" s="3"/>
      <c r="D53" s="41" t="s">
        <v>50</v>
      </c>
      <c r="E53" s="315"/>
      <c r="F53" s="6"/>
      <c r="G53" s="6"/>
      <c r="H53" s="6"/>
      <c r="I53" s="6"/>
      <c r="J53" s="6"/>
      <c r="K53" s="6"/>
    </row>
    <row r="54" spans="2:11" ht="15.75" thickBot="1">
      <c r="B54" s="2"/>
      <c r="C54" s="77"/>
      <c r="D54" s="6"/>
      <c r="E54" s="6"/>
      <c r="F54" s="6"/>
      <c r="G54" s="6"/>
      <c r="H54" s="6"/>
      <c r="I54" s="6"/>
      <c r="J54" s="6"/>
      <c r="K54" s="6"/>
    </row>
    <row r="55" spans="2:11" ht="15" customHeight="1" thickBot="1">
      <c r="B55" s="125" t="s">
        <v>54</v>
      </c>
      <c r="C55" s="126"/>
      <c r="D55" s="126"/>
      <c r="E55" s="127"/>
      <c r="F55" s="6"/>
      <c r="G55" s="6"/>
      <c r="H55" s="6"/>
      <c r="I55" s="6"/>
      <c r="J55" s="6"/>
      <c r="K55" s="6"/>
    </row>
    <row r="56" spans="2:11" ht="24.75" thickBot="1">
      <c r="B56" s="48" t="s">
        <v>55</v>
      </c>
      <c r="C56" s="41" t="s">
        <v>56</v>
      </c>
      <c r="D56" s="41" t="s">
        <v>57</v>
      </c>
      <c r="E56" s="41" t="s">
        <v>58</v>
      </c>
      <c r="F56" s="6"/>
      <c r="G56" s="6"/>
      <c r="H56" s="6"/>
      <c r="I56" s="6"/>
      <c r="J56" s="6"/>
    </row>
    <row r="57" spans="2:11" ht="72.75" thickBot="1">
      <c r="B57" s="50">
        <v>42401</v>
      </c>
      <c r="C57" s="41">
        <v>0.01</v>
      </c>
      <c r="D57" s="51" t="s">
        <v>593</v>
      </c>
      <c r="E57" s="41"/>
      <c r="F57" s="6"/>
      <c r="G57" s="6"/>
      <c r="H57" s="6"/>
      <c r="I57" s="6"/>
      <c r="J57" s="6"/>
    </row>
    <row r="58" spans="2:11" ht="15.75" thickBot="1">
      <c r="B58" s="4"/>
      <c r="C58" s="96"/>
      <c r="D58" s="6"/>
      <c r="E58" s="6"/>
      <c r="F58" s="6"/>
      <c r="G58" s="6"/>
      <c r="H58" s="6"/>
      <c r="I58" s="6"/>
      <c r="J58" s="6"/>
      <c r="K58" s="6"/>
    </row>
    <row r="59" spans="2:11">
      <c r="B59" s="136" t="s">
        <v>60</v>
      </c>
      <c r="C59" s="97"/>
      <c r="D59" s="6"/>
      <c r="E59" s="6"/>
      <c r="F59" s="6"/>
      <c r="G59" s="6"/>
      <c r="H59" s="6"/>
      <c r="I59" s="6"/>
      <c r="J59" s="6"/>
      <c r="K59" s="6"/>
    </row>
    <row r="60" spans="2:11">
      <c r="B60" s="1430"/>
      <c r="C60" s="1431"/>
      <c r="D60" s="1431"/>
      <c r="E60" s="1432"/>
      <c r="F60" s="6"/>
      <c r="G60" s="6"/>
      <c r="H60" s="6"/>
      <c r="I60" s="6"/>
      <c r="J60" s="6"/>
      <c r="K60" s="6"/>
    </row>
    <row r="61" spans="2:11">
      <c r="B61" s="1433"/>
      <c r="C61" s="1434"/>
      <c r="D61" s="1434"/>
      <c r="E61" s="1435"/>
      <c r="F61" s="6"/>
      <c r="G61" s="6"/>
      <c r="H61" s="6"/>
      <c r="I61" s="6"/>
      <c r="J61" s="6"/>
      <c r="K61" s="6"/>
    </row>
    <row r="62" spans="2:11">
      <c r="B62" s="2"/>
      <c r="C62" s="77"/>
      <c r="D62" s="6"/>
      <c r="E62" s="6"/>
      <c r="F62" s="6"/>
      <c r="G62" s="6"/>
      <c r="H62" s="6"/>
      <c r="I62" s="6"/>
      <c r="J62" s="6"/>
      <c r="K62" s="6"/>
    </row>
    <row r="63" spans="2:11" ht="15.75" thickBot="1">
      <c r="B63" s="6"/>
      <c r="D63" s="6"/>
      <c r="E63" s="6"/>
      <c r="F63" s="6"/>
      <c r="G63" s="6"/>
      <c r="H63" s="6"/>
      <c r="I63" s="6"/>
      <c r="J63" s="6"/>
      <c r="K63" s="6"/>
    </row>
    <row r="64" spans="2:11" ht="24.75" thickBot="1">
      <c r="B64" s="52" t="s">
        <v>460</v>
      </c>
      <c r="C64" s="98"/>
      <c r="D64" s="6"/>
      <c r="E64" s="6"/>
      <c r="F64" s="6"/>
      <c r="G64" s="6"/>
      <c r="H64" s="6"/>
      <c r="I64" s="6"/>
      <c r="J64" s="6"/>
      <c r="K64" s="6"/>
    </row>
    <row r="65" spans="2:11" ht="15.75" thickBot="1">
      <c r="B65" s="38"/>
      <c r="C65" s="89"/>
      <c r="D65" s="6"/>
      <c r="E65" s="6"/>
      <c r="F65" s="6"/>
      <c r="G65" s="6"/>
      <c r="H65" s="6"/>
      <c r="I65" s="6"/>
      <c r="J65" s="6"/>
      <c r="K65" s="6"/>
    </row>
    <row r="66" spans="2:11" ht="72.75" thickBot="1">
      <c r="B66" s="53" t="s">
        <v>62</v>
      </c>
      <c r="C66" s="99"/>
      <c r="D66" s="44" t="s">
        <v>567</v>
      </c>
      <c r="E66" s="6"/>
      <c r="F66" s="6"/>
      <c r="G66" s="6"/>
      <c r="H66" s="6"/>
      <c r="I66" s="6"/>
      <c r="J66" s="6"/>
      <c r="K66" s="6"/>
    </row>
    <row r="67" spans="2:11">
      <c r="B67" s="1447" t="s">
        <v>64</v>
      </c>
      <c r="C67" s="95"/>
      <c r="D67" s="54" t="s">
        <v>65</v>
      </c>
      <c r="E67" s="6"/>
      <c r="F67" s="6"/>
      <c r="G67" s="6"/>
      <c r="H67" s="6"/>
      <c r="I67" s="6"/>
      <c r="J67" s="6"/>
      <c r="K67" s="6"/>
    </row>
    <row r="68" spans="2:11" ht="96">
      <c r="B68" s="1448"/>
      <c r="C68" s="95"/>
      <c r="D68" s="47" t="s">
        <v>568</v>
      </c>
      <c r="E68" s="6"/>
      <c r="F68" s="6"/>
      <c r="G68" s="6"/>
      <c r="H68" s="6"/>
      <c r="I68" s="6"/>
      <c r="J68" s="6"/>
      <c r="K68" s="6"/>
    </row>
    <row r="69" spans="2:11" ht="36">
      <c r="B69" s="1448"/>
      <c r="C69" s="95"/>
      <c r="D69" s="47" t="s">
        <v>569</v>
      </c>
      <c r="E69" s="6"/>
      <c r="F69" s="6"/>
      <c r="G69" s="6"/>
      <c r="H69" s="6"/>
      <c r="I69" s="6"/>
      <c r="J69" s="6"/>
      <c r="K69" s="6"/>
    </row>
    <row r="70" spans="2:11">
      <c r="B70" s="1448"/>
      <c r="C70" s="95"/>
      <c r="D70" s="54" t="s">
        <v>68</v>
      </c>
      <c r="E70" s="6"/>
      <c r="F70" s="6"/>
      <c r="G70" s="6"/>
      <c r="H70" s="6"/>
      <c r="I70" s="6"/>
      <c r="J70" s="6"/>
      <c r="K70" s="6"/>
    </row>
    <row r="71" spans="2:11">
      <c r="B71" s="1448"/>
      <c r="C71" s="95"/>
      <c r="D71" s="47" t="s">
        <v>70</v>
      </c>
      <c r="E71" s="6"/>
      <c r="F71" s="6"/>
      <c r="G71" s="6"/>
      <c r="H71" s="6"/>
      <c r="I71" s="6"/>
      <c r="J71" s="6"/>
      <c r="K71" s="6"/>
    </row>
    <row r="72" spans="2:11">
      <c r="B72" s="1448"/>
      <c r="C72" s="95"/>
      <c r="D72" s="54" t="s">
        <v>296</v>
      </c>
      <c r="E72" s="6"/>
      <c r="F72" s="6"/>
      <c r="G72" s="6"/>
      <c r="H72" s="6"/>
      <c r="I72" s="6"/>
      <c r="J72" s="6"/>
      <c r="K72" s="6"/>
    </row>
    <row r="73" spans="2:11" ht="36">
      <c r="B73" s="1448"/>
      <c r="C73" s="95"/>
      <c r="D73" s="47" t="s">
        <v>463</v>
      </c>
      <c r="E73" s="6"/>
      <c r="F73" s="6"/>
      <c r="G73" s="6"/>
      <c r="H73" s="6"/>
      <c r="I73" s="6"/>
      <c r="J73" s="6"/>
      <c r="K73" s="6"/>
    </row>
    <row r="74" spans="2:11">
      <c r="B74" s="1448"/>
      <c r="C74" s="95"/>
      <c r="D74" s="47" t="s">
        <v>570</v>
      </c>
      <c r="E74" s="6"/>
      <c r="F74" s="6"/>
      <c r="G74" s="6"/>
      <c r="H74" s="6"/>
      <c r="I74" s="6"/>
      <c r="J74" s="6"/>
      <c r="K74" s="6"/>
    </row>
    <row r="75" spans="2:11" ht="15.75" thickBot="1">
      <c r="B75" s="1449"/>
      <c r="C75" s="3"/>
      <c r="D75" s="69"/>
      <c r="E75" s="6"/>
      <c r="F75" s="6"/>
      <c r="G75" s="6"/>
      <c r="H75" s="6"/>
      <c r="I75" s="6"/>
      <c r="J75" s="6"/>
      <c r="K75" s="6"/>
    </row>
    <row r="76" spans="2:11" ht="24.75" thickBot="1">
      <c r="B76" s="48" t="s">
        <v>77</v>
      </c>
      <c r="C76" s="3"/>
      <c r="D76" s="41"/>
      <c r="E76" s="6"/>
      <c r="F76" s="6"/>
      <c r="G76" s="6"/>
      <c r="H76" s="6"/>
      <c r="I76" s="6"/>
      <c r="J76" s="6"/>
      <c r="K76" s="6"/>
    </row>
    <row r="77" spans="2:11" ht="72">
      <c r="B77" s="1447" t="s">
        <v>78</v>
      </c>
      <c r="C77" s="95"/>
      <c r="D77" s="47" t="s">
        <v>571</v>
      </c>
      <c r="E77" s="6"/>
      <c r="F77" s="6"/>
      <c r="G77" s="6"/>
      <c r="H77" s="6"/>
      <c r="I77" s="6"/>
      <c r="J77" s="6"/>
      <c r="K77" s="6"/>
    </row>
    <row r="78" spans="2:11" ht="132">
      <c r="B78" s="1448"/>
      <c r="C78" s="95"/>
      <c r="D78" s="47" t="s">
        <v>572</v>
      </c>
      <c r="E78" s="6"/>
      <c r="F78" s="6"/>
      <c r="G78" s="6"/>
      <c r="H78" s="6"/>
      <c r="I78" s="6"/>
      <c r="J78" s="6"/>
      <c r="K78" s="6"/>
    </row>
    <row r="79" spans="2:11" ht="108">
      <c r="B79" s="1448"/>
      <c r="C79" s="95"/>
      <c r="D79" s="47" t="s">
        <v>573</v>
      </c>
      <c r="E79" s="6"/>
      <c r="F79" s="6"/>
      <c r="G79" s="6"/>
      <c r="H79" s="6"/>
      <c r="I79" s="6"/>
      <c r="J79" s="6"/>
      <c r="K79" s="6"/>
    </row>
    <row r="80" spans="2:11" ht="84">
      <c r="B80" s="1448"/>
      <c r="C80" s="95"/>
      <c r="D80" s="47" t="s">
        <v>574</v>
      </c>
      <c r="E80" s="6"/>
      <c r="F80" s="6"/>
      <c r="G80" s="6"/>
      <c r="H80" s="6"/>
      <c r="I80" s="6"/>
      <c r="J80" s="6"/>
      <c r="K80" s="6"/>
    </row>
    <row r="81" spans="2:11" ht="108">
      <c r="B81" s="1448"/>
      <c r="C81" s="95"/>
      <c r="D81" s="47" t="s">
        <v>575</v>
      </c>
      <c r="E81" s="6"/>
      <c r="F81" s="6"/>
      <c r="G81" s="6"/>
      <c r="H81" s="6"/>
      <c r="I81" s="6"/>
      <c r="J81" s="6"/>
      <c r="K81" s="6"/>
    </row>
    <row r="82" spans="2:11" ht="60">
      <c r="B82" s="1448"/>
      <c r="C82" s="95"/>
      <c r="D82" s="47" t="s">
        <v>576</v>
      </c>
      <c r="E82" s="6"/>
      <c r="F82" s="6"/>
      <c r="G82" s="6"/>
      <c r="H82" s="6"/>
      <c r="I82" s="6"/>
      <c r="J82" s="6"/>
      <c r="K82" s="6"/>
    </row>
    <row r="83" spans="2:11" ht="84.75" thickBot="1">
      <c r="B83" s="1449"/>
      <c r="C83" s="3"/>
      <c r="D83" s="41" t="s">
        <v>577</v>
      </c>
      <c r="E83" s="6"/>
      <c r="F83" s="6"/>
      <c r="G83" s="6"/>
      <c r="H83" s="6"/>
      <c r="I83" s="6"/>
      <c r="J83" s="6"/>
      <c r="K83" s="6"/>
    </row>
    <row r="84" spans="2:11" ht="24">
      <c r="B84" s="1447" t="s">
        <v>95</v>
      </c>
      <c r="C84" s="95"/>
      <c r="D84" s="54" t="s">
        <v>566</v>
      </c>
      <c r="E84" s="6"/>
      <c r="F84" s="6"/>
      <c r="G84" s="6"/>
      <c r="H84" s="6"/>
      <c r="I84" s="6"/>
      <c r="J84" s="6"/>
      <c r="K84" s="6"/>
    </row>
    <row r="85" spans="2:11">
      <c r="B85" s="1448"/>
      <c r="C85" s="95"/>
      <c r="D85" s="17"/>
      <c r="E85" s="6"/>
      <c r="F85" s="6"/>
      <c r="G85" s="6"/>
      <c r="H85" s="6"/>
      <c r="I85" s="6"/>
      <c r="J85" s="6"/>
      <c r="K85" s="6"/>
    </row>
    <row r="86" spans="2:11">
      <c r="B86" s="1448"/>
      <c r="C86" s="95"/>
      <c r="D86" s="47" t="s">
        <v>96</v>
      </c>
      <c r="E86" s="6"/>
      <c r="F86" s="6"/>
      <c r="G86" s="6"/>
      <c r="H86" s="6"/>
      <c r="I86" s="6"/>
      <c r="J86" s="6"/>
      <c r="K86" s="6"/>
    </row>
    <row r="87" spans="2:11" ht="49.5">
      <c r="B87" s="1448"/>
      <c r="C87" s="95"/>
      <c r="D87" s="47" t="s">
        <v>578</v>
      </c>
      <c r="E87" s="6"/>
      <c r="F87" s="6"/>
      <c r="G87" s="6"/>
      <c r="H87" s="6"/>
      <c r="I87" s="6"/>
      <c r="J87" s="6"/>
      <c r="K87" s="6"/>
    </row>
    <row r="88" spans="2:11" ht="37.5">
      <c r="B88" s="1448"/>
      <c r="C88" s="95"/>
      <c r="D88" s="47" t="s">
        <v>579</v>
      </c>
      <c r="E88" s="6"/>
      <c r="F88" s="6"/>
      <c r="G88" s="6"/>
      <c r="H88" s="6"/>
      <c r="I88" s="6"/>
      <c r="J88" s="6"/>
      <c r="K88" s="6"/>
    </row>
    <row r="89" spans="2:11" ht="37.5">
      <c r="B89" s="1448"/>
      <c r="C89" s="95"/>
      <c r="D89" s="47" t="s">
        <v>580</v>
      </c>
      <c r="E89" s="6"/>
      <c r="F89" s="6"/>
      <c r="G89" s="6"/>
      <c r="H89" s="6"/>
      <c r="I89" s="6"/>
      <c r="J89" s="6"/>
      <c r="K89" s="6"/>
    </row>
    <row r="90" spans="2:11" ht="84">
      <c r="B90" s="1448"/>
      <c r="C90" s="95"/>
      <c r="D90" s="55" t="s">
        <v>243</v>
      </c>
      <c r="E90" s="6"/>
      <c r="F90" s="6"/>
      <c r="G90" s="6"/>
      <c r="H90" s="6"/>
      <c r="I90" s="6"/>
      <c r="J90" s="6"/>
      <c r="K90" s="6"/>
    </row>
    <row r="91" spans="2:11">
      <c r="B91" s="1448"/>
      <c r="C91" s="95"/>
      <c r="D91" s="54" t="s">
        <v>254</v>
      </c>
      <c r="E91" s="6"/>
      <c r="F91" s="6"/>
      <c r="G91" s="6"/>
      <c r="H91" s="6"/>
      <c r="I91" s="6"/>
      <c r="J91" s="6"/>
      <c r="K91" s="6"/>
    </row>
    <row r="92" spans="2:11" ht="36">
      <c r="B92" s="1448"/>
      <c r="C92" s="95"/>
      <c r="D92" s="54" t="s">
        <v>581</v>
      </c>
      <c r="E92" s="6"/>
      <c r="F92" s="6"/>
      <c r="G92" s="6"/>
      <c r="H92" s="6"/>
      <c r="I92" s="6"/>
      <c r="J92" s="6"/>
      <c r="K92" s="6"/>
    </row>
    <row r="93" spans="2:11">
      <c r="B93" s="1448"/>
      <c r="C93" s="95"/>
      <c r="D93" s="54" t="s">
        <v>582</v>
      </c>
      <c r="E93" s="6"/>
      <c r="F93" s="6"/>
      <c r="G93" s="6"/>
      <c r="H93" s="6"/>
      <c r="I93" s="6"/>
      <c r="J93" s="6"/>
      <c r="K93" s="6"/>
    </row>
    <row r="94" spans="2:11">
      <c r="B94" s="1448"/>
      <c r="C94" s="95"/>
      <c r="D94" s="17"/>
      <c r="E94" s="6"/>
      <c r="F94" s="6"/>
      <c r="G94" s="6"/>
      <c r="H94" s="6"/>
      <c r="I94" s="6"/>
      <c r="J94" s="6"/>
      <c r="K94" s="6"/>
    </row>
    <row r="95" spans="2:11">
      <c r="B95" s="1448"/>
      <c r="C95" s="95"/>
      <c r="D95" s="47" t="s">
        <v>96</v>
      </c>
      <c r="E95" s="6"/>
      <c r="F95" s="6"/>
      <c r="G95" s="6"/>
      <c r="H95" s="6"/>
      <c r="I95" s="6"/>
      <c r="J95" s="6"/>
      <c r="K95" s="6"/>
    </row>
    <row r="96" spans="2:11" ht="37.5">
      <c r="B96" s="1448"/>
      <c r="C96" s="95"/>
      <c r="D96" s="47" t="s">
        <v>583</v>
      </c>
      <c r="E96" s="6"/>
      <c r="F96" s="6"/>
      <c r="G96" s="6"/>
      <c r="H96" s="6"/>
      <c r="I96" s="6"/>
      <c r="J96" s="6"/>
      <c r="K96" s="6"/>
    </row>
    <row r="97" spans="2:11" ht="62.25" thickBot="1">
      <c r="B97" s="1449"/>
      <c r="C97" s="3"/>
      <c r="D97" s="41" t="s">
        <v>584</v>
      </c>
      <c r="E97" s="6"/>
      <c r="F97" s="6"/>
      <c r="G97" s="6"/>
      <c r="H97" s="6"/>
      <c r="I97" s="6"/>
      <c r="J97" s="6"/>
      <c r="K97" s="6"/>
    </row>
    <row r="98" spans="2:11">
      <c r="B98" s="6"/>
      <c r="D98" s="6"/>
      <c r="E98" s="6"/>
      <c r="F98" s="6"/>
      <c r="G98" s="6"/>
      <c r="H98" s="6"/>
      <c r="I98" s="6"/>
      <c r="J98" s="6"/>
      <c r="K98" s="6"/>
    </row>
    <row r="99" spans="2:11">
      <c r="B99" s="6"/>
      <c r="D99" s="6"/>
      <c r="E99" s="6"/>
      <c r="F99" s="6"/>
      <c r="G99" s="6"/>
      <c r="H99" s="6"/>
      <c r="I99" s="6"/>
      <c r="J99" s="6"/>
      <c r="K99" s="6"/>
    </row>
    <row r="100" spans="2:11">
      <c r="B100" s="6"/>
      <c r="D100" s="6"/>
      <c r="E100" s="6"/>
      <c r="F100" s="6"/>
      <c r="G100" s="6"/>
      <c r="H100" s="6"/>
      <c r="I100" s="6"/>
      <c r="J100" s="6"/>
      <c r="K100" s="6"/>
    </row>
    <row r="101" spans="2:11">
      <c r="B101" s="6"/>
      <c r="D101" s="6"/>
      <c r="E101" s="6"/>
      <c r="F101" s="6"/>
      <c r="G101" s="6"/>
      <c r="H101" s="6"/>
      <c r="I101" s="6"/>
      <c r="J101" s="6"/>
      <c r="K101" s="6"/>
    </row>
    <row r="102" spans="2:11">
      <c r="B102" s="6"/>
      <c r="D102" s="6"/>
      <c r="E102" s="6"/>
      <c r="F102" s="6"/>
      <c r="G102" s="6"/>
      <c r="H102" s="6"/>
      <c r="I102" s="6"/>
      <c r="J102" s="6"/>
      <c r="K102" s="6"/>
    </row>
    <row r="103" spans="2:11">
      <c r="B103" s="6"/>
      <c r="D103" s="6"/>
      <c r="E103" s="6"/>
      <c r="F103" s="6"/>
      <c r="G103" s="6"/>
      <c r="H103" s="6"/>
      <c r="I103" s="6"/>
      <c r="J103" s="6"/>
      <c r="K103" s="6"/>
    </row>
    <row r="104" spans="2:11">
      <c r="B104" s="6"/>
      <c r="D104" s="6"/>
      <c r="E104" s="6"/>
      <c r="F104" s="6"/>
      <c r="G104" s="6"/>
      <c r="H104" s="6"/>
      <c r="I104" s="6"/>
      <c r="J104" s="6"/>
      <c r="K104" s="6"/>
    </row>
    <row r="105" spans="2:11">
      <c r="B105" s="6"/>
      <c r="D105" s="6"/>
      <c r="E105" s="6"/>
      <c r="F105" s="6"/>
      <c r="G105" s="6"/>
      <c r="H105" s="6"/>
      <c r="I105" s="6"/>
      <c r="J105" s="6"/>
      <c r="K105" s="6"/>
    </row>
    <row r="106" spans="2:11">
      <c r="B106" s="6"/>
      <c r="D106" s="6"/>
      <c r="E106" s="6"/>
      <c r="F106" s="6"/>
      <c r="G106" s="6"/>
      <c r="H106" s="6"/>
      <c r="I106" s="6"/>
      <c r="J106" s="6"/>
      <c r="K106" s="6"/>
    </row>
    <row r="107" spans="2:11">
      <c r="B107" s="6"/>
      <c r="D107" s="6"/>
      <c r="E107" s="6"/>
      <c r="F107" s="6"/>
      <c r="G107" s="6"/>
      <c r="H107" s="6"/>
      <c r="I107" s="6"/>
      <c r="J107" s="6"/>
      <c r="K107" s="6"/>
    </row>
    <row r="108" spans="2:11">
      <c r="B108" s="6"/>
      <c r="D108" s="6"/>
      <c r="E108" s="6"/>
      <c r="F108" s="6"/>
      <c r="G108" s="6"/>
      <c r="H108" s="6"/>
      <c r="I108" s="6"/>
      <c r="J108" s="6"/>
      <c r="K108" s="6"/>
    </row>
    <row r="109" spans="2:11">
      <c r="B109" s="6"/>
      <c r="D109" s="6"/>
      <c r="E109" s="6"/>
      <c r="F109" s="6"/>
      <c r="G109" s="6"/>
      <c r="H109" s="6"/>
      <c r="I109" s="6"/>
      <c r="J109" s="6"/>
      <c r="K109" s="6"/>
    </row>
    <row r="110" spans="2:11">
      <c r="B110" s="6"/>
      <c r="D110" s="6"/>
      <c r="E110" s="6"/>
      <c r="F110" s="6"/>
      <c r="G110" s="6"/>
      <c r="H110" s="6"/>
      <c r="I110" s="6"/>
      <c r="J110" s="6"/>
      <c r="K110" s="6"/>
    </row>
    <row r="111" spans="2:11">
      <c r="B111" s="6"/>
      <c r="D111" s="6"/>
      <c r="E111" s="6"/>
      <c r="F111" s="6"/>
      <c r="G111" s="6"/>
      <c r="H111" s="6"/>
      <c r="I111" s="6"/>
      <c r="J111" s="6"/>
      <c r="K111" s="6"/>
    </row>
    <row r="112" spans="2:11">
      <c r="B112" s="6"/>
      <c r="D112" s="6"/>
      <c r="E112" s="6"/>
      <c r="F112" s="6"/>
      <c r="G112" s="6"/>
      <c r="H112" s="6"/>
      <c r="I112" s="6"/>
      <c r="J112" s="6"/>
      <c r="K112" s="6"/>
    </row>
    <row r="113" spans="2:11">
      <c r="B113" s="6"/>
      <c r="D113" s="6"/>
      <c r="E113" s="6"/>
      <c r="F113" s="6"/>
      <c r="G113" s="6"/>
      <c r="H113" s="6"/>
      <c r="I113" s="6"/>
      <c r="J113" s="6"/>
      <c r="K113" s="6"/>
    </row>
    <row r="114" spans="2:11">
      <c r="B114" s="6"/>
      <c r="D114" s="6"/>
      <c r="E114" s="6"/>
      <c r="F114" s="6"/>
      <c r="G114" s="6"/>
      <c r="H114" s="6"/>
      <c r="I114" s="6"/>
      <c r="J114" s="6"/>
      <c r="K114" s="6"/>
    </row>
    <row r="115" spans="2:11">
      <c r="B115" s="6"/>
      <c r="D115" s="6"/>
      <c r="E115" s="6"/>
      <c r="F115" s="6"/>
      <c r="G115" s="6"/>
      <c r="H115" s="6"/>
      <c r="I115" s="6"/>
      <c r="J115" s="6"/>
      <c r="K115" s="6"/>
    </row>
    <row r="116" spans="2:11">
      <c r="B116" s="6"/>
      <c r="D116" s="6"/>
      <c r="E116" s="6"/>
      <c r="F116" s="6"/>
      <c r="G116" s="6"/>
      <c r="H116" s="6"/>
      <c r="I116" s="6"/>
      <c r="J116" s="6"/>
      <c r="K116" s="6"/>
    </row>
    <row r="117" spans="2:11">
      <c r="B117" s="6"/>
      <c r="D117" s="6"/>
      <c r="E117" s="6"/>
      <c r="F117" s="6"/>
      <c r="G117" s="6"/>
      <c r="H117" s="6"/>
      <c r="I117" s="6"/>
      <c r="J117" s="6"/>
      <c r="K117" s="6"/>
    </row>
    <row r="118" spans="2:11">
      <c r="B118" s="6"/>
      <c r="D118" s="6"/>
      <c r="E118" s="6"/>
      <c r="F118" s="6"/>
      <c r="G118" s="6"/>
      <c r="H118" s="6"/>
      <c r="I118" s="6"/>
      <c r="J118" s="6"/>
      <c r="K118" s="6"/>
    </row>
    <row r="119" spans="2:11">
      <c r="B119" s="6"/>
      <c r="D119" s="6"/>
      <c r="E119" s="6"/>
      <c r="F119" s="6"/>
      <c r="G119" s="6"/>
      <c r="H119" s="6"/>
      <c r="I119" s="6"/>
      <c r="J119" s="6"/>
      <c r="K119" s="6"/>
    </row>
    <row r="120" spans="2:11">
      <c r="B120" s="6"/>
      <c r="D120" s="6"/>
      <c r="E120" s="6"/>
      <c r="F120" s="6"/>
      <c r="G120" s="6"/>
      <c r="H120" s="6"/>
      <c r="I120" s="6"/>
      <c r="J120" s="6"/>
      <c r="K120" s="6"/>
    </row>
    <row r="121" spans="2:11">
      <c r="B121" s="6"/>
      <c r="D121" s="6"/>
      <c r="E121" s="6"/>
      <c r="F121" s="6"/>
      <c r="G121" s="6"/>
      <c r="H121" s="6"/>
      <c r="I121" s="6"/>
      <c r="J121" s="6"/>
      <c r="K121" s="6"/>
    </row>
    <row r="122" spans="2:11">
      <c r="B122" s="6"/>
      <c r="D122" s="6"/>
      <c r="E122" s="6"/>
      <c r="F122" s="6"/>
      <c r="G122" s="6"/>
      <c r="H122" s="6"/>
      <c r="I122" s="6"/>
      <c r="J122" s="6"/>
      <c r="K122" s="6"/>
    </row>
    <row r="123" spans="2:11">
      <c r="B123" s="6"/>
      <c r="D123" s="6"/>
      <c r="E123" s="6"/>
      <c r="F123" s="6"/>
      <c r="G123" s="6"/>
      <c r="H123" s="6"/>
      <c r="I123" s="6"/>
      <c r="J123" s="6"/>
      <c r="K123" s="6"/>
    </row>
    <row r="124" spans="2:11">
      <c r="B124" s="6"/>
      <c r="D124" s="6"/>
      <c r="E124" s="6"/>
      <c r="F124" s="6"/>
      <c r="G124" s="6"/>
      <c r="H124" s="6"/>
      <c r="I124" s="6"/>
      <c r="J124" s="6"/>
      <c r="K124" s="6"/>
    </row>
    <row r="125" spans="2:11">
      <c r="B125" s="6"/>
      <c r="D125" s="6"/>
      <c r="E125" s="6"/>
      <c r="F125" s="6"/>
      <c r="G125" s="6"/>
      <c r="H125" s="6"/>
      <c r="I125" s="6"/>
      <c r="J125" s="6"/>
      <c r="K125" s="6"/>
    </row>
    <row r="126" spans="2:11">
      <c r="B126" s="6"/>
      <c r="D126" s="6"/>
      <c r="E126" s="6"/>
      <c r="F126" s="6"/>
      <c r="G126" s="6"/>
      <c r="H126" s="6"/>
      <c r="I126" s="6"/>
      <c r="J126" s="6"/>
      <c r="K126" s="6"/>
    </row>
    <row r="127" spans="2:11">
      <c r="B127" s="6"/>
      <c r="D127" s="6"/>
      <c r="E127" s="6"/>
      <c r="F127" s="6"/>
      <c r="G127" s="6"/>
      <c r="H127" s="6"/>
      <c r="I127" s="6"/>
      <c r="J127" s="6"/>
      <c r="K127" s="6"/>
    </row>
    <row r="128" spans="2:11">
      <c r="B128" s="6"/>
      <c r="D128" s="6"/>
      <c r="E128" s="6"/>
      <c r="F128" s="6"/>
      <c r="G128" s="6"/>
      <c r="H128" s="6"/>
      <c r="I128" s="6"/>
      <c r="J128" s="6"/>
      <c r="K128" s="6"/>
    </row>
    <row r="129" spans="2:11">
      <c r="B129" s="6"/>
      <c r="D129" s="6"/>
      <c r="E129" s="6"/>
      <c r="F129" s="6"/>
      <c r="G129" s="6"/>
      <c r="H129" s="6"/>
      <c r="I129" s="6"/>
      <c r="J129" s="6"/>
      <c r="K129" s="6"/>
    </row>
    <row r="130" spans="2:11">
      <c r="B130" s="6"/>
      <c r="D130" s="6"/>
      <c r="E130" s="6"/>
      <c r="F130" s="6"/>
      <c r="G130" s="6"/>
      <c r="H130" s="6"/>
      <c r="I130" s="6"/>
      <c r="J130" s="6"/>
      <c r="K130" s="6"/>
    </row>
    <row r="131" spans="2:11">
      <c r="B131" s="6"/>
      <c r="D131" s="6"/>
      <c r="E131" s="6"/>
      <c r="F131" s="6"/>
      <c r="G131" s="6"/>
      <c r="H131" s="6"/>
      <c r="I131" s="6"/>
      <c r="J131" s="6"/>
      <c r="K131" s="6"/>
    </row>
    <row r="132" spans="2:11">
      <c r="B132" s="6"/>
      <c r="D132" s="6"/>
      <c r="E132" s="6"/>
      <c r="F132" s="6"/>
      <c r="G132" s="6"/>
      <c r="H132" s="6"/>
      <c r="I132" s="6"/>
      <c r="J132" s="6"/>
      <c r="K132" s="6"/>
    </row>
    <row r="133" spans="2:11">
      <c r="B133" s="6"/>
      <c r="D133" s="6"/>
      <c r="E133" s="6"/>
      <c r="F133" s="6"/>
      <c r="G133" s="6"/>
      <c r="H133" s="6"/>
      <c r="I133" s="6"/>
      <c r="J133" s="6"/>
      <c r="K133" s="6"/>
    </row>
    <row r="134" spans="2:11">
      <c r="B134" s="6"/>
      <c r="D134" s="6"/>
      <c r="E134" s="6"/>
      <c r="F134" s="6"/>
      <c r="G134" s="6"/>
      <c r="H134" s="6"/>
      <c r="I134" s="6"/>
      <c r="J134" s="6"/>
      <c r="K134" s="6"/>
    </row>
    <row r="135" spans="2:11">
      <c r="B135" s="6"/>
      <c r="D135" s="6"/>
      <c r="E135" s="6"/>
      <c r="F135" s="6"/>
      <c r="G135" s="6"/>
      <c r="H135" s="6"/>
      <c r="I135" s="6"/>
      <c r="J135" s="6"/>
      <c r="K135" s="6"/>
    </row>
    <row r="136" spans="2:11">
      <c r="B136" s="6"/>
      <c r="D136" s="6"/>
      <c r="E136" s="6"/>
      <c r="F136" s="6"/>
      <c r="G136" s="6"/>
      <c r="H136" s="6"/>
      <c r="I136" s="6"/>
      <c r="J136" s="6"/>
      <c r="K136" s="6"/>
    </row>
    <row r="137" spans="2:11">
      <c r="B137" s="6"/>
      <c r="D137" s="6"/>
      <c r="E137" s="6"/>
      <c r="F137" s="6"/>
      <c r="G137" s="6"/>
      <c r="H137" s="6"/>
      <c r="I137" s="6"/>
      <c r="J137" s="6"/>
      <c r="K137" s="6"/>
    </row>
    <row r="138" spans="2:11">
      <c r="B138" s="6"/>
      <c r="D138" s="6"/>
      <c r="E138" s="6"/>
      <c r="F138" s="6"/>
      <c r="G138" s="6"/>
      <c r="H138" s="6"/>
      <c r="I138" s="6"/>
      <c r="J138" s="6"/>
      <c r="K138" s="6"/>
    </row>
    <row r="139" spans="2:11">
      <c r="B139" s="6"/>
      <c r="D139" s="6"/>
      <c r="E139" s="6"/>
      <c r="F139" s="6"/>
      <c r="G139" s="6"/>
      <c r="H139" s="6"/>
      <c r="I139" s="6"/>
      <c r="J139" s="6"/>
      <c r="K139" s="6"/>
    </row>
    <row r="140" spans="2:11">
      <c r="B140" s="6"/>
      <c r="D140" s="6"/>
      <c r="E140" s="6"/>
      <c r="F140" s="6"/>
      <c r="G140" s="6"/>
      <c r="H140" s="6"/>
      <c r="I140" s="6"/>
      <c r="J140" s="6"/>
      <c r="K140" s="6"/>
    </row>
    <row r="141" spans="2:11">
      <c r="B141" s="6"/>
      <c r="D141" s="6"/>
      <c r="E141" s="6"/>
      <c r="F141" s="6"/>
      <c r="G141" s="6"/>
      <c r="H141" s="6"/>
      <c r="I141" s="6"/>
      <c r="J141" s="6"/>
      <c r="K141" s="6"/>
    </row>
    <row r="142" spans="2:11">
      <c r="B142" s="6"/>
      <c r="D142" s="6"/>
      <c r="E142" s="6"/>
      <c r="F142" s="6"/>
      <c r="G142" s="6"/>
      <c r="H142" s="6"/>
      <c r="I142" s="6"/>
      <c r="J142" s="6"/>
      <c r="K142" s="6"/>
    </row>
    <row r="143" spans="2:11">
      <c r="B143" s="6"/>
      <c r="D143" s="6"/>
      <c r="E143" s="6"/>
      <c r="F143" s="6"/>
      <c r="G143" s="6"/>
      <c r="H143" s="6"/>
      <c r="I143" s="6"/>
      <c r="J143" s="6"/>
      <c r="K143" s="6"/>
    </row>
    <row r="144" spans="2:11">
      <c r="B144" s="6"/>
      <c r="D144" s="6"/>
      <c r="E144" s="6"/>
      <c r="F144" s="6"/>
      <c r="G144" s="6"/>
      <c r="H144" s="6"/>
      <c r="I144" s="6"/>
      <c r="J144" s="6"/>
      <c r="K144" s="6"/>
    </row>
    <row r="145" spans="2:11">
      <c r="B145" s="6"/>
      <c r="D145" s="6"/>
      <c r="E145" s="6"/>
      <c r="F145" s="6"/>
      <c r="G145" s="6"/>
      <c r="H145" s="6"/>
      <c r="I145" s="6"/>
      <c r="J145" s="6"/>
      <c r="K145" s="6"/>
    </row>
    <row r="146" spans="2:11">
      <c r="B146" s="6"/>
      <c r="D146" s="6"/>
      <c r="E146" s="6"/>
      <c r="F146" s="6"/>
      <c r="G146" s="6"/>
      <c r="H146" s="6"/>
      <c r="I146" s="6"/>
      <c r="J146" s="6"/>
      <c r="K146" s="6"/>
    </row>
    <row r="147" spans="2:11">
      <c r="B147" s="6"/>
      <c r="D147" s="6"/>
      <c r="E147" s="6"/>
      <c r="F147" s="6"/>
      <c r="G147" s="6"/>
      <c r="H147" s="6"/>
      <c r="I147" s="6"/>
      <c r="J147" s="6"/>
      <c r="K147" s="6"/>
    </row>
    <row r="148" spans="2:11">
      <c r="B148" s="6"/>
      <c r="D148" s="6"/>
      <c r="E148" s="6"/>
      <c r="F148" s="6"/>
      <c r="G148" s="6"/>
      <c r="H148" s="6"/>
      <c r="I148" s="6"/>
      <c r="J148" s="6"/>
      <c r="K148" s="6"/>
    </row>
    <row r="149" spans="2:11">
      <c r="B149" s="6"/>
      <c r="D149" s="6"/>
      <c r="E149" s="6"/>
      <c r="F149" s="6"/>
      <c r="G149" s="6"/>
      <c r="H149" s="6"/>
      <c r="I149" s="6"/>
      <c r="J149" s="6"/>
      <c r="K149" s="6"/>
    </row>
    <row r="150" spans="2:11">
      <c r="B150" s="6"/>
      <c r="D150" s="6"/>
      <c r="E150" s="6"/>
      <c r="F150" s="6"/>
      <c r="G150" s="6"/>
      <c r="H150" s="6"/>
      <c r="I150" s="6"/>
      <c r="J150" s="6"/>
      <c r="K150" s="6"/>
    </row>
    <row r="151" spans="2:11">
      <c r="B151" s="6"/>
      <c r="D151" s="6"/>
      <c r="E151" s="6"/>
      <c r="F151" s="6"/>
      <c r="G151" s="6"/>
      <c r="H151" s="6"/>
      <c r="I151" s="6"/>
      <c r="J151" s="6"/>
      <c r="K151" s="6"/>
    </row>
    <row r="152" spans="2:11">
      <c r="B152" s="6"/>
      <c r="D152" s="6"/>
      <c r="E152" s="6"/>
      <c r="F152" s="6"/>
      <c r="G152" s="6"/>
      <c r="H152" s="6"/>
      <c r="I152" s="6"/>
      <c r="J152" s="6"/>
      <c r="K152" s="6"/>
    </row>
    <row r="153" spans="2:11">
      <c r="B153" s="6"/>
      <c r="D153" s="6"/>
      <c r="E153" s="6"/>
      <c r="F153" s="6"/>
      <c r="G153" s="6"/>
      <c r="H153" s="6"/>
      <c r="I153" s="6"/>
      <c r="J153" s="6"/>
      <c r="K153" s="6"/>
    </row>
    <row r="154" spans="2:11">
      <c r="B154" s="6"/>
      <c r="D154" s="6"/>
      <c r="E154" s="6"/>
      <c r="F154" s="6"/>
      <c r="G154" s="6"/>
      <c r="H154" s="6"/>
      <c r="I154" s="6"/>
      <c r="J154" s="6"/>
      <c r="K154" s="6"/>
    </row>
    <row r="155" spans="2:11">
      <c r="B155" s="6"/>
      <c r="D155" s="6"/>
      <c r="E155" s="6"/>
      <c r="F155" s="6"/>
      <c r="G155" s="6"/>
      <c r="H155" s="6"/>
      <c r="I155" s="6"/>
      <c r="J155" s="6"/>
      <c r="K155" s="6"/>
    </row>
    <row r="156" spans="2:11">
      <c r="B156" s="6"/>
      <c r="D156" s="6"/>
      <c r="E156" s="6"/>
      <c r="F156" s="6"/>
      <c r="G156" s="6"/>
      <c r="H156" s="6"/>
      <c r="I156" s="6"/>
      <c r="J156" s="6"/>
      <c r="K156" s="6"/>
    </row>
    <row r="157" spans="2:11">
      <c r="B157" s="6"/>
      <c r="D157" s="6"/>
      <c r="E157" s="6"/>
      <c r="F157" s="6"/>
      <c r="G157" s="6"/>
      <c r="H157" s="6"/>
      <c r="I157" s="6"/>
      <c r="J157" s="6"/>
      <c r="K157" s="6"/>
    </row>
    <row r="158" spans="2:11">
      <c r="B158" s="6"/>
      <c r="D158" s="6"/>
      <c r="E158" s="6"/>
      <c r="F158" s="6"/>
      <c r="G158" s="6"/>
      <c r="H158" s="6"/>
      <c r="I158" s="6"/>
      <c r="J158" s="6"/>
      <c r="K158" s="6"/>
    </row>
    <row r="159" spans="2:11">
      <c r="B159" s="6"/>
      <c r="D159" s="6"/>
      <c r="E159" s="6"/>
      <c r="F159" s="6"/>
      <c r="G159" s="6"/>
      <c r="H159" s="6"/>
      <c r="I159" s="6"/>
      <c r="J159" s="6"/>
      <c r="K159" s="6"/>
    </row>
    <row r="160" spans="2:11">
      <c r="B160" s="6"/>
      <c r="D160" s="6"/>
      <c r="E160" s="6"/>
      <c r="F160" s="6"/>
      <c r="G160" s="6"/>
      <c r="H160" s="6"/>
      <c r="I160" s="6"/>
      <c r="J160" s="6"/>
      <c r="K160" s="6"/>
    </row>
    <row r="161" spans="2:11">
      <c r="B161" s="6"/>
      <c r="D161" s="6"/>
      <c r="E161" s="6"/>
      <c r="F161" s="6"/>
      <c r="G161" s="6"/>
      <c r="H161" s="6"/>
      <c r="I161" s="6"/>
      <c r="J161" s="6"/>
      <c r="K161" s="6"/>
    </row>
    <row r="162" spans="2:11">
      <c r="B162" s="6"/>
      <c r="D162" s="6"/>
      <c r="E162" s="6"/>
      <c r="F162" s="6"/>
      <c r="G162" s="6"/>
      <c r="H162" s="6"/>
      <c r="I162" s="6"/>
      <c r="J162" s="6"/>
      <c r="K162" s="6"/>
    </row>
    <row r="163" spans="2:11">
      <c r="B163" s="6"/>
      <c r="D163" s="6"/>
      <c r="E163" s="6"/>
      <c r="F163" s="6"/>
      <c r="G163" s="6"/>
      <c r="H163" s="6"/>
      <c r="I163" s="6"/>
      <c r="J163" s="6"/>
      <c r="K163" s="6"/>
    </row>
    <row r="164" spans="2:11">
      <c r="B164" s="6"/>
      <c r="D164" s="6"/>
      <c r="E164" s="6"/>
      <c r="F164" s="6"/>
      <c r="G164" s="6"/>
      <c r="H164" s="6"/>
      <c r="I164" s="6"/>
      <c r="J164" s="6"/>
      <c r="K164" s="6"/>
    </row>
    <row r="165" spans="2:11">
      <c r="B165" s="6"/>
      <c r="D165" s="6"/>
      <c r="E165" s="6"/>
      <c r="F165" s="6"/>
      <c r="G165" s="6"/>
      <c r="H165" s="6"/>
      <c r="I165" s="6"/>
      <c r="J165" s="6"/>
      <c r="K165" s="6"/>
    </row>
    <row r="166" spans="2:11">
      <c r="B166" s="6"/>
      <c r="D166" s="6"/>
      <c r="E166" s="6"/>
      <c r="F166" s="6"/>
      <c r="G166" s="6"/>
      <c r="H166" s="6"/>
      <c r="I166" s="6"/>
      <c r="J166" s="6"/>
      <c r="K166" s="6"/>
    </row>
    <row r="167" spans="2:11">
      <c r="B167" s="6"/>
      <c r="D167" s="6"/>
      <c r="E167" s="6"/>
      <c r="F167" s="6"/>
      <c r="G167" s="6"/>
      <c r="H167" s="6"/>
      <c r="I167" s="6"/>
      <c r="J167" s="6"/>
      <c r="K167" s="6"/>
    </row>
    <row r="168" spans="2:11">
      <c r="B168" s="6"/>
      <c r="D168" s="6"/>
      <c r="E168" s="6"/>
      <c r="F168" s="6"/>
      <c r="G168" s="6"/>
      <c r="H168" s="6"/>
      <c r="I168" s="6"/>
      <c r="J168" s="6"/>
      <c r="K168" s="6"/>
    </row>
    <row r="169" spans="2:11">
      <c r="B169" s="6"/>
      <c r="D169" s="6"/>
      <c r="E169" s="6"/>
      <c r="F169" s="6"/>
      <c r="G169" s="6"/>
      <c r="H169" s="6"/>
      <c r="I169" s="6"/>
      <c r="J169" s="6"/>
      <c r="K169" s="6"/>
    </row>
    <row r="170" spans="2:11">
      <c r="B170" s="6"/>
      <c r="D170" s="6"/>
      <c r="E170" s="6"/>
      <c r="F170" s="6"/>
      <c r="G170" s="6"/>
      <c r="H170" s="6"/>
      <c r="I170" s="6"/>
      <c r="J170" s="6"/>
      <c r="K170" s="6"/>
    </row>
    <row r="171" spans="2:11">
      <c r="B171" s="6"/>
      <c r="D171" s="6"/>
      <c r="E171" s="6"/>
      <c r="F171" s="6"/>
      <c r="G171" s="6"/>
      <c r="H171" s="6"/>
      <c r="I171" s="6"/>
      <c r="J171" s="6"/>
      <c r="K171" s="6"/>
    </row>
    <row r="172" spans="2:11">
      <c r="B172" s="6"/>
      <c r="D172" s="6"/>
      <c r="E172" s="6"/>
      <c r="F172" s="6"/>
      <c r="G172" s="6"/>
      <c r="H172" s="6"/>
      <c r="I172" s="6"/>
      <c r="J172" s="6"/>
      <c r="K172" s="6"/>
    </row>
    <row r="173" spans="2:11">
      <c r="B173" s="6"/>
      <c r="D173" s="6"/>
      <c r="E173" s="6"/>
      <c r="F173" s="6"/>
      <c r="G173" s="6"/>
      <c r="H173" s="6"/>
      <c r="I173" s="6"/>
      <c r="J173" s="6"/>
      <c r="K173" s="6"/>
    </row>
    <row r="174" spans="2:11">
      <c r="B174" s="6"/>
      <c r="D174" s="6"/>
      <c r="E174" s="6"/>
      <c r="F174" s="6"/>
      <c r="G174" s="6"/>
      <c r="H174" s="6"/>
      <c r="I174" s="6"/>
      <c r="J174" s="6"/>
      <c r="K174" s="6"/>
    </row>
    <row r="175" spans="2:11">
      <c r="B175" s="6"/>
      <c r="D175" s="6"/>
      <c r="E175" s="6"/>
      <c r="F175" s="6"/>
      <c r="G175" s="6"/>
      <c r="H175" s="6"/>
      <c r="I175" s="6"/>
      <c r="J175" s="6"/>
      <c r="K175" s="6"/>
    </row>
    <row r="176" spans="2:11">
      <c r="B176" s="6"/>
      <c r="D176" s="6"/>
      <c r="E176" s="6"/>
      <c r="F176" s="6"/>
      <c r="G176" s="6"/>
      <c r="H176" s="6"/>
      <c r="I176" s="6"/>
      <c r="J176" s="6"/>
      <c r="K176" s="6"/>
    </row>
    <row r="177" spans="2:11">
      <c r="B177" s="6"/>
      <c r="D177" s="6"/>
      <c r="E177" s="6"/>
      <c r="F177" s="6"/>
      <c r="G177" s="6"/>
      <c r="H177" s="6"/>
      <c r="I177" s="6"/>
      <c r="J177" s="6"/>
      <c r="K177" s="6"/>
    </row>
    <row r="178" spans="2:11">
      <c r="B178" s="6"/>
      <c r="D178" s="6"/>
      <c r="E178" s="6"/>
      <c r="F178" s="6"/>
      <c r="G178" s="6"/>
      <c r="H178" s="6"/>
      <c r="I178" s="6"/>
      <c r="J178" s="6"/>
      <c r="K178" s="6"/>
    </row>
    <row r="179" spans="2:11">
      <c r="B179" s="6"/>
      <c r="D179" s="6"/>
      <c r="E179" s="6"/>
      <c r="F179" s="6"/>
      <c r="G179" s="6"/>
      <c r="H179" s="6"/>
      <c r="I179" s="6"/>
      <c r="J179" s="6"/>
      <c r="K179" s="6"/>
    </row>
  </sheetData>
  <sheetProtection insertRows="0"/>
  <mergeCells count="25">
    <mergeCell ref="A1:P1"/>
    <mergeCell ref="A2:P2"/>
    <mergeCell ref="A3:P3"/>
    <mergeCell ref="A4:D4"/>
    <mergeCell ref="A5:P5"/>
    <mergeCell ref="B60:E61"/>
    <mergeCell ref="B67:B75"/>
    <mergeCell ref="B77:B83"/>
    <mergeCell ref="B84:B97"/>
    <mergeCell ref="D15:K15"/>
    <mergeCell ref="D23:K23"/>
    <mergeCell ref="D24:K24"/>
    <mergeCell ref="D25:K25"/>
    <mergeCell ref="D34:K34"/>
    <mergeCell ref="D35:K35"/>
    <mergeCell ref="B37:E37"/>
    <mergeCell ref="B38:B44"/>
    <mergeCell ref="B46:E46"/>
    <mergeCell ref="B47:B53"/>
    <mergeCell ref="B15:B25"/>
    <mergeCell ref="B10:D10"/>
    <mergeCell ref="F10:S10"/>
    <mergeCell ref="F11:S11"/>
    <mergeCell ref="E12:R12"/>
    <mergeCell ref="E13:R13"/>
  </mergeCells>
  <conditionalFormatting sqref="F10">
    <cfRule type="notContainsBlanks" dxfId="70" priority="4">
      <formula>LEN(TRIM(F10))&gt;0</formula>
    </cfRule>
  </conditionalFormatting>
  <conditionalFormatting sqref="F11:S11">
    <cfRule type="expression" dxfId="69" priority="2">
      <formula>E11="NO SE REPORTA"</formula>
    </cfRule>
    <cfRule type="expression" dxfId="68" priority="3">
      <formula>E10="NO APLICA"</formula>
    </cfRule>
  </conditionalFormatting>
  <conditionalFormatting sqref="E12:R12">
    <cfRule type="expression" dxfId="67" priority="1">
      <formula>E11="SI SE REPORTA"</formula>
    </cfRule>
  </conditionalFormatting>
  <dataValidations count="4">
    <dataValidation type="whole" operator="greaterThanOrEqual" allowBlank="1" showInputMessage="1" showErrorMessage="1" errorTitle="ERROR" error="Valor en PESOS (sin centavos)" sqref="G27:J32">
      <formula1>0</formula1>
    </dataValidation>
    <dataValidation type="whole" operator="greaterThanOrEqual" allowBlank="1" showInputMessage="1" showErrorMessage="1" errorTitle="ERROR" error="Valor en HECTAREAS (sin decimales)" sqref="F27:F32 E17:H20">
      <formula1>0</formula1>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 ref="E42" r:id="rId1"/>
  </hyperlinks>
  <pageMargins left="0.25" right="0.25" top="0.75" bottom="0.75" header="0.3" footer="0.3"/>
  <pageSetup paperSize="178" orientation="landscape" horizontalDpi="1200" verticalDpi="1200"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82"/>
  <sheetViews>
    <sheetView showGridLines="0" zoomScale="98" zoomScaleNormal="98" workbookViewId="0">
      <selection activeCell="K24" sqref="K24"/>
    </sheetView>
  </sheetViews>
  <sheetFormatPr baseColWidth="10" defaultRowHeight="15"/>
  <cols>
    <col min="1" max="1" width="1.85546875" customWidth="1"/>
    <col min="2" max="2" width="12.85546875" customWidth="1"/>
    <col min="3" max="3" width="5" style="88" bestFit="1" customWidth="1"/>
    <col min="4" max="4" width="34.85546875" customWidth="1"/>
    <col min="5" max="5" width="15" customWidth="1"/>
    <col min="10" max="10" width="33.140625" customWidth="1"/>
  </cols>
  <sheetData>
    <row r="1" spans="1:21" s="551" customFormat="1" ht="100.5" customHeight="1" thickBot="1">
      <c r="A1" s="1344"/>
      <c r="B1" s="1345"/>
      <c r="C1" s="1345"/>
      <c r="D1" s="1345"/>
      <c r="E1" s="1345"/>
      <c r="F1" s="1345"/>
      <c r="G1" s="1345"/>
      <c r="H1" s="1345"/>
      <c r="I1" s="1345"/>
      <c r="J1" s="1345"/>
      <c r="K1" s="1345"/>
      <c r="L1" s="1345"/>
      <c r="M1" s="1345"/>
      <c r="N1" s="1345"/>
      <c r="O1" s="1345"/>
      <c r="P1" s="1346"/>
      <c r="Q1" s="413"/>
      <c r="R1" s="413"/>
    </row>
    <row r="2" spans="1:21" s="552" customFormat="1" ht="16.5" thickBot="1">
      <c r="A2" s="1352" t="str">
        <f>'Datos Generales'!C5</f>
        <v>Corporación Autónoma Regional de La Guajira – CORPOGUAJIRA</v>
      </c>
      <c r="B2" s="1353"/>
      <c r="C2" s="1353"/>
      <c r="D2" s="1353"/>
      <c r="E2" s="1353"/>
      <c r="F2" s="1353"/>
      <c r="G2" s="1353"/>
      <c r="H2" s="1353"/>
      <c r="I2" s="1353"/>
      <c r="J2" s="1353"/>
      <c r="K2" s="1353"/>
      <c r="L2" s="1353"/>
      <c r="M2" s="1353"/>
      <c r="N2" s="1353"/>
      <c r="O2" s="1353"/>
      <c r="P2" s="1354"/>
      <c r="Q2" s="413"/>
      <c r="R2" s="413"/>
    </row>
    <row r="3" spans="1:21" s="552" customFormat="1" ht="16.5" thickBot="1">
      <c r="A3" s="1347" t="s">
        <v>1419</v>
      </c>
      <c r="B3" s="1348"/>
      <c r="C3" s="1348"/>
      <c r="D3" s="1348"/>
      <c r="E3" s="1348"/>
      <c r="F3" s="1348"/>
      <c r="G3" s="1348"/>
      <c r="H3" s="1348"/>
      <c r="I3" s="1348"/>
      <c r="J3" s="1348"/>
      <c r="K3" s="1348"/>
      <c r="L3" s="1348"/>
      <c r="M3" s="1348"/>
      <c r="N3" s="1348"/>
      <c r="O3" s="1348"/>
      <c r="P3" s="1349"/>
      <c r="Q3" s="413"/>
      <c r="R3" s="413"/>
    </row>
    <row r="4" spans="1:21" s="552" customFormat="1" ht="16.5" thickBot="1">
      <c r="A4" s="1350" t="s">
        <v>1418</v>
      </c>
      <c r="B4" s="1351"/>
      <c r="C4" s="1351"/>
      <c r="D4" s="1351"/>
      <c r="E4" s="571" t="str">
        <f>'Datos Generales'!C6</f>
        <v>2016-II</v>
      </c>
      <c r="F4" s="571"/>
      <c r="G4" s="571"/>
      <c r="H4" s="571"/>
      <c r="I4" s="571"/>
      <c r="J4" s="571"/>
      <c r="K4" s="571"/>
      <c r="L4" s="572"/>
      <c r="M4" s="572"/>
      <c r="N4" s="572"/>
      <c r="O4" s="572"/>
      <c r="P4" s="573"/>
      <c r="Q4" s="413"/>
      <c r="R4" s="413"/>
    </row>
    <row r="5" spans="1:21" s="245" customFormat="1" ht="16.5" customHeight="1" thickBot="1">
      <c r="A5" s="1347" t="s">
        <v>594</v>
      </c>
      <c r="B5" s="1348"/>
      <c r="C5" s="1348"/>
      <c r="D5" s="1348"/>
      <c r="E5" s="1348"/>
      <c r="F5" s="1348"/>
      <c r="G5" s="1348"/>
      <c r="H5" s="1348"/>
      <c r="I5" s="1348"/>
      <c r="J5" s="1348"/>
      <c r="K5" s="1348"/>
      <c r="L5" s="1348"/>
      <c r="M5" s="1348"/>
      <c r="N5" s="1348"/>
      <c r="O5" s="1348"/>
      <c r="P5" s="1349"/>
    </row>
    <row r="6" spans="1:21">
      <c r="B6" s="2" t="s">
        <v>1</v>
      </c>
      <c r="C6" s="77"/>
      <c r="D6" s="6"/>
      <c r="E6" s="75"/>
      <c r="F6" s="6" t="s">
        <v>133</v>
      </c>
      <c r="G6" s="6"/>
      <c r="H6" s="6"/>
      <c r="I6" s="6"/>
      <c r="J6" s="6"/>
      <c r="K6" s="6"/>
    </row>
    <row r="7" spans="1:21" ht="15.75" thickBot="1">
      <c r="B7" s="76"/>
      <c r="C7" s="78"/>
      <c r="D7" s="6"/>
      <c r="E7" s="18"/>
      <c r="F7" s="6" t="s">
        <v>134</v>
      </c>
      <c r="G7" s="6"/>
      <c r="H7" s="6"/>
      <c r="I7" s="6"/>
      <c r="J7" s="6"/>
      <c r="K7" s="6"/>
    </row>
    <row r="8" spans="1:21" ht="15.75" thickBot="1">
      <c r="B8" s="177" t="s">
        <v>1204</v>
      </c>
      <c r="C8" s="222">
        <v>2017</v>
      </c>
      <c r="D8" s="226" t="str">
        <f>IF(E10="NO APLICA","NO APLICA",IF(E11="NO SE REPORTA","SIN INFORMACION",+I34))</f>
        <v>SIN INFORMACION</v>
      </c>
      <c r="E8" s="223"/>
      <c r="F8" s="6" t="s">
        <v>135</v>
      </c>
      <c r="G8" s="6"/>
      <c r="H8" s="6"/>
      <c r="I8" s="6"/>
      <c r="J8" s="6"/>
      <c r="K8" s="6"/>
    </row>
    <row r="9" spans="1:21">
      <c r="B9" s="507" t="s">
        <v>1205</v>
      </c>
      <c r="D9" s="6"/>
      <c r="E9" s="6"/>
      <c r="F9" s="6"/>
      <c r="G9" s="6"/>
      <c r="H9" s="6"/>
      <c r="I9" s="6"/>
      <c r="J9" s="6"/>
      <c r="K9" s="6"/>
    </row>
    <row r="10" spans="1:21" s="413" customFormat="1">
      <c r="A10" s="245"/>
      <c r="B10" s="1412" t="s">
        <v>1265</v>
      </c>
      <c r="C10" s="1412"/>
      <c r="D10" s="1412"/>
      <c r="E10" s="513" t="s">
        <v>1262</v>
      </c>
      <c r="F10" s="1419"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xml:space="preserve">      ESCRIBA EL NÚMERO DEL ACUERDO DEL CONSEJO DIRECTIVO EN LA CUAL SE APRUEBA LA AGENDA DE IMPLEMENTACION DEL INDICADOR</v>
      </c>
      <c r="G10" s="1420"/>
      <c r="H10" s="1420"/>
      <c r="I10" s="1420"/>
      <c r="J10" s="1420"/>
      <c r="K10" s="1420"/>
      <c r="L10" s="1420"/>
      <c r="M10" s="1420"/>
      <c r="N10" s="1420"/>
      <c r="O10" s="1420"/>
      <c r="P10" s="1420"/>
      <c r="Q10" s="1420"/>
      <c r="R10" s="1420"/>
      <c r="S10" s="1420"/>
      <c r="T10" s="509"/>
      <c r="U10" s="509"/>
    </row>
    <row r="11" spans="1:21" s="413" customFormat="1" ht="14.45" customHeight="1">
      <c r="A11" s="245"/>
      <c r="B11" s="510"/>
      <c r="C11" s="511"/>
      <c r="D11" s="512" t="str">
        <f>IF(E10="SI APLICA","¿El indicador no se reporta por limitaciones de información disponible? ","")</f>
        <v xml:space="preserve">¿El indicador no se reporta por limitaciones de información disponible? </v>
      </c>
      <c r="E11" s="514" t="s">
        <v>1263</v>
      </c>
      <c r="F11" s="1413" t="s">
        <v>1704</v>
      </c>
      <c r="G11" s="1414"/>
      <c r="H11" s="1414"/>
      <c r="I11" s="1414"/>
      <c r="J11" s="1414"/>
      <c r="K11" s="1414"/>
      <c r="L11" s="1414"/>
      <c r="M11" s="1414"/>
      <c r="N11" s="1414"/>
      <c r="O11" s="1414"/>
      <c r="P11" s="1414"/>
      <c r="Q11" s="1414"/>
      <c r="R11" s="1414"/>
      <c r="S11" s="1414"/>
    </row>
    <row r="12" spans="1:21" s="413" customFormat="1" ht="23.45" customHeight="1">
      <c r="A12" s="245"/>
      <c r="B12" s="507"/>
      <c r="C12" s="304"/>
      <c r="D12" s="512" t="str">
        <f>IF(E11="SI SE REPORTA","¿Qué programas o proyectos del Plan de Acción están asociados al indicador? ","")</f>
        <v/>
      </c>
      <c r="E12" s="1415" t="str">
        <f>'Anexo 1 Matriz Inf Gestión'!E49:H49</f>
        <v>Proyecto No 3.1. Ecosistemas estratégicos continentales y marinos (6).</v>
      </c>
      <c r="F12" s="1415"/>
      <c r="G12" s="1415"/>
      <c r="H12" s="1415"/>
      <c r="I12" s="1415"/>
      <c r="J12" s="1415"/>
      <c r="K12" s="1415"/>
      <c r="L12" s="1415"/>
      <c r="M12" s="1415"/>
      <c r="N12" s="1415"/>
      <c r="O12" s="1415"/>
      <c r="P12" s="1415"/>
      <c r="Q12" s="1415"/>
      <c r="R12" s="1415"/>
    </row>
    <row r="13" spans="1:21" s="413" customFormat="1" ht="21.95" customHeight="1">
      <c r="A13" s="245"/>
      <c r="B13" s="507"/>
      <c r="C13" s="304"/>
      <c r="D13" s="512" t="s">
        <v>1267</v>
      </c>
      <c r="E13" s="1416"/>
      <c r="F13" s="1417"/>
      <c r="G13" s="1417"/>
      <c r="H13" s="1417"/>
      <c r="I13" s="1417"/>
      <c r="J13" s="1417"/>
      <c r="K13" s="1417"/>
      <c r="L13" s="1417"/>
      <c r="M13" s="1417"/>
      <c r="N13" s="1417"/>
      <c r="O13" s="1417"/>
      <c r="P13" s="1417"/>
      <c r="Q13" s="1417"/>
      <c r="R13" s="1418"/>
    </row>
    <row r="14" spans="1:21" s="413" customFormat="1" ht="6.95" customHeight="1" thickBot="1">
      <c r="B14" s="507"/>
      <c r="C14" s="88"/>
      <c r="D14" s="6"/>
      <c r="E14" s="6"/>
      <c r="F14" s="6"/>
      <c r="G14" s="6"/>
      <c r="H14" s="6"/>
      <c r="I14" s="6"/>
      <c r="J14" s="6"/>
      <c r="K14" s="6"/>
    </row>
    <row r="15" spans="1:21" ht="15" customHeight="1" thickTop="1">
      <c r="B15" s="1456" t="s">
        <v>2</v>
      </c>
      <c r="C15" s="90"/>
      <c r="D15" s="1458" t="s">
        <v>344</v>
      </c>
      <c r="E15" s="1459"/>
      <c r="F15" s="1459"/>
      <c r="G15" s="1459"/>
      <c r="H15" s="1459"/>
      <c r="I15" s="1459"/>
      <c r="J15" s="1459"/>
      <c r="K15" s="1460"/>
    </row>
    <row r="16" spans="1:21" ht="15.75" thickBot="1">
      <c r="B16" s="1457"/>
      <c r="C16" s="93"/>
      <c r="D16" s="1566" t="s">
        <v>625</v>
      </c>
      <c r="E16" s="1567"/>
      <c r="F16" s="1567"/>
      <c r="G16" s="1567"/>
      <c r="H16" s="1567"/>
      <c r="I16" s="1567"/>
      <c r="J16" s="1567"/>
      <c r="K16" s="1568"/>
    </row>
    <row r="17" spans="2:11" ht="15.75" thickBot="1">
      <c r="B17" s="1457"/>
      <c r="C17" s="91" t="s">
        <v>24</v>
      </c>
      <c r="D17" s="39" t="s">
        <v>261</v>
      </c>
      <c r="E17" s="39" t="s">
        <v>25</v>
      </c>
      <c r="F17" s="39" t="s">
        <v>26</v>
      </c>
      <c r="G17" s="39" t="s">
        <v>27</v>
      </c>
      <c r="H17" s="39" t="s">
        <v>28</v>
      </c>
      <c r="I17" s="39" t="s">
        <v>262</v>
      </c>
      <c r="K17" s="22"/>
    </row>
    <row r="18" spans="2:11" ht="24.75" thickBot="1">
      <c r="B18" s="1457"/>
      <c r="C18" s="92" t="s">
        <v>158</v>
      </c>
      <c r="D18" s="41" t="s">
        <v>626</v>
      </c>
      <c r="E18" s="7"/>
      <c r="F18" s="7">
        <v>0</v>
      </c>
      <c r="G18" s="7"/>
      <c r="H18" s="7"/>
      <c r="I18" s="43">
        <f t="shared" ref="I18" si="0">SUM(E18:H18)</f>
        <v>0</v>
      </c>
      <c r="K18" s="22"/>
    </row>
    <row r="19" spans="2:11" ht="15.75" thickBot="1">
      <c r="B19" s="1457"/>
      <c r="C19" s="93"/>
      <c r="D19" s="1492" t="s">
        <v>627</v>
      </c>
      <c r="E19" s="1493"/>
      <c r="F19" s="1493"/>
      <c r="G19" s="1493"/>
      <c r="H19" s="1493"/>
      <c r="I19" s="1493"/>
      <c r="J19" s="1493"/>
      <c r="K19" s="1494"/>
    </row>
    <row r="20" spans="2:11" ht="15" customHeight="1" thickBot="1">
      <c r="B20" s="437"/>
      <c r="C20" s="1520" t="s">
        <v>24</v>
      </c>
      <c r="D20" s="1447" t="s">
        <v>278</v>
      </c>
      <c r="E20" s="1447" t="s">
        <v>628</v>
      </c>
      <c r="F20" s="1453" t="s">
        <v>629</v>
      </c>
      <c r="G20" s="1454"/>
      <c r="H20" s="1454"/>
      <c r="I20" s="1454"/>
      <c r="J20" s="1455"/>
      <c r="K20" s="117"/>
    </row>
    <row r="21" spans="2:11" ht="34.5" thickBot="1">
      <c r="B21" s="437"/>
      <c r="C21" s="1521"/>
      <c r="D21" s="1449"/>
      <c r="E21" s="1449"/>
      <c r="F21" s="70" t="s">
        <v>630</v>
      </c>
      <c r="G21" s="66" t="s">
        <v>631</v>
      </c>
      <c r="H21" s="66" t="s">
        <v>632</v>
      </c>
      <c r="I21" s="66" t="s">
        <v>633</v>
      </c>
      <c r="J21" s="66" t="s">
        <v>60</v>
      </c>
      <c r="K21" s="118"/>
    </row>
    <row r="22" spans="2:11" ht="36.75" customHeight="1" thickBot="1">
      <c r="B22" s="437"/>
      <c r="C22" s="31"/>
      <c r="D22" s="30" t="s">
        <v>1763</v>
      </c>
      <c r="E22" s="1569" t="s">
        <v>634</v>
      </c>
      <c r="F22" s="1053"/>
      <c r="G22" s="32"/>
      <c r="H22" s="1051">
        <v>0.2</v>
      </c>
      <c r="I22" s="147">
        <f>+G22*H22</f>
        <v>0</v>
      </c>
      <c r="J22" s="482"/>
      <c r="K22" s="118"/>
    </row>
    <row r="23" spans="2:11" s="413" customFormat="1" ht="36.75" customHeight="1" thickBot="1">
      <c r="B23" s="1045"/>
      <c r="C23" s="31"/>
      <c r="D23" s="30" t="s">
        <v>1764</v>
      </c>
      <c r="E23" s="1570"/>
      <c r="F23" s="1053"/>
      <c r="G23" s="1054"/>
      <c r="H23" s="1053"/>
      <c r="I23" s="1055"/>
      <c r="J23" s="30"/>
      <c r="K23" s="118"/>
    </row>
    <row r="24" spans="2:11" s="413" customFormat="1" ht="36.75" customHeight="1" thickBot="1">
      <c r="B24" s="1045"/>
      <c r="C24" s="31"/>
      <c r="D24" s="30" t="s">
        <v>1765</v>
      </c>
      <c r="E24" s="1571"/>
      <c r="F24" s="1053"/>
      <c r="G24" s="32"/>
      <c r="H24" s="1052"/>
      <c r="I24" s="147"/>
      <c r="J24" s="30"/>
      <c r="K24" s="118"/>
    </row>
    <row r="25" spans="2:11" s="413" customFormat="1" ht="36.75" customHeight="1" thickBot="1">
      <c r="B25" s="1045"/>
      <c r="C25" s="31"/>
      <c r="D25" s="31" t="s">
        <v>1761</v>
      </c>
      <c r="E25" s="1555" t="s">
        <v>635</v>
      </c>
      <c r="F25" s="1558"/>
      <c r="G25" s="32"/>
      <c r="H25" s="1051"/>
      <c r="I25" s="147"/>
      <c r="J25" s="30"/>
      <c r="K25" s="118"/>
    </row>
    <row r="26" spans="2:11" s="413" customFormat="1" ht="15.75" thickBot="1">
      <c r="B26" s="1045"/>
      <c r="C26" s="31"/>
      <c r="D26" s="31" t="s">
        <v>1762</v>
      </c>
      <c r="E26" s="1556"/>
      <c r="F26" s="1558"/>
      <c r="G26" s="1054"/>
      <c r="H26" s="1053"/>
      <c r="I26" s="1055"/>
      <c r="J26" s="30"/>
      <c r="K26" s="118"/>
    </row>
    <row r="27" spans="2:11" ht="15.75" thickBot="1">
      <c r="B27" s="437"/>
      <c r="C27" s="379"/>
      <c r="D27" s="31" t="s">
        <v>1760</v>
      </c>
      <c r="E27" s="1557"/>
      <c r="F27" s="1559"/>
      <c r="G27" s="32"/>
      <c r="H27" s="1052">
        <v>0.2</v>
      </c>
      <c r="I27" s="147">
        <f t="shared" ref="I27:I33" si="1">+G27*H27</f>
        <v>0</v>
      </c>
      <c r="J27" s="30"/>
      <c r="K27" s="118"/>
    </row>
    <row r="28" spans="2:11" ht="60.75" thickBot="1">
      <c r="B28" s="437"/>
      <c r="C28" s="379"/>
      <c r="D28" s="30" t="s">
        <v>1766</v>
      </c>
      <c r="E28" s="481" t="s">
        <v>636</v>
      </c>
      <c r="F28" s="1050"/>
      <c r="G28" s="1050"/>
      <c r="H28" s="1050">
        <v>0.2</v>
      </c>
      <c r="I28" s="147">
        <f t="shared" si="1"/>
        <v>0</v>
      </c>
      <c r="J28" s="30"/>
      <c r="K28" s="118"/>
    </row>
    <row r="29" spans="2:11" ht="36.75" thickBot="1">
      <c r="B29" s="437"/>
      <c r="C29" s="379"/>
      <c r="D29" s="31"/>
      <c r="E29" s="481" t="s">
        <v>637</v>
      </c>
      <c r="F29" s="1050"/>
      <c r="G29" s="32"/>
      <c r="H29" s="1050">
        <v>0.2</v>
      </c>
      <c r="I29" s="147">
        <f t="shared" si="1"/>
        <v>0</v>
      </c>
      <c r="J29" s="30"/>
      <c r="K29" s="118"/>
    </row>
    <row r="30" spans="2:11" ht="36.75" thickBot="1">
      <c r="B30" s="437"/>
      <c r="C30" s="379"/>
      <c r="D30" s="31"/>
      <c r="E30" s="481" t="s">
        <v>638</v>
      </c>
      <c r="F30" s="1050"/>
      <c r="G30" s="32"/>
      <c r="H30" s="1050">
        <v>0.2</v>
      </c>
      <c r="I30" s="147">
        <f t="shared" si="1"/>
        <v>0</v>
      </c>
      <c r="J30" s="30"/>
      <c r="K30" s="118"/>
    </row>
    <row r="31" spans="2:11" ht="15.75" thickBot="1">
      <c r="B31" s="437"/>
      <c r="C31" s="379"/>
      <c r="D31" s="31"/>
      <c r="E31" s="31"/>
      <c r="F31" s="32"/>
      <c r="G31" s="32"/>
      <c r="H31" s="32"/>
      <c r="I31" s="147">
        <f t="shared" si="1"/>
        <v>0</v>
      </c>
      <c r="J31" s="30"/>
      <c r="K31" s="118"/>
    </row>
    <row r="32" spans="2:11" ht="15.75" thickBot="1">
      <c r="B32" s="437"/>
      <c r="C32" s="379"/>
      <c r="D32" s="31"/>
      <c r="E32" s="31"/>
      <c r="F32" s="32"/>
      <c r="G32" s="32"/>
      <c r="H32" s="32"/>
      <c r="I32" s="147">
        <f t="shared" si="1"/>
        <v>0</v>
      </c>
      <c r="J32" s="30"/>
      <c r="K32" s="118"/>
    </row>
    <row r="33" spans="2:11" ht="15.75" thickBot="1">
      <c r="B33" s="437"/>
      <c r="C33" s="379"/>
      <c r="D33" s="31"/>
      <c r="E33" s="31"/>
      <c r="F33" s="32"/>
      <c r="G33" s="32"/>
      <c r="H33" s="32"/>
      <c r="I33" s="147">
        <f t="shared" si="1"/>
        <v>0</v>
      </c>
      <c r="J33" s="30"/>
      <c r="K33" s="118"/>
    </row>
    <row r="34" spans="2:11" ht="15.75" thickBot="1">
      <c r="B34" s="437"/>
      <c r="C34" s="92"/>
      <c r="D34" s="40" t="s">
        <v>157</v>
      </c>
      <c r="E34" s="40"/>
      <c r="F34" s="40"/>
      <c r="G34" s="40"/>
      <c r="H34" s="207">
        <f>Formulas!D20</f>
        <v>1</v>
      </c>
      <c r="I34" s="147">
        <f>Formulas!E20</f>
        <v>0</v>
      </c>
      <c r="J34" s="41"/>
      <c r="K34" s="119"/>
    </row>
    <row r="35" spans="2:11" ht="15.75" thickBot="1">
      <c r="B35" s="438"/>
      <c r="C35" s="94"/>
      <c r="D35" s="1453" t="s">
        <v>639</v>
      </c>
      <c r="E35" s="1454"/>
      <c r="F35" s="1454"/>
      <c r="G35" s="1454"/>
      <c r="H35" s="1454"/>
      <c r="I35" s="1454"/>
      <c r="J35" s="1454"/>
      <c r="K35" s="1455"/>
    </row>
    <row r="36" spans="2:11" ht="24" customHeight="1" thickBot="1">
      <c r="B36" s="48" t="s">
        <v>39</v>
      </c>
      <c r="C36" s="94"/>
      <c r="D36" s="1453" t="s">
        <v>640</v>
      </c>
      <c r="E36" s="1454"/>
      <c r="F36" s="1454"/>
      <c r="G36" s="1454"/>
      <c r="H36" s="1454"/>
      <c r="I36" s="1454"/>
      <c r="J36" s="1454"/>
      <c r="K36" s="1455"/>
    </row>
    <row r="37" spans="2:11" ht="36" customHeight="1" thickBot="1">
      <c r="B37" s="48" t="s">
        <v>41</v>
      </c>
      <c r="C37" s="94"/>
      <c r="D37" s="1453" t="s">
        <v>641</v>
      </c>
      <c r="E37" s="1454"/>
      <c r="F37" s="1454"/>
      <c r="G37" s="1454"/>
      <c r="H37" s="1454"/>
      <c r="I37" s="1454"/>
      <c r="J37" s="1454"/>
      <c r="K37" s="1455"/>
    </row>
    <row r="38" spans="2:11" ht="15.75" thickBot="1">
      <c r="B38" s="2"/>
      <c r="C38" s="77"/>
      <c r="D38" s="6"/>
      <c r="E38" s="6"/>
      <c r="F38" s="6"/>
      <c r="G38" s="6"/>
      <c r="H38" s="6"/>
      <c r="I38" s="6"/>
      <c r="J38" s="6"/>
      <c r="K38" s="6"/>
    </row>
    <row r="39" spans="2:11" ht="24" customHeight="1" thickBot="1">
      <c r="B39" s="1450" t="s">
        <v>43</v>
      </c>
      <c r="C39" s="1451"/>
      <c r="D39" s="1451"/>
      <c r="E39" s="1452"/>
      <c r="F39" s="6"/>
      <c r="G39" s="6"/>
      <c r="H39" s="6"/>
      <c r="I39" s="6"/>
      <c r="J39" s="6"/>
      <c r="K39" s="6"/>
    </row>
    <row r="40" spans="2:11" ht="15.75" thickBot="1">
      <c r="B40" s="1447">
        <v>1</v>
      </c>
      <c r="C40" s="95"/>
      <c r="D40" s="49" t="s">
        <v>44</v>
      </c>
      <c r="E40" s="31" t="s">
        <v>1642</v>
      </c>
      <c r="F40" s="6"/>
      <c r="G40" s="6"/>
      <c r="H40" s="6"/>
      <c r="I40" s="6"/>
      <c r="J40" s="6"/>
      <c r="K40" s="6"/>
    </row>
    <row r="41" spans="2:11" ht="15.75" thickBot="1">
      <c r="B41" s="1448"/>
      <c r="C41" s="95"/>
      <c r="D41" s="41" t="s">
        <v>45</v>
      </c>
      <c r="E41" s="31" t="s">
        <v>1729</v>
      </c>
      <c r="F41" s="6"/>
      <c r="G41" s="6"/>
      <c r="H41" s="6"/>
      <c r="I41" s="6"/>
      <c r="J41" s="6"/>
      <c r="K41" s="6"/>
    </row>
    <row r="42" spans="2:11" ht="15.75" thickBot="1">
      <c r="B42" s="1448"/>
      <c r="C42" s="95"/>
      <c r="D42" s="41" t="s">
        <v>46</v>
      </c>
      <c r="E42" s="31" t="s">
        <v>1730</v>
      </c>
      <c r="F42" s="6"/>
      <c r="G42" s="6"/>
      <c r="H42" s="6"/>
      <c r="I42" s="6"/>
      <c r="J42" s="6"/>
      <c r="K42" s="6"/>
    </row>
    <row r="43" spans="2:11" ht="15.75" thickBot="1">
      <c r="B43" s="1448"/>
      <c r="C43" s="95"/>
      <c r="D43" s="41" t="s">
        <v>47</v>
      </c>
      <c r="E43" s="31" t="s">
        <v>1660</v>
      </c>
      <c r="F43" s="6"/>
      <c r="G43" s="6"/>
      <c r="H43" s="6"/>
      <c r="I43" s="6"/>
      <c r="J43" s="6"/>
      <c r="K43" s="6"/>
    </row>
    <row r="44" spans="2:11" ht="15.75" thickBot="1">
      <c r="B44" s="1448"/>
      <c r="C44" s="95"/>
      <c r="D44" s="41" t="s">
        <v>48</v>
      </c>
      <c r="E44" s="31" t="s">
        <v>1731</v>
      </c>
      <c r="F44" s="6"/>
      <c r="G44" s="6"/>
      <c r="H44" s="6"/>
      <c r="I44" s="6"/>
      <c r="J44" s="6"/>
      <c r="K44" s="6"/>
    </row>
    <row r="45" spans="2:11" ht="15.75" thickBot="1">
      <c r="B45" s="1448"/>
      <c r="C45" s="95"/>
      <c r="D45" s="41" t="s">
        <v>49</v>
      </c>
      <c r="E45" s="31"/>
      <c r="F45" s="6"/>
      <c r="G45" s="6"/>
      <c r="H45" s="6"/>
      <c r="I45" s="6"/>
      <c r="J45" s="6"/>
      <c r="K45" s="6"/>
    </row>
    <row r="46" spans="2:11" ht="15.75" thickBot="1">
      <c r="B46" s="1449"/>
      <c r="C46" s="3"/>
      <c r="D46" s="41" t="s">
        <v>50</v>
      </c>
      <c r="E46" s="31"/>
      <c r="F46" s="6"/>
      <c r="G46" s="6"/>
      <c r="H46" s="6"/>
      <c r="I46" s="6"/>
      <c r="J46" s="6"/>
      <c r="K46" s="6"/>
    </row>
    <row r="47" spans="2:11" ht="15.75" thickBot="1">
      <c r="B47" s="2"/>
      <c r="C47" s="77"/>
      <c r="D47" s="6"/>
      <c r="E47" s="6"/>
      <c r="F47" s="6"/>
      <c r="G47" s="6"/>
      <c r="H47" s="6"/>
      <c r="I47" s="6"/>
      <c r="J47" s="6"/>
      <c r="K47" s="6"/>
    </row>
    <row r="48" spans="2:11" ht="15.75" thickBot="1">
      <c r="B48" s="1450" t="s">
        <v>51</v>
      </c>
      <c r="C48" s="1451"/>
      <c r="D48" s="1451"/>
      <c r="E48" s="1452"/>
      <c r="F48" s="6"/>
      <c r="G48" s="6"/>
      <c r="H48" s="6"/>
      <c r="I48" s="6"/>
      <c r="J48" s="6"/>
      <c r="K48" s="6"/>
    </row>
    <row r="49" spans="2:11" ht="15.75" thickBot="1">
      <c r="B49" s="1447">
        <v>1</v>
      </c>
      <c r="C49" s="95"/>
      <c r="D49" s="49" t="s">
        <v>44</v>
      </c>
      <c r="E49" s="445" t="s">
        <v>52</v>
      </c>
      <c r="F49" s="6"/>
      <c r="G49" s="6"/>
      <c r="H49" s="6"/>
      <c r="I49" s="6"/>
      <c r="J49" s="6"/>
      <c r="K49" s="6"/>
    </row>
    <row r="50" spans="2:11" ht="15.75" thickBot="1">
      <c r="B50" s="1448"/>
      <c r="C50" s="95"/>
      <c r="D50" s="41" t="s">
        <v>45</v>
      </c>
      <c r="E50" s="445" t="s">
        <v>53</v>
      </c>
      <c r="F50" s="6"/>
      <c r="G50" s="6"/>
      <c r="H50" s="6"/>
      <c r="I50" s="6"/>
      <c r="J50" s="6"/>
      <c r="K50" s="6"/>
    </row>
    <row r="51" spans="2:11" ht="15.75" thickBot="1">
      <c r="B51" s="1448"/>
      <c r="C51" s="95"/>
      <c r="D51" s="41" t="s">
        <v>46</v>
      </c>
      <c r="E51" s="315"/>
      <c r="F51" s="6"/>
      <c r="G51" s="6"/>
      <c r="H51" s="6"/>
      <c r="I51" s="6"/>
      <c r="J51" s="6"/>
      <c r="K51" s="6"/>
    </row>
    <row r="52" spans="2:11" ht="15.75" thickBot="1">
      <c r="B52" s="1448"/>
      <c r="C52" s="95"/>
      <c r="D52" s="41" t="s">
        <v>47</v>
      </c>
      <c r="E52" s="315"/>
      <c r="F52" s="6"/>
      <c r="G52" s="6"/>
      <c r="H52" s="6"/>
      <c r="I52" s="6"/>
      <c r="J52" s="6"/>
      <c r="K52" s="6"/>
    </row>
    <row r="53" spans="2:11" ht="15.75" thickBot="1">
      <c r="B53" s="1448"/>
      <c r="C53" s="95"/>
      <c r="D53" s="41" t="s">
        <v>48</v>
      </c>
      <c r="E53" s="315"/>
      <c r="F53" s="6"/>
      <c r="G53" s="6"/>
      <c r="H53" s="6"/>
      <c r="I53" s="6"/>
      <c r="J53" s="6"/>
      <c r="K53" s="6"/>
    </row>
    <row r="54" spans="2:11" ht="15.75" thickBot="1">
      <c r="B54" s="1448"/>
      <c r="C54" s="95"/>
      <c r="D54" s="41" t="s">
        <v>49</v>
      </c>
      <c r="E54" s="315"/>
      <c r="F54" s="6"/>
      <c r="G54" s="6"/>
      <c r="H54" s="6"/>
      <c r="I54" s="6"/>
      <c r="J54" s="6"/>
      <c r="K54" s="6"/>
    </row>
    <row r="55" spans="2:11" ht="15.75" thickBot="1">
      <c r="B55" s="1449"/>
      <c r="C55" s="3"/>
      <c r="D55" s="41" t="s">
        <v>50</v>
      </c>
      <c r="E55" s="315"/>
      <c r="F55" s="6"/>
      <c r="G55" s="6"/>
      <c r="H55" s="6"/>
      <c r="I55" s="6"/>
      <c r="J55" s="6"/>
      <c r="K55" s="6"/>
    </row>
    <row r="56" spans="2:11" ht="15.75" thickBot="1">
      <c r="B56" s="2"/>
      <c r="C56" s="77"/>
      <c r="D56" s="6"/>
      <c r="E56" s="6"/>
      <c r="F56" s="6"/>
      <c r="G56" s="6"/>
      <c r="H56" s="6"/>
      <c r="I56" s="6"/>
      <c r="J56" s="6"/>
      <c r="K56" s="6"/>
    </row>
    <row r="57" spans="2:11" ht="15" customHeight="1" thickBot="1">
      <c r="B57" s="125" t="s">
        <v>54</v>
      </c>
      <c r="C57" s="126"/>
      <c r="D57" s="126"/>
      <c r="E57" s="127"/>
      <c r="G57" s="6"/>
      <c r="H57" s="6"/>
      <c r="I57" s="6"/>
      <c r="J57" s="6"/>
      <c r="K57" s="6"/>
    </row>
    <row r="58" spans="2:11" ht="24.75" thickBot="1">
      <c r="B58" s="48" t="s">
        <v>55</v>
      </c>
      <c r="C58" s="41" t="s">
        <v>56</v>
      </c>
      <c r="D58" s="41" t="s">
        <v>57</v>
      </c>
      <c r="E58" s="41" t="s">
        <v>58</v>
      </c>
      <c r="F58" s="6"/>
      <c r="G58" s="6"/>
      <c r="H58" s="6"/>
      <c r="I58" s="6"/>
      <c r="J58" s="6"/>
    </row>
    <row r="59" spans="2:11" ht="72.75" thickBot="1">
      <c r="B59" s="50">
        <v>42401</v>
      </c>
      <c r="C59" s="41">
        <v>0.01</v>
      </c>
      <c r="D59" s="41" t="s">
        <v>642</v>
      </c>
      <c r="E59" s="41"/>
      <c r="F59" s="6"/>
      <c r="G59" s="6"/>
      <c r="H59" s="6"/>
      <c r="I59" s="6"/>
      <c r="J59" s="6"/>
    </row>
    <row r="60" spans="2:11" ht="15.75" thickBot="1">
      <c r="B60" s="2"/>
      <c r="C60" s="77"/>
      <c r="D60" s="6"/>
      <c r="E60" s="6"/>
      <c r="F60" s="6"/>
      <c r="G60" s="6"/>
      <c r="H60" s="6"/>
      <c r="I60" s="6"/>
      <c r="J60" s="6"/>
      <c r="K60" s="6"/>
    </row>
    <row r="61" spans="2:11" ht="15.75" thickBot="1">
      <c r="B61" s="444" t="s">
        <v>60</v>
      </c>
      <c r="C61" s="97"/>
      <c r="D61" s="6"/>
      <c r="E61" s="6"/>
      <c r="F61" s="6"/>
      <c r="G61" s="6"/>
      <c r="H61" s="6"/>
      <c r="I61" s="6"/>
      <c r="J61" s="6"/>
      <c r="K61" s="6"/>
    </row>
    <row r="62" spans="2:11">
      <c r="B62" s="1560"/>
      <c r="C62" s="1561"/>
      <c r="D62" s="1561"/>
      <c r="E62" s="1562"/>
      <c r="F62" s="6"/>
      <c r="G62" s="6"/>
      <c r="H62" s="6"/>
      <c r="I62" s="6"/>
      <c r="J62" s="6"/>
      <c r="K62" s="6"/>
    </row>
    <row r="63" spans="2:11" ht="15.75" thickBot="1">
      <c r="B63" s="1563"/>
      <c r="C63" s="1564"/>
      <c r="D63" s="1564"/>
      <c r="E63" s="1565"/>
      <c r="F63" s="6"/>
      <c r="G63" s="6"/>
      <c r="H63" s="6"/>
      <c r="I63" s="6"/>
      <c r="J63" s="6"/>
      <c r="K63" s="6"/>
    </row>
    <row r="64" spans="2:11" ht="15.75" thickBot="1">
      <c r="B64" s="6"/>
      <c r="D64" s="6"/>
      <c r="E64" s="6"/>
      <c r="F64" s="6"/>
      <c r="G64" s="6"/>
      <c r="H64" s="6"/>
      <c r="I64" s="6"/>
      <c r="J64" s="6"/>
      <c r="K64" s="6"/>
    </row>
    <row r="65" spans="2:11" ht="15.75" thickBot="1">
      <c r="B65" s="1450" t="s">
        <v>460</v>
      </c>
      <c r="C65" s="1451"/>
      <c r="D65" s="1452"/>
      <c r="E65" s="6"/>
      <c r="F65" s="6"/>
      <c r="G65" s="6"/>
      <c r="H65" s="6"/>
      <c r="I65" s="6"/>
      <c r="J65" s="6"/>
      <c r="K65" s="6"/>
    </row>
    <row r="66" spans="2:11" ht="72.75" thickBot="1">
      <c r="B66" s="48" t="s">
        <v>62</v>
      </c>
      <c r="C66" s="3"/>
      <c r="D66" s="41" t="s">
        <v>595</v>
      </c>
      <c r="E66" s="6"/>
      <c r="F66" s="6"/>
      <c r="G66" s="6"/>
      <c r="H66" s="6"/>
      <c r="I66" s="6"/>
      <c r="J66" s="6"/>
      <c r="K66" s="6"/>
    </row>
    <row r="67" spans="2:11">
      <c r="B67" s="1447" t="s">
        <v>64</v>
      </c>
      <c r="C67" s="95"/>
      <c r="D67" s="54" t="s">
        <v>65</v>
      </c>
      <c r="E67" s="6"/>
      <c r="F67" s="6"/>
      <c r="G67" s="6"/>
      <c r="H67" s="6"/>
      <c r="I67" s="6"/>
      <c r="J67" s="6"/>
      <c r="K67" s="6"/>
    </row>
    <row r="68" spans="2:11" ht="132">
      <c r="B68" s="1448"/>
      <c r="C68" s="95"/>
      <c r="D68" s="47" t="s">
        <v>596</v>
      </c>
      <c r="E68" s="6"/>
      <c r="F68" s="6"/>
      <c r="G68" s="6"/>
      <c r="H68" s="6"/>
      <c r="I68" s="6"/>
      <c r="J68" s="6"/>
      <c r="K68" s="6"/>
    </row>
    <row r="69" spans="2:11">
      <c r="B69" s="1448"/>
      <c r="C69" s="95"/>
      <c r="D69" s="54" t="s">
        <v>68</v>
      </c>
      <c r="E69" s="6"/>
      <c r="F69" s="6"/>
      <c r="G69" s="6"/>
      <c r="H69" s="6"/>
      <c r="I69" s="6"/>
      <c r="J69" s="6"/>
      <c r="K69" s="6"/>
    </row>
    <row r="70" spans="2:11" ht="24">
      <c r="B70" s="1448"/>
      <c r="C70" s="95"/>
      <c r="D70" s="47" t="s">
        <v>597</v>
      </c>
      <c r="E70" s="6"/>
      <c r="F70" s="6"/>
      <c r="G70" s="6"/>
      <c r="H70" s="6"/>
      <c r="I70" s="6"/>
      <c r="J70" s="6"/>
      <c r="K70" s="6"/>
    </row>
    <row r="71" spans="2:11" ht="24">
      <c r="B71" s="1448"/>
      <c r="C71" s="95"/>
      <c r="D71" s="47" t="s">
        <v>598</v>
      </c>
      <c r="E71" s="6"/>
      <c r="F71" s="6"/>
      <c r="G71" s="6"/>
      <c r="H71" s="6"/>
      <c r="I71" s="6"/>
      <c r="J71" s="6"/>
      <c r="K71" s="6"/>
    </row>
    <row r="72" spans="2:11" ht="24">
      <c r="B72" s="1448"/>
      <c r="C72" s="95"/>
      <c r="D72" s="47" t="s">
        <v>599</v>
      </c>
      <c r="E72" s="6"/>
      <c r="F72" s="6"/>
      <c r="G72" s="6"/>
      <c r="H72" s="6"/>
      <c r="I72" s="6"/>
      <c r="J72" s="6"/>
      <c r="K72" s="6"/>
    </row>
    <row r="73" spans="2:11">
      <c r="B73" s="1448"/>
      <c r="C73" s="95"/>
      <c r="D73" s="47" t="s">
        <v>600</v>
      </c>
      <c r="E73" s="6"/>
      <c r="F73" s="6"/>
      <c r="G73" s="6"/>
      <c r="H73" s="6"/>
      <c r="I73" s="6"/>
      <c r="J73" s="6"/>
      <c r="K73" s="6"/>
    </row>
    <row r="74" spans="2:11">
      <c r="B74" s="1448"/>
      <c r="C74" s="95"/>
      <c r="D74" s="47" t="s">
        <v>601</v>
      </c>
      <c r="E74" s="6"/>
      <c r="F74" s="6"/>
      <c r="G74" s="6"/>
      <c r="H74" s="6"/>
      <c r="I74" s="6"/>
      <c r="J74" s="6"/>
      <c r="K74" s="6"/>
    </row>
    <row r="75" spans="2:11">
      <c r="B75" s="1448"/>
      <c r="C75" s="95"/>
      <c r="D75" s="47" t="s">
        <v>602</v>
      </c>
      <c r="E75" s="6"/>
      <c r="F75" s="6"/>
      <c r="G75" s="6"/>
      <c r="H75" s="6"/>
      <c r="I75" s="6"/>
      <c r="J75" s="6"/>
      <c r="K75" s="6"/>
    </row>
    <row r="76" spans="2:11">
      <c r="B76" s="1448"/>
      <c r="C76" s="95"/>
      <c r="D76" s="54" t="s">
        <v>296</v>
      </c>
      <c r="E76" s="6"/>
      <c r="F76" s="6"/>
      <c r="G76" s="6"/>
      <c r="H76" s="6"/>
      <c r="I76" s="6"/>
      <c r="J76" s="6"/>
      <c r="K76" s="6"/>
    </row>
    <row r="77" spans="2:11" ht="48">
      <c r="B77" s="1448"/>
      <c r="C77" s="95"/>
      <c r="D77" s="47" t="s">
        <v>603</v>
      </c>
      <c r="E77" s="6"/>
      <c r="F77" s="6"/>
      <c r="G77" s="6"/>
      <c r="H77" s="6"/>
      <c r="I77" s="6"/>
      <c r="J77" s="6"/>
      <c r="K77" s="6"/>
    </row>
    <row r="78" spans="2:11" ht="15.75" thickBot="1">
      <c r="B78" s="1449"/>
      <c r="C78" s="3"/>
      <c r="D78" s="69"/>
      <c r="E78" s="6"/>
      <c r="F78" s="6"/>
      <c r="G78" s="6"/>
      <c r="H78" s="6"/>
      <c r="I78" s="6"/>
      <c r="J78" s="6"/>
      <c r="K78" s="6"/>
    </row>
    <row r="79" spans="2:11">
      <c r="B79" s="1447" t="s">
        <v>77</v>
      </c>
      <c r="C79" s="100"/>
      <c r="D79" s="1447"/>
      <c r="E79" s="6"/>
      <c r="F79" s="6"/>
      <c r="G79" s="6"/>
      <c r="H79" s="6"/>
      <c r="I79" s="6"/>
      <c r="J79" s="6"/>
      <c r="K79" s="6"/>
    </row>
    <row r="80" spans="2:11" ht="15.75" thickBot="1">
      <c r="B80" s="1449"/>
      <c r="C80" s="101"/>
      <c r="D80" s="1449"/>
      <c r="E80" s="6"/>
      <c r="F80" s="6"/>
      <c r="G80" s="6"/>
      <c r="H80" s="6"/>
      <c r="I80" s="6"/>
      <c r="J80" s="6"/>
      <c r="K80" s="6"/>
    </row>
    <row r="81" spans="2:11" ht="15.75" thickBot="1">
      <c r="B81" s="38"/>
      <c r="C81" s="89"/>
      <c r="D81" s="6"/>
      <c r="E81" s="6"/>
      <c r="F81" s="6"/>
      <c r="G81" s="6"/>
      <c r="H81" s="6"/>
      <c r="I81" s="6"/>
      <c r="J81" s="6"/>
      <c r="K81" s="6"/>
    </row>
    <row r="82" spans="2:11" ht="180">
      <c r="B82" s="1447" t="s">
        <v>78</v>
      </c>
      <c r="C82" s="106"/>
      <c r="D82" s="64" t="s">
        <v>604</v>
      </c>
      <c r="E82" s="6"/>
      <c r="F82" s="6"/>
      <c r="G82" s="6"/>
      <c r="H82" s="6"/>
      <c r="I82" s="6"/>
      <c r="J82" s="6"/>
      <c r="K82" s="6"/>
    </row>
    <row r="83" spans="2:11" ht="204">
      <c r="B83" s="1448"/>
      <c r="C83" s="95"/>
      <c r="D83" s="47" t="s">
        <v>605</v>
      </c>
      <c r="E83" s="6"/>
      <c r="F83" s="6"/>
      <c r="G83" s="6"/>
      <c r="H83" s="6"/>
      <c r="I83" s="6"/>
      <c r="J83" s="6"/>
      <c r="K83" s="6"/>
    </row>
    <row r="84" spans="2:11" ht="48">
      <c r="B84" s="1448"/>
      <c r="C84" s="95"/>
      <c r="D84" s="47" t="s">
        <v>606</v>
      </c>
      <c r="E84" s="6"/>
      <c r="F84" s="6"/>
      <c r="G84" s="6"/>
      <c r="H84" s="6"/>
      <c r="I84" s="6"/>
      <c r="J84" s="6"/>
      <c r="K84" s="6"/>
    </row>
    <row r="85" spans="2:11" ht="24">
      <c r="B85" s="1448"/>
      <c r="C85" s="95"/>
      <c r="D85" s="47" t="s">
        <v>607</v>
      </c>
      <c r="E85" s="6"/>
      <c r="F85" s="6"/>
      <c r="G85" s="6"/>
      <c r="H85" s="6"/>
      <c r="I85" s="6"/>
      <c r="J85" s="6"/>
      <c r="K85" s="6"/>
    </row>
    <row r="86" spans="2:11" ht="60">
      <c r="B86" s="1448"/>
      <c r="C86" s="95"/>
      <c r="D86" s="47" t="s">
        <v>608</v>
      </c>
      <c r="E86" s="6"/>
      <c r="F86" s="6"/>
      <c r="G86" s="6"/>
      <c r="H86" s="6"/>
      <c r="I86" s="6"/>
      <c r="J86" s="6"/>
      <c r="K86" s="6"/>
    </row>
    <row r="87" spans="2:11" ht="24">
      <c r="B87" s="1448"/>
      <c r="C87" s="95"/>
      <c r="D87" s="47" t="s">
        <v>609</v>
      </c>
      <c r="E87" s="6"/>
      <c r="F87" s="6"/>
      <c r="G87" s="6"/>
      <c r="H87" s="6"/>
      <c r="I87" s="6"/>
      <c r="J87" s="6"/>
      <c r="K87" s="6"/>
    </row>
    <row r="88" spans="2:11" ht="24">
      <c r="B88" s="1448"/>
      <c r="C88" s="95"/>
      <c r="D88" s="47" t="s">
        <v>610</v>
      </c>
      <c r="E88" s="6"/>
      <c r="F88" s="6"/>
      <c r="G88" s="6"/>
      <c r="H88" s="6"/>
      <c r="I88" s="6"/>
      <c r="J88" s="6"/>
      <c r="K88" s="6"/>
    </row>
    <row r="89" spans="2:11" ht="36">
      <c r="B89" s="1448"/>
      <c r="C89" s="95"/>
      <c r="D89" s="47" t="s">
        <v>611</v>
      </c>
      <c r="E89" s="6"/>
      <c r="F89" s="6"/>
      <c r="G89" s="6"/>
      <c r="H89" s="6"/>
      <c r="I89" s="6"/>
      <c r="J89" s="6"/>
      <c r="K89" s="6"/>
    </row>
    <row r="90" spans="2:11" ht="24">
      <c r="B90" s="1448"/>
      <c r="C90" s="95"/>
      <c r="D90" s="47" t="s">
        <v>612</v>
      </c>
      <c r="E90" s="6"/>
      <c r="F90" s="6"/>
      <c r="G90" s="6"/>
      <c r="H90" s="6"/>
      <c r="I90" s="6"/>
      <c r="J90" s="6"/>
      <c r="K90" s="6"/>
    </row>
    <row r="91" spans="2:11" ht="24">
      <c r="B91" s="1448"/>
      <c r="C91" s="95"/>
      <c r="D91" s="47" t="s">
        <v>613</v>
      </c>
      <c r="E91" s="6"/>
      <c r="F91" s="6"/>
      <c r="G91" s="6"/>
      <c r="H91" s="6"/>
      <c r="I91" s="6"/>
      <c r="J91" s="6"/>
      <c r="K91" s="6"/>
    </row>
    <row r="92" spans="2:11" ht="24">
      <c r="B92" s="1448"/>
      <c r="C92" s="95"/>
      <c r="D92" s="47" t="s">
        <v>614</v>
      </c>
      <c r="E92" s="6"/>
      <c r="F92" s="6"/>
      <c r="G92" s="6"/>
      <c r="H92" s="6"/>
      <c r="I92" s="6"/>
      <c r="J92" s="6"/>
      <c r="K92" s="6"/>
    </row>
    <row r="93" spans="2:11" ht="36">
      <c r="B93" s="1448"/>
      <c r="C93" s="95"/>
      <c r="D93" s="47" t="s">
        <v>615</v>
      </c>
      <c r="E93" s="6"/>
      <c r="F93" s="6"/>
      <c r="G93" s="6"/>
      <c r="H93" s="6"/>
      <c r="I93" s="6"/>
      <c r="J93" s="6"/>
      <c r="K93" s="6"/>
    </row>
    <row r="94" spans="2:11" ht="24">
      <c r="B94" s="1448"/>
      <c r="C94" s="95"/>
      <c r="D94" s="47" t="s">
        <v>616</v>
      </c>
      <c r="E94" s="6"/>
      <c r="F94" s="6"/>
      <c r="G94" s="6"/>
      <c r="H94" s="6"/>
      <c r="I94" s="6"/>
      <c r="J94" s="6"/>
      <c r="K94" s="6"/>
    </row>
    <row r="95" spans="2:11" ht="60.75" thickBot="1">
      <c r="B95" s="1449"/>
      <c r="C95" s="3"/>
      <c r="D95" s="41" t="s">
        <v>617</v>
      </c>
      <c r="E95" s="6"/>
      <c r="F95" s="6"/>
      <c r="G95" s="6"/>
      <c r="H95" s="6"/>
      <c r="I95" s="6"/>
      <c r="J95" s="6"/>
      <c r="K95" s="6"/>
    </row>
    <row r="96" spans="2:11" ht="36">
      <c r="B96" s="1447" t="s">
        <v>95</v>
      </c>
      <c r="C96" s="95"/>
      <c r="D96" s="54" t="s">
        <v>618</v>
      </c>
      <c r="E96" s="6"/>
      <c r="F96" s="6"/>
      <c r="G96" s="6"/>
      <c r="H96" s="6"/>
      <c r="I96" s="6"/>
      <c r="J96" s="6"/>
      <c r="K96" s="6"/>
    </row>
    <row r="97" spans="2:11" ht="36">
      <c r="B97" s="1448"/>
      <c r="C97" s="95"/>
      <c r="D97" s="47" t="s">
        <v>619</v>
      </c>
      <c r="E97" s="6"/>
      <c r="F97" s="6"/>
      <c r="G97" s="6"/>
      <c r="H97" s="6"/>
      <c r="I97" s="6"/>
      <c r="J97" s="6"/>
      <c r="K97" s="6"/>
    </row>
    <row r="98" spans="2:11">
      <c r="B98" s="1448"/>
      <c r="C98" s="95"/>
      <c r="D98" s="17"/>
      <c r="E98" s="6"/>
      <c r="F98" s="6"/>
      <c r="G98" s="6"/>
      <c r="H98" s="6"/>
      <c r="I98" s="6"/>
      <c r="J98" s="6"/>
      <c r="K98" s="6"/>
    </row>
    <row r="99" spans="2:11">
      <c r="B99" s="1448"/>
      <c r="C99" s="95"/>
      <c r="D99" s="47" t="s">
        <v>96</v>
      </c>
      <c r="E99" s="6"/>
      <c r="F99" s="6"/>
      <c r="G99" s="6"/>
      <c r="H99" s="6"/>
      <c r="I99" s="6"/>
      <c r="J99" s="6"/>
      <c r="K99" s="6"/>
    </row>
    <row r="100" spans="2:11" ht="37.5">
      <c r="B100" s="1448"/>
      <c r="C100" s="95"/>
      <c r="D100" s="47" t="s">
        <v>620</v>
      </c>
      <c r="E100" s="6"/>
      <c r="F100" s="6"/>
      <c r="G100" s="6"/>
      <c r="H100" s="6"/>
      <c r="I100" s="6"/>
      <c r="J100" s="6"/>
      <c r="K100" s="6"/>
    </row>
    <row r="101" spans="2:11" ht="49.5">
      <c r="B101" s="1448"/>
      <c r="C101" s="95"/>
      <c r="D101" s="47" t="s">
        <v>621</v>
      </c>
      <c r="E101" s="6"/>
      <c r="F101" s="6"/>
      <c r="G101" s="6"/>
      <c r="H101" s="6"/>
      <c r="I101" s="6"/>
      <c r="J101" s="6"/>
      <c r="K101" s="6"/>
    </row>
    <row r="102" spans="2:11" ht="25.5">
      <c r="B102" s="1448"/>
      <c r="C102" s="95"/>
      <c r="D102" s="47" t="s">
        <v>622</v>
      </c>
      <c r="E102" s="6"/>
      <c r="F102" s="6"/>
      <c r="G102" s="6"/>
      <c r="H102" s="6"/>
      <c r="I102" s="6"/>
      <c r="J102" s="6"/>
      <c r="K102" s="6"/>
    </row>
    <row r="103" spans="2:11">
      <c r="B103" s="1448"/>
      <c r="C103" s="95"/>
      <c r="D103" s="47" t="s">
        <v>623</v>
      </c>
      <c r="E103" s="6"/>
      <c r="F103" s="6"/>
      <c r="G103" s="6"/>
      <c r="H103" s="6"/>
      <c r="I103" s="6"/>
      <c r="J103" s="6"/>
      <c r="K103" s="6"/>
    </row>
    <row r="104" spans="2:11" ht="48.75" thickBot="1">
      <c r="B104" s="1449"/>
      <c r="C104" s="3"/>
      <c r="D104" s="72" t="s">
        <v>624</v>
      </c>
      <c r="E104" s="6"/>
      <c r="F104" s="6"/>
      <c r="G104" s="6"/>
      <c r="H104" s="6"/>
      <c r="I104" s="6"/>
      <c r="J104" s="6"/>
      <c r="K104" s="6"/>
    </row>
    <row r="105" spans="2:11">
      <c r="B105" s="6"/>
      <c r="D105" s="6"/>
      <c r="E105" s="6"/>
      <c r="F105" s="6"/>
      <c r="G105" s="6"/>
      <c r="H105" s="6"/>
      <c r="I105" s="6"/>
      <c r="J105" s="6"/>
      <c r="K105" s="6"/>
    </row>
    <row r="106" spans="2:11">
      <c r="B106" s="6"/>
      <c r="D106" s="6"/>
      <c r="E106" s="6"/>
      <c r="F106" s="6"/>
      <c r="G106" s="6"/>
      <c r="H106" s="6"/>
      <c r="I106" s="6"/>
      <c r="J106" s="6"/>
      <c r="K106" s="6"/>
    </row>
    <row r="107" spans="2:11">
      <c r="B107" s="6"/>
      <c r="D107" s="6"/>
      <c r="E107" s="6"/>
      <c r="F107" s="6"/>
      <c r="G107" s="6"/>
      <c r="H107" s="6"/>
      <c r="I107" s="6"/>
      <c r="J107" s="6"/>
      <c r="K107" s="6"/>
    </row>
    <row r="108" spans="2:11">
      <c r="B108" s="6"/>
      <c r="D108" s="6"/>
      <c r="E108" s="6"/>
      <c r="F108" s="6"/>
      <c r="G108" s="6"/>
      <c r="H108" s="6"/>
      <c r="I108" s="6"/>
      <c r="J108" s="6"/>
      <c r="K108" s="6"/>
    </row>
    <row r="109" spans="2:11">
      <c r="B109" s="6"/>
      <c r="D109" s="6"/>
      <c r="E109" s="6"/>
      <c r="F109" s="6"/>
      <c r="G109" s="6"/>
      <c r="H109" s="6"/>
      <c r="I109" s="6"/>
      <c r="J109" s="6"/>
      <c r="K109" s="6"/>
    </row>
    <row r="110" spans="2:11">
      <c r="B110" s="6"/>
      <c r="D110" s="6"/>
      <c r="E110" s="6"/>
      <c r="F110" s="6"/>
      <c r="G110" s="6"/>
      <c r="H110" s="6"/>
      <c r="I110" s="6"/>
      <c r="J110" s="6"/>
      <c r="K110" s="6"/>
    </row>
    <row r="111" spans="2:11">
      <c r="B111" s="6"/>
      <c r="D111" s="6"/>
      <c r="E111" s="6"/>
      <c r="F111" s="6"/>
      <c r="G111" s="6"/>
      <c r="H111" s="6"/>
      <c r="I111" s="6"/>
      <c r="J111" s="6"/>
      <c r="K111" s="6"/>
    </row>
    <row r="112" spans="2:11">
      <c r="B112" s="6"/>
      <c r="D112" s="6"/>
      <c r="E112" s="6"/>
      <c r="F112" s="6"/>
      <c r="G112" s="6"/>
      <c r="H112" s="6"/>
      <c r="I112" s="6"/>
      <c r="J112" s="6"/>
      <c r="K112" s="6"/>
    </row>
    <row r="113" spans="2:11">
      <c r="B113" s="6"/>
      <c r="D113" s="6"/>
      <c r="E113" s="6"/>
      <c r="F113" s="6"/>
      <c r="G113" s="6"/>
      <c r="H113" s="6"/>
      <c r="I113" s="6"/>
      <c r="J113" s="6"/>
      <c r="K113" s="6"/>
    </row>
    <row r="114" spans="2:11">
      <c r="B114" s="6"/>
      <c r="D114" s="6"/>
      <c r="E114" s="6"/>
      <c r="F114" s="6"/>
      <c r="G114" s="6"/>
      <c r="H114" s="6"/>
      <c r="I114" s="6"/>
      <c r="J114" s="6"/>
      <c r="K114" s="6"/>
    </row>
    <row r="115" spans="2:11">
      <c r="B115" s="6"/>
      <c r="D115" s="6"/>
      <c r="E115" s="6"/>
      <c r="F115" s="6"/>
      <c r="G115" s="6"/>
      <c r="H115" s="6"/>
      <c r="I115" s="6"/>
      <c r="J115" s="6"/>
      <c r="K115" s="6"/>
    </row>
    <row r="116" spans="2:11">
      <c r="B116" s="6"/>
      <c r="D116" s="6"/>
      <c r="E116" s="6"/>
      <c r="F116" s="6"/>
      <c r="G116" s="6"/>
      <c r="H116" s="6"/>
      <c r="I116" s="6"/>
      <c r="J116" s="6"/>
      <c r="K116" s="6"/>
    </row>
    <row r="117" spans="2:11">
      <c r="B117" s="6"/>
      <c r="D117" s="6"/>
      <c r="E117" s="6"/>
      <c r="F117" s="6"/>
      <c r="G117" s="6"/>
      <c r="H117" s="6"/>
      <c r="I117" s="6"/>
      <c r="J117" s="6"/>
      <c r="K117" s="6"/>
    </row>
    <row r="118" spans="2:11">
      <c r="B118" s="6"/>
      <c r="D118" s="6"/>
      <c r="E118" s="6"/>
      <c r="F118" s="6"/>
      <c r="G118" s="6"/>
      <c r="H118" s="6"/>
      <c r="I118" s="6"/>
      <c r="J118" s="6"/>
      <c r="K118" s="6"/>
    </row>
    <row r="119" spans="2:11">
      <c r="B119" s="6"/>
      <c r="D119" s="6"/>
      <c r="E119" s="6"/>
      <c r="F119" s="6"/>
      <c r="G119" s="6"/>
      <c r="H119" s="6"/>
      <c r="I119" s="6"/>
      <c r="J119" s="6"/>
      <c r="K119" s="6"/>
    </row>
    <row r="120" spans="2:11">
      <c r="B120" s="6"/>
      <c r="D120" s="6"/>
      <c r="E120" s="6"/>
      <c r="F120" s="6"/>
      <c r="G120" s="6"/>
      <c r="H120" s="6"/>
      <c r="I120" s="6"/>
      <c r="J120" s="6"/>
      <c r="K120" s="6"/>
    </row>
    <row r="121" spans="2:11">
      <c r="B121" s="6"/>
      <c r="D121" s="6"/>
      <c r="E121" s="6"/>
      <c r="F121" s="6"/>
      <c r="G121" s="6"/>
      <c r="H121" s="6"/>
      <c r="I121" s="6"/>
      <c r="J121" s="6"/>
      <c r="K121" s="6"/>
    </row>
    <row r="122" spans="2:11">
      <c r="B122" s="6"/>
      <c r="D122" s="6"/>
      <c r="E122" s="6"/>
      <c r="F122" s="6"/>
      <c r="G122" s="6"/>
      <c r="H122" s="6"/>
      <c r="I122" s="6"/>
      <c r="J122" s="6"/>
      <c r="K122" s="6"/>
    </row>
    <row r="123" spans="2:11">
      <c r="B123" s="6"/>
      <c r="D123" s="6"/>
      <c r="E123" s="6"/>
      <c r="F123" s="6"/>
      <c r="G123" s="6"/>
      <c r="H123" s="6"/>
      <c r="I123" s="6"/>
      <c r="J123" s="6"/>
      <c r="K123" s="6"/>
    </row>
    <row r="124" spans="2:11">
      <c r="B124" s="6"/>
      <c r="D124" s="6"/>
      <c r="E124" s="6"/>
      <c r="F124" s="6"/>
      <c r="G124" s="6"/>
      <c r="H124" s="6"/>
      <c r="I124" s="6"/>
      <c r="J124" s="6"/>
      <c r="K124" s="6"/>
    </row>
    <row r="125" spans="2:11">
      <c r="B125" s="6"/>
      <c r="D125" s="6"/>
      <c r="E125" s="6"/>
      <c r="F125" s="6"/>
      <c r="G125" s="6"/>
      <c r="H125" s="6"/>
      <c r="I125" s="6"/>
      <c r="J125" s="6"/>
      <c r="K125" s="6"/>
    </row>
    <row r="126" spans="2:11">
      <c r="B126" s="6"/>
      <c r="D126" s="6"/>
      <c r="E126" s="6"/>
      <c r="F126" s="6"/>
      <c r="G126" s="6"/>
      <c r="H126" s="6"/>
      <c r="I126" s="6"/>
      <c r="J126" s="6"/>
      <c r="K126" s="6"/>
    </row>
    <row r="127" spans="2:11">
      <c r="B127" s="6"/>
      <c r="D127" s="6"/>
      <c r="E127" s="6"/>
      <c r="F127" s="6"/>
      <c r="G127" s="6"/>
      <c r="H127" s="6"/>
      <c r="I127" s="6"/>
      <c r="J127" s="6"/>
      <c r="K127" s="6"/>
    </row>
    <row r="128" spans="2:11">
      <c r="B128" s="6"/>
      <c r="D128" s="6"/>
      <c r="E128" s="6"/>
      <c r="F128" s="6"/>
      <c r="G128" s="6"/>
      <c r="H128" s="6"/>
      <c r="I128" s="6"/>
      <c r="J128" s="6"/>
      <c r="K128" s="6"/>
    </row>
    <row r="129" spans="2:11">
      <c r="B129" s="6"/>
      <c r="D129" s="6"/>
      <c r="E129" s="6"/>
      <c r="F129" s="6"/>
      <c r="G129" s="6"/>
      <c r="H129" s="6"/>
      <c r="I129" s="6"/>
      <c r="J129" s="6"/>
      <c r="K129" s="6"/>
    </row>
    <row r="130" spans="2:11">
      <c r="B130" s="6"/>
      <c r="D130" s="6"/>
      <c r="E130" s="6"/>
      <c r="F130" s="6"/>
      <c r="G130" s="6"/>
      <c r="H130" s="6"/>
      <c r="I130" s="6"/>
      <c r="J130" s="6"/>
      <c r="K130" s="6"/>
    </row>
    <row r="131" spans="2:11">
      <c r="B131" s="6"/>
      <c r="D131" s="6"/>
      <c r="E131" s="6"/>
      <c r="F131" s="6"/>
      <c r="G131" s="6"/>
      <c r="H131" s="6"/>
      <c r="I131" s="6"/>
      <c r="J131" s="6"/>
      <c r="K131" s="6"/>
    </row>
    <row r="132" spans="2:11">
      <c r="B132" s="6"/>
      <c r="D132" s="6"/>
      <c r="E132" s="6"/>
      <c r="F132" s="6"/>
      <c r="G132" s="6"/>
      <c r="H132" s="6"/>
      <c r="I132" s="6"/>
      <c r="J132" s="6"/>
      <c r="K132" s="6"/>
    </row>
    <row r="133" spans="2:11">
      <c r="B133" s="6"/>
      <c r="D133" s="6"/>
      <c r="E133" s="6"/>
      <c r="F133" s="6"/>
      <c r="G133" s="6"/>
      <c r="H133" s="6"/>
      <c r="I133" s="6"/>
      <c r="J133" s="6"/>
      <c r="K133" s="6"/>
    </row>
    <row r="134" spans="2:11">
      <c r="B134" s="6"/>
      <c r="D134" s="6"/>
      <c r="E134" s="6"/>
      <c r="F134" s="6"/>
      <c r="G134" s="6"/>
      <c r="H134" s="6"/>
      <c r="I134" s="6"/>
      <c r="J134" s="6"/>
      <c r="K134" s="6"/>
    </row>
    <row r="135" spans="2:11">
      <c r="B135" s="6"/>
      <c r="D135" s="6"/>
      <c r="E135" s="6"/>
      <c r="F135" s="6"/>
      <c r="G135" s="6"/>
      <c r="H135" s="6"/>
      <c r="I135" s="6"/>
      <c r="J135" s="6"/>
      <c r="K135" s="6"/>
    </row>
    <row r="136" spans="2:11">
      <c r="B136" s="6"/>
      <c r="D136" s="6"/>
      <c r="E136" s="6"/>
      <c r="F136" s="6"/>
      <c r="G136" s="6"/>
      <c r="H136" s="6"/>
      <c r="I136" s="6"/>
      <c r="J136" s="6"/>
      <c r="K136" s="6"/>
    </row>
    <row r="137" spans="2:11">
      <c r="B137" s="6"/>
      <c r="D137" s="6"/>
      <c r="E137" s="6"/>
      <c r="F137" s="6"/>
      <c r="G137" s="6"/>
      <c r="H137" s="6"/>
      <c r="I137" s="6"/>
      <c r="J137" s="6"/>
      <c r="K137" s="6"/>
    </row>
    <row r="138" spans="2:11">
      <c r="B138" s="6"/>
      <c r="D138" s="6"/>
      <c r="E138" s="6"/>
      <c r="F138" s="6"/>
      <c r="G138" s="6"/>
      <c r="H138" s="6"/>
      <c r="I138" s="6"/>
      <c r="J138" s="6"/>
      <c r="K138" s="6"/>
    </row>
    <row r="139" spans="2:11">
      <c r="B139" s="6"/>
      <c r="D139" s="6"/>
      <c r="E139" s="6"/>
      <c r="F139" s="6"/>
      <c r="G139" s="6"/>
      <c r="H139" s="6"/>
      <c r="I139" s="6"/>
      <c r="J139" s="6"/>
      <c r="K139" s="6"/>
    </row>
    <row r="140" spans="2:11">
      <c r="B140" s="6"/>
      <c r="D140" s="6"/>
      <c r="E140" s="6"/>
      <c r="F140" s="6"/>
      <c r="G140" s="6"/>
      <c r="H140" s="6"/>
      <c r="I140" s="6"/>
      <c r="J140" s="6"/>
      <c r="K140" s="6"/>
    </row>
    <row r="141" spans="2:11">
      <c r="B141" s="6"/>
      <c r="D141" s="6"/>
      <c r="E141" s="6"/>
      <c r="F141" s="6"/>
      <c r="G141" s="6"/>
      <c r="H141" s="6"/>
      <c r="I141" s="6"/>
      <c r="J141" s="6"/>
      <c r="K141" s="6"/>
    </row>
    <row r="142" spans="2:11">
      <c r="B142" s="6"/>
      <c r="D142" s="6"/>
      <c r="E142" s="6"/>
      <c r="F142" s="6"/>
      <c r="G142" s="6"/>
      <c r="H142" s="6"/>
      <c r="I142" s="6"/>
      <c r="J142" s="6"/>
      <c r="K142" s="6"/>
    </row>
    <row r="143" spans="2:11">
      <c r="B143" s="6"/>
      <c r="D143" s="6"/>
      <c r="E143" s="6"/>
      <c r="F143" s="6"/>
      <c r="G143" s="6"/>
      <c r="H143" s="6"/>
      <c r="I143" s="6"/>
      <c r="J143" s="6"/>
      <c r="K143" s="6"/>
    </row>
    <row r="144" spans="2:11">
      <c r="B144" s="6"/>
      <c r="D144" s="6"/>
      <c r="E144" s="6"/>
      <c r="F144" s="6"/>
      <c r="G144" s="6"/>
      <c r="H144" s="6"/>
      <c r="I144" s="6"/>
      <c r="J144" s="6"/>
      <c r="K144" s="6"/>
    </row>
    <row r="145" spans="2:11">
      <c r="B145" s="6"/>
      <c r="D145" s="6"/>
      <c r="E145" s="6"/>
      <c r="F145" s="6"/>
      <c r="G145" s="6"/>
      <c r="H145" s="6"/>
      <c r="I145" s="6"/>
      <c r="J145" s="6"/>
      <c r="K145" s="6"/>
    </row>
    <row r="146" spans="2:11">
      <c r="B146" s="6"/>
      <c r="D146" s="6"/>
      <c r="E146" s="6"/>
      <c r="F146" s="6"/>
      <c r="G146" s="6"/>
      <c r="H146" s="6"/>
      <c r="I146" s="6"/>
      <c r="J146" s="6"/>
      <c r="K146" s="6"/>
    </row>
    <row r="147" spans="2:11">
      <c r="B147" s="6"/>
      <c r="D147" s="6"/>
      <c r="E147" s="6"/>
      <c r="F147" s="6"/>
      <c r="G147" s="6"/>
      <c r="H147" s="6"/>
      <c r="I147" s="6"/>
      <c r="J147" s="6"/>
      <c r="K147" s="6"/>
    </row>
    <row r="148" spans="2:11">
      <c r="B148" s="6"/>
      <c r="D148" s="6"/>
      <c r="E148" s="6"/>
      <c r="F148" s="6"/>
      <c r="G148" s="6"/>
      <c r="H148" s="6"/>
      <c r="I148" s="6"/>
      <c r="J148" s="6"/>
      <c r="K148" s="6"/>
    </row>
    <row r="149" spans="2:11">
      <c r="B149" s="6"/>
      <c r="D149" s="6"/>
      <c r="E149" s="6"/>
      <c r="F149" s="6"/>
      <c r="G149" s="6"/>
      <c r="H149" s="6"/>
      <c r="I149" s="6"/>
      <c r="J149" s="6"/>
      <c r="K149" s="6"/>
    </row>
    <row r="150" spans="2:11">
      <c r="B150" s="6"/>
      <c r="D150" s="6"/>
      <c r="E150" s="6"/>
      <c r="F150" s="6"/>
      <c r="G150" s="6"/>
      <c r="H150" s="6"/>
      <c r="I150" s="6"/>
      <c r="J150" s="6"/>
      <c r="K150" s="6"/>
    </row>
    <row r="151" spans="2:11">
      <c r="B151" s="6"/>
      <c r="D151" s="6"/>
      <c r="E151" s="6"/>
      <c r="F151" s="6"/>
      <c r="G151" s="6"/>
      <c r="H151" s="6"/>
      <c r="I151" s="6"/>
      <c r="J151" s="6"/>
      <c r="K151" s="6"/>
    </row>
    <row r="152" spans="2:11">
      <c r="B152" s="6"/>
      <c r="D152" s="6"/>
      <c r="E152" s="6"/>
      <c r="F152" s="6"/>
      <c r="G152" s="6"/>
      <c r="H152" s="6"/>
      <c r="I152" s="6"/>
      <c r="J152" s="6"/>
      <c r="K152" s="6"/>
    </row>
    <row r="153" spans="2:11">
      <c r="B153" s="6"/>
      <c r="D153" s="6"/>
      <c r="E153" s="6"/>
      <c r="F153" s="6"/>
      <c r="G153" s="6"/>
      <c r="H153" s="6"/>
      <c r="I153" s="6"/>
      <c r="J153" s="6"/>
      <c r="K153" s="6"/>
    </row>
    <row r="154" spans="2:11">
      <c r="B154" s="6"/>
      <c r="D154" s="6"/>
      <c r="E154" s="6"/>
      <c r="F154" s="6"/>
      <c r="G154" s="6"/>
      <c r="H154" s="6"/>
      <c r="I154" s="6"/>
      <c r="J154" s="6"/>
      <c r="K154" s="6"/>
    </row>
    <row r="155" spans="2:11">
      <c r="B155" s="6"/>
      <c r="D155" s="6"/>
      <c r="E155" s="6"/>
      <c r="F155" s="6"/>
      <c r="G155" s="6"/>
      <c r="H155" s="6"/>
      <c r="I155" s="6"/>
      <c r="J155" s="6"/>
      <c r="K155" s="6"/>
    </row>
    <row r="156" spans="2:11">
      <c r="B156" s="6"/>
      <c r="D156" s="6"/>
      <c r="E156" s="6"/>
      <c r="F156" s="6"/>
      <c r="G156" s="6"/>
      <c r="H156" s="6"/>
      <c r="I156" s="6"/>
      <c r="J156" s="6"/>
      <c r="K156" s="6"/>
    </row>
    <row r="157" spans="2:11">
      <c r="B157" s="6"/>
      <c r="D157" s="6"/>
      <c r="E157" s="6"/>
      <c r="F157" s="6"/>
      <c r="G157" s="6"/>
      <c r="H157" s="6"/>
      <c r="I157" s="6"/>
      <c r="J157" s="6"/>
      <c r="K157" s="6"/>
    </row>
    <row r="158" spans="2:11">
      <c r="B158" s="6"/>
      <c r="D158" s="6"/>
      <c r="E158" s="6"/>
      <c r="F158" s="6"/>
      <c r="G158" s="6"/>
      <c r="H158" s="6"/>
      <c r="I158" s="6"/>
      <c r="J158" s="6"/>
      <c r="K158" s="6"/>
    </row>
    <row r="159" spans="2:11">
      <c r="B159" s="6"/>
      <c r="D159" s="6"/>
      <c r="E159" s="6"/>
      <c r="F159" s="6"/>
      <c r="G159" s="6"/>
      <c r="H159" s="6"/>
      <c r="I159" s="6"/>
      <c r="J159" s="6"/>
      <c r="K159" s="6"/>
    </row>
    <row r="160" spans="2:11">
      <c r="B160" s="6"/>
      <c r="D160" s="6"/>
      <c r="E160" s="6"/>
      <c r="F160" s="6"/>
      <c r="G160" s="6"/>
      <c r="H160" s="6"/>
      <c r="I160" s="6"/>
      <c r="J160" s="6"/>
      <c r="K160" s="6"/>
    </row>
    <row r="161" spans="2:11">
      <c r="B161" s="6"/>
      <c r="D161" s="6"/>
      <c r="E161" s="6"/>
      <c r="F161" s="6"/>
      <c r="G161" s="6"/>
      <c r="H161" s="6"/>
      <c r="I161" s="6"/>
      <c r="J161" s="6"/>
      <c r="K161" s="6"/>
    </row>
    <row r="162" spans="2:11">
      <c r="B162" s="6"/>
      <c r="D162" s="6"/>
      <c r="E162" s="6"/>
      <c r="F162" s="6"/>
      <c r="G162" s="6"/>
      <c r="H162" s="6"/>
      <c r="I162" s="6"/>
      <c r="J162" s="6"/>
      <c r="K162" s="6"/>
    </row>
    <row r="163" spans="2:11">
      <c r="B163" s="6"/>
      <c r="D163" s="6"/>
      <c r="E163" s="6"/>
      <c r="F163" s="6"/>
      <c r="G163" s="6"/>
      <c r="H163" s="6"/>
      <c r="I163" s="6"/>
      <c r="J163" s="6"/>
      <c r="K163" s="6"/>
    </row>
    <row r="164" spans="2:11">
      <c r="B164" s="6"/>
      <c r="D164" s="6"/>
      <c r="E164" s="6"/>
      <c r="F164" s="6"/>
      <c r="G164" s="6"/>
      <c r="H164" s="6"/>
      <c r="I164" s="6"/>
      <c r="J164" s="6"/>
      <c r="K164" s="6"/>
    </row>
    <row r="165" spans="2:11">
      <c r="B165" s="6"/>
      <c r="D165" s="6"/>
      <c r="E165" s="6"/>
      <c r="F165" s="6"/>
      <c r="G165" s="6"/>
      <c r="H165" s="6"/>
      <c r="I165" s="6"/>
      <c r="J165" s="6"/>
      <c r="K165" s="6"/>
    </row>
    <row r="166" spans="2:11">
      <c r="B166" s="6"/>
      <c r="D166" s="6"/>
      <c r="E166" s="6"/>
      <c r="F166" s="6"/>
      <c r="G166" s="6"/>
      <c r="H166" s="6"/>
      <c r="I166" s="6"/>
      <c r="J166" s="6"/>
      <c r="K166" s="6"/>
    </row>
    <row r="167" spans="2:11">
      <c r="B167" s="6"/>
      <c r="D167" s="6"/>
      <c r="E167" s="6"/>
      <c r="F167" s="6"/>
      <c r="G167" s="6"/>
      <c r="H167" s="6"/>
      <c r="I167" s="6"/>
      <c r="J167" s="6"/>
      <c r="K167" s="6"/>
    </row>
    <row r="168" spans="2:11">
      <c r="B168" s="6"/>
      <c r="D168" s="6"/>
      <c r="E168" s="6"/>
      <c r="F168" s="6"/>
      <c r="G168" s="6"/>
      <c r="H168" s="6"/>
      <c r="I168" s="6"/>
      <c r="J168" s="6"/>
      <c r="K168" s="6"/>
    </row>
    <row r="169" spans="2:11">
      <c r="B169" s="6"/>
      <c r="D169" s="6"/>
      <c r="E169" s="6"/>
      <c r="F169" s="6"/>
      <c r="G169" s="6"/>
      <c r="H169" s="6"/>
      <c r="I169" s="6"/>
      <c r="J169" s="6"/>
      <c r="K169" s="6"/>
    </row>
    <row r="170" spans="2:11">
      <c r="B170" s="6"/>
      <c r="D170" s="6"/>
      <c r="E170" s="6"/>
      <c r="F170" s="6"/>
      <c r="G170" s="6"/>
      <c r="H170" s="6"/>
      <c r="I170" s="6"/>
      <c r="J170" s="6"/>
      <c r="K170" s="6"/>
    </row>
    <row r="171" spans="2:11">
      <c r="B171" s="6"/>
      <c r="D171" s="6"/>
      <c r="E171" s="6"/>
      <c r="F171" s="6"/>
      <c r="G171" s="6"/>
      <c r="H171" s="6"/>
      <c r="I171" s="6"/>
      <c r="J171" s="6"/>
      <c r="K171" s="6"/>
    </row>
    <row r="172" spans="2:11">
      <c r="B172" s="6"/>
      <c r="D172" s="6"/>
      <c r="E172" s="6"/>
      <c r="F172" s="6"/>
      <c r="G172" s="6"/>
      <c r="H172" s="6"/>
      <c r="I172" s="6"/>
      <c r="J172" s="6"/>
      <c r="K172" s="6"/>
    </row>
    <row r="173" spans="2:11">
      <c r="B173" s="6"/>
      <c r="D173" s="6"/>
      <c r="E173" s="6"/>
      <c r="F173" s="6"/>
      <c r="G173" s="6"/>
      <c r="H173" s="6"/>
      <c r="I173" s="6"/>
      <c r="J173" s="6"/>
      <c r="K173" s="6"/>
    </row>
    <row r="174" spans="2:11">
      <c r="B174" s="6"/>
      <c r="D174" s="6"/>
      <c r="E174" s="6"/>
      <c r="F174" s="6"/>
      <c r="G174" s="6"/>
      <c r="H174" s="6"/>
      <c r="I174" s="6"/>
      <c r="J174" s="6"/>
      <c r="K174" s="6"/>
    </row>
    <row r="175" spans="2:11">
      <c r="B175" s="6"/>
      <c r="D175" s="6"/>
      <c r="E175" s="6"/>
      <c r="F175" s="6"/>
      <c r="G175" s="6"/>
      <c r="H175" s="6"/>
      <c r="I175" s="6"/>
      <c r="J175" s="6"/>
      <c r="K175" s="6"/>
    </row>
    <row r="176" spans="2:11">
      <c r="B176" s="6"/>
      <c r="D176" s="6"/>
      <c r="E176" s="6"/>
      <c r="F176" s="6"/>
      <c r="G176" s="6"/>
      <c r="H176" s="6"/>
      <c r="I176" s="6"/>
      <c r="J176" s="6"/>
      <c r="K176" s="6"/>
    </row>
    <row r="177" spans="2:11">
      <c r="B177" s="6"/>
      <c r="D177" s="6"/>
      <c r="E177" s="6"/>
      <c r="F177" s="6"/>
      <c r="G177" s="6"/>
      <c r="H177" s="6"/>
      <c r="I177" s="6"/>
      <c r="J177" s="6"/>
      <c r="K177" s="6"/>
    </row>
    <row r="178" spans="2:11">
      <c r="B178" s="6"/>
      <c r="D178" s="6"/>
      <c r="E178" s="6"/>
      <c r="F178" s="6"/>
      <c r="G178" s="6"/>
      <c r="H178" s="6"/>
      <c r="I178" s="6"/>
      <c r="J178" s="6"/>
      <c r="K178" s="6"/>
    </row>
    <row r="179" spans="2:11">
      <c r="B179" s="6"/>
      <c r="D179" s="6"/>
      <c r="E179" s="6"/>
      <c r="F179" s="6"/>
      <c r="G179" s="6"/>
      <c r="H179" s="6"/>
      <c r="I179" s="6"/>
      <c r="J179" s="6"/>
      <c r="K179" s="6"/>
    </row>
    <row r="180" spans="2:11">
      <c r="B180" s="6"/>
      <c r="D180" s="6"/>
      <c r="E180" s="6"/>
      <c r="F180" s="6"/>
      <c r="G180" s="6"/>
      <c r="H180" s="6"/>
      <c r="I180" s="6"/>
      <c r="J180" s="6"/>
      <c r="K180" s="6"/>
    </row>
    <row r="181" spans="2:11">
      <c r="B181" s="6"/>
      <c r="D181" s="6"/>
      <c r="E181" s="6"/>
      <c r="F181" s="6"/>
      <c r="G181" s="6"/>
      <c r="H181" s="6"/>
      <c r="I181" s="6"/>
      <c r="J181" s="6"/>
      <c r="K181" s="6"/>
    </row>
    <row r="182" spans="2:11">
      <c r="B182" s="6"/>
      <c r="D182" s="6"/>
      <c r="E182" s="6"/>
      <c r="F182" s="6"/>
      <c r="G182" s="6"/>
      <c r="H182" s="6"/>
      <c r="I182" s="6"/>
      <c r="J182" s="6"/>
      <c r="K182" s="6"/>
    </row>
  </sheetData>
  <sheetProtection sheet="1" objects="1" scenarios="1"/>
  <mergeCells count="35">
    <mergeCell ref="A1:P1"/>
    <mergeCell ref="A2:P2"/>
    <mergeCell ref="A3:P3"/>
    <mergeCell ref="A4:D4"/>
    <mergeCell ref="A5:P5"/>
    <mergeCell ref="B49:B55"/>
    <mergeCell ref="B62:E63"/>
    <mergeCell ref="D15:K15"/>
    <mergeCell ref="D16:K16"/>
    <mergeCell ref="D19:K19"/>
    <mergeCell ref="D35:K35"/>
    <mergeCell ref="C20:C21"/>
    <mergeCell ref="D20:D21"/>
    <mergeCell ref="E20:E21"/>
    <mergeCell ref="F20:J20"/>
    <mergeCell ref="D36:K36"/>
    <mergeCell ref="D37:K37"/>
    <mergeCell ref="B39:E39"/>
    <mergeCell ref="B40:B46"/>
    <mergeCell ref="B48:E48"/>
    <mergeCell ref="E22:E24"/>
    <mergeCell ref="B82:B95"/>
    <mergeCell ref="B96:B104"/>
    <mergeCell ref="B65:D65"/>
    <mergeCell ref="B67:B78"/>
    <mergeCell ref="B79:B80"/>
    <mergeCell ref="D79:D80"/>
    <mergeCell ref="E25:E27"/>
    <mergeCell ref="F25:F27"/>
    <mergeCell ref="B10:D10"/>
    <mergeCell ref="F10:S10"/>
    <mergeCell ref="F11:S11"/>
    <mergeCell ref="E12:R12"/>
    <mergeCell ref="E13:R13"/>
    <mergeCell ref="B15:B19"/>
  </mergeCells>
  <conditionalFormatting sqref="H34">
    <cfRule type="containsText" dxfId="66" priority="5" operator="containsText" text="ERROR">
      <formula>NOT(ISERROR(SEARCH("ERROR",H34)))</formula>
    </cfRule>
  </conditionalFormatting>
  <conditionalFormatting sqref="F10">
    <cfRule type="notContainsBlanks" dxfId="65" priority="4">
      <formula>LEN(TRIM(F10))&gt;0</formula>
    </cfRule>
  </conditionalFormatting>
  <conditionalFormatting sqref="F11:S11">
    <cfRule type="expression" dxfId="64" priority="2">
      <formula>E11="NO SE REPORTA"</formula>
    </cfRule>
    <cfRule type="expression" dxfId="63" priority="3">
      <formula>E10="NO APLICA"</formula>
    </cfRule>
  </conditionalFormatting>
  <conditionalFormatting sqref="E12:R12">
    <cfRule type="expression" dxfId="62" priority="1">
      <formula>E11="SI SE REPORTA"</formula>
    </cfRule>
  </conditionalFormatting>
  <dataValidations count="5">
    <dataValidation type="whole" operator="greaterThanOrEqual" allowBlank="1" showErrorMessage="1" errorTitle="ERROR" error="Escriba un número igual o mayor que 0" promptTitle="ERROR" prompt="Escriba un número igual o mayor que 0" sqref="E18:H18">
      <formula1>0</formula1>
    </dataValidation>
    <dataValidation type="decimal" allowBlank="1" showInputMessage="1" showErrorMessage="1" errorTitle="ERROR" error="Escriba un valor entre 0% y 100%" sqref="H28:H33 H22 H25 G22:G33 F22 F25 F28:F33">
      <formula1>0</formula1>
      <formula2>1</formula2>
    </dataValidation>
    <dataValidation allowBlank="1" showInputMessage="1" showErrorMessage="1" sqref="H34 I22:I34"/>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79"/>
  <sheetViews>
    <sheetView showGridLines="0" topLeftCell="A4" zoomScale="98" zoomScaleNormal="98" workbookViewId="0">
      <selection activeCell="A4" sqref="A1:XFD1048576"/>
    </sheetView>
  </sheetViews>
  <sheetFormatPr baseColWidth="10" defaultRowHeight="15"/>
  <cols>
    <col min="1" max="1" width="1.85546875" customWidth="1"/>
    <col min="2" max="2" width="12.85546875" customWidth="1"/>
    <col min="3" max="3" width="5" style="88" bestFit="1" customWidth="1"/>
    <col min="4" max="4" width="34.85546875" customWidth="1"/>
    <col min="5" max="5" width="12.140625" customWidth="1"/>
  </cols>
  <sheetData>
    <row r="1" spans="1:21" s="551" customFormat="1" ht="100.5" customHeight="1" thickBot="1">
      <c r="A1" s="1344"/>
      <c r="B1" s="1345"/>
      <c r="C1" s="1345"/>
      <c r="D1" s="1345"/>
      <c r="E1" s="1345"/>
      <c r="F1" s="1345"/>
      <c r="G1" s="1345"/>
      <c r="H1" s="1345"/>
      <c r="I1" s="1345"/>
      <c r="J1" s="1345"/>
      <c r="K1" s="1345"/>
      <c r="L1" s="1345"/>
      <c r="M1" s="1345"/>
      <c r="N1" s="1345"/>
      <c r="O1" s="1345"/>
      <c r="P1" s="1346"/>
      <c r="Q1" s="413"/>
      <c r="R1" s="413"/>
    </row>
    <row r="2" spans="1:21" s="552" customFormat="1" ht="16.5" thickBot="1">
      <c r="A2" s="1352" t="str">
        <f>'Datos Generales'!C5</f>
        <v>Corporación Autónoma Regional de La Guajira – CORPOGUAJIRA</v>
      </c>
      <c r="B2" s="1353"/>
      <c r="C2" s="1353"/>
      <c r="D2" s="1353"/>
      <c r="E2" s="1353"/>
      <c r="F2" s="1353"/>
      <c r="G2" s="1353"/>
      <c r="H2" s="1353"/>
      <c r="I2" s="1353"/>
      <c r="J2" s="1353"/>
      <c r="K2" s="1353"/>
      <c r="L2" s="1353"/>
      <c r="M2" s="1353"/>
      <c r="N2" s="1353"/>
      <c r="O2" s="1353"/>
      <c r="P2" s="1354"/>
      <c r="Q2" s="413"/>
      <c r="R2" s="413"/>
    </row>
    <row r="3" spans="1:21" s="552" customFormat="1" ht="16.5" thickBot="1">
      <c r="A3" s="1347" t="s">
        <v>1419</v>
      </c>
      <c r="B3" s="1348"/>
      <c r="C3" s="1348"/>
      <c r="D3" s="1348"/>
      <c r="E3" s="1348"/>
      <c r="F3" s="1348"/>
      <c r="G3" s="1348"/>
      <c r="H3" s="1348"/>
      <c r="I3" s="1348"/>
      <c r="J3" s="1348"/>
      <c r="K3" s="1348"/>
      <c r="L3" s="1348"/>
      <c r="M3" s="1348"/>
      <c r="N3" s="1348"/>
      <c r="O3" s="1348"/>
      <c r="P3" s="1349"/>
      <c r="Q3" s="413"/>
      <c r="R3" s="413"/>
    </row>
    <row r="4" spans="1:21" s="552" customFormat="1" ht="16.5" thickBot="1">
      <c r="A4" s="1350" t="s">
        <v>1418</v>
      </c>
      <c r="B4" s="1351"/>
      <c r="C4" s="1351"/>
      <c r="D4" s="1351"/>
      <c r="E4" s="571" t="str">
        <f>'Datos Generales'!C6</f>
        <v>2016-II</v>
      </c>
      <c r="F4" s="571"/>
      <c r="G4" s="571"/>
      <c r="H4" s="571"/>
      <c r="I4" s="571"/>
      <c r="J4" s="571"/>
      <c r="K4" s="571"/>
      <c r="L4" s="572"/>
      <c r="M4" s="572"/>
      <c r="N4" s="572"/>
      <c r="O4" s="572"/>
      <c r="P4" s="573"/>
      <c r="Q4" s="413"/>
      <c r="R4" s="413"/>
    </row>
    <row r="5" spans="1:21" s="245" customFormat="1" ht="16.5" customHeight="1" thickBot="1">
      <c r="A5" s="1347" t="s">
        <v>643</v>
      </c>
      <c r="B5" s="1348"/>
      <c r="C5" s="1348"/>
      <c r="D5" s="1348"/>
      <c r="E5" s="1348"/>
      <c r="F5" s="1348"/>
      <c r="G5" s="1348"/>
      <c r="H5" s="1348"/>
      <c r="I5" s="1348"/>
      <c r="J5" s="1348"/>
      <c r="K5" s="1348"/>
      <c r="L5" s="1348"/>
      <c r="M5" s="1348"/>
      <c r="N5" s="1348"/>
      <c r="O5" s="1348"/>
      <c r="P5" s="1349"/>
    </row>
    <row r="6" spans="1:21">
      <c r="B6" s="2" t="s">
        <v>1</v>
      </c>
      <c r="C6" s="77"/>
      <c r="D6" s="6"/>
      <c r="E6" s="75"/>
      <c r="F6" s="6" t="s">
        <v>133</v>
      </c>
      <c r="G6" s="6"/>
      <c r="H6" s="6"/>
      <c r="I6" s="6"/>
      <c r="J6" s="6"/>
      <c r="K6" s="6"/>
    </row>
    <row r="7" spans="1:21" ht="15.75" thickBot="1">
      <c r="B7" s="76"/>
      <c r="C7" s="78"/>
      <c r="D7" s="6"/>
      <c r="E7" s="18"/>
      <c r="F7" s="6" t="s">
        <v>134</v>
      </c>
      <c r="G7" s="6"/>
      <c r="H7" s="6"/>
      <c r="I7" s="6"/>
      <c r="J7" s="6"/>
      <c r="K7" s="6"/>
    </row>
    <row r="8" spans="1:21" ht="15.75" thickBot="1">
      <c r="B8" s="178" t="s">
        <v>1204</v>
      </c>
      <c r="C8" s="222">
        <v>2017</v>
      </c>
      <c r="D8" s="226">
        <f>IF(E10="NO APLICA","NO APLICA",IF(E11="NO SE REPORTA","SIN INFORMACION",+F22))</f>
        <v>0.46666666666666667</v>
      </c>
      <c r="E8" s="223"/>
      <c r="F8" s="6" t="s">
        <v>135</v>
      </c>
      <c r="G8" s="6"/>
      <c r="H8" s="6"/>
      <c r="I8" s="6"/>
      <c r="J8" s="6"/>
      <c r="K8" s="6"/>
    </row>
    <row r="9" spans="1:21">
      <c r="B9" s="507" t="s">
        <v>1205</v>
      </c>
      <c r="D9" s="6"/>
      <c r="E9" s="6"/>
      <c r="F9" s="6"/>
      <c r="G9" s="6"/>
      <c r="H9" s="6"/>
      <c r="I9" s="6"/>
      <c r="J9" s="6"/>
      <c r="K9" s="6"/>
    </row>
    <row r="10" spans="1:21" s="413" customFormat="1">
      <c r="A10" s="245"/>
      <c r="B10" s="1412" t="s">
        <v>1265</v>
      </c>
      <c r="C10" s="1412"/>
      <c r="D10" s="1412"/>
      <c r="E10" s="513" t="s">
        <v>1262</v>
      </c>
      <c r="F10" s="1419"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420"/>
      <c r="H10" s="1420"/>
      <c r="I10" s="1420"/>
      <c r="J10" s="1420"/>
      <c r="K10" s="1420"/>
      <c r="L10" s="1420"/>
      <c r="M10" s="1420"/>
      <c r="N10" s="1420"/>
      <c r="O10" s="1420"/>
      <c r="P10" s="1420"/>
      <c r="Q10" s="1420"/>
      <c r="R10" s="1420"/>
      <c r="S10" s="1420"/>
      <c r="T10" s="509"/>
      <c r="U10" s="509"/>
    </row>
    <row r="11" spans="1:21" s="413" customFormat="1" ht="14.45" customHeight="1">
      <c r="A11" s="245"/>
      <c r="B11" s="510"/>
      <c r="C11" s="511"/>
      <c r="D11" s="512" t="str">
        <f>IF(E10="SI APLICA","¿El indicador no se reporta por limitaciones de información disponible? ","")</f>
        <v xml:space="preserve">¿El indicador no se reporta por limitaciones de información disponible? </v>
      </c>
      <c r="E11" s="514" t="s">
        <v>1264</v>
      </c>
      <c r="F11" s="1413"/>
      <c r="G11" s="1414"/>
      <c r="H11" s="1414"/>
      <c r="I11" s="1414"/>
      <c r="J11" s="1414"/>
      <c r="K11" s="1414"/>
      <c r="L11" s="1414"/>
      <c r="M11" s="1414"/>
      <c r="N11" s="1414"/>
      <c r="O11" s="1414"/>
      <c r="P11" s="1414"/>
      <c r="Q11" s="1414"/>
      <c r="R11" s="1414"/>
      <c r="S11" s="1414"/>
    </row>
    <row r="12" spans="1:21" s="413" customFormat="1" ht="23.45" customHeight="1">
      <c r="A12" s="245"/>
      <c r="B12" s="507"/>
      <c r="C12" s="304"/>
      <c r="D12" s="512" t="str">
        <f>IF(E11="SI SE REPORTA","¿Qué programas o proyectos del Plan de Acción están asociados al indicador? ","")</f>
        <v xml:space="preserve">¿Qué programas o proyectos del Plan de Acción están asociados al indicador? </v>
      </c>
      <c r="E12" s="1415" t="str">
        <f>'Anexo 1 Matriz Inf Gestión'!E80:H80</f>
        <v>Proyecto No. 6.1.  (13). Evaluación, Seguimiento, Monitoreo y Control de la calidad de los recursos naturales y la biodiversidad.</v>
      </c>
      <c r="F12" s="1415"/>
      <c r="G12" s="1415"/>
      <c r="H12" s="1415"/>
      <c r="I12" s="1415"/>
      <c r="J12" s="1415"/>
      <c r="K12" s="1415"/>
      <c r="L12" s="1415"/>
      <c r="M12" s="1415"/>
      <c r="N12" s="1415"/>
      <c r="O12" s="1415"/>
      <c r="P12" s="1415"/>
      <c r="Q12" s="1415"/>
      <c r="R12" s="1415"/>
    </row>
    <row r="13" spans="1:21" s="413" customFormat="1" ht="21.95" customHeight="1">
      <c r="A13" s="245"/>
      <c r="B13" s="507"/>
      <c r="C13" s="304"/>
      <c r="D13" s="512" t="s">
        <v>1267</v>
      </c>
      <c r="E13" s="1416"/>
      <c r="F13" s="1417"/>
      <c r="G13" s="1417"/>
      <c r="H13" s="1417"/>
      <c r="I13" s="1417"/>
      <c r="J13" s="1417"/>
      <c r="K13" s="1417"/>
      <c r="L13" s="1417"/>
      <c r="M13" s="1417"/>
      <c r="N13" s="1417"/>
      <c r="O13" s="1417"/>
      <c r="P13" s="1417"/>
      <c r="Q13" s="1417"/>
      <c r="R13" s="1418"/>
    </row>
    <row r="14" spans="1:21" s="413" customFormat="1" ht="6.95" customHeight="1" thickBot="1">
      <c r="B14" s="507"/>
      <c r="C14" s="88"/>
      <c r="D14" s="6"/>
      <c r="E14" s="6"/>
      <c r="F14" s="6"/>
      <c r="G14" s="6"/>
      <c r="H14" s="6"/>
      <c r="I14" s="6"/>
      <c r="J14" s="6"/>
      <c r="K14" s="6"/>
    </row>
    <row r="15" spans="1:21" ht="15.75" thickBot="1">
      <c r="B15" s="1447" t="s">
        <v>2</v>
      </c>
      <c r="C15" s="90"/>
      <c r="D15" s="1458" t="s">
        <v>3</v>
      </c>
      <c r="E15" s="1459"/>
      <c r="F15" s="1459"/>
      <c r="G15" s="1459"/>
      <c r="H15" s="1459"/>
      <c r="I15" s="1460"/>
      <c r="J15" s="6"/>
      <c r="K15" s="6"/>
    </row>
    <row r="16" spans="1:21" ht="36.75" thickBot="1">
      <c r="B16" s="1448"/>
      <c r="C16" s="95"/>
      <c r="D16" s="44" t="s">
        <v>657</v>
      </c>
      <c r="E16" s="7">
        <v>15</v>
      </c>
      <c r="F16" s="6"/>
      <c r="G16" s="6"/>
      <c r="H16" s="6"/>
      <c r="I16" s="22"/>
      <c r="J16" s="6"/>
      <c r="K16" s="6"/>
    </row>
    <row r="17" spans="2:11" ht="72.75" thickBot="1">
      <c r="B17" s="1448"/>
      <c r="C17" s="95"/>
      <c r="D17" s="41" t="s">
        <v>658</v>
      </c>
      <c r="E17" s="7">
        <v>15</v>
      </c>
      <c r="F17" s="6"/>
      <c r="G17" s="6"/>
      <c r="H17" s="6"/>
      <c r="I17" s="22"/>
      <c r="J17" s="6"/>
      <c r="K17" s="6"/>
    </row>
    <row r="18" spans="2:11" ht="15.75" thickBot="1">
      <c r="B18" s="1448"/>
      <c r="C18" s="93"/>
      <c r="D18" s="1492"/>
      <c r="E18" s="1493"/>
      <c r="F18" s="1493"/>
      <c r="G18" s="1493"/>
      <c r="H18" s="1493"/>
      <c r="I18" s="1494"/>
      <c r="J18" s="6"/>
      <c r="K18" s="6"/>
    </row>
    <row r="19" spans="2:11" ht="15.75" thickBot="1">
      <c r="B19" s="1448"/>
      <c r="C19" s="95"/>
      <c r="D19" s="44" t="s">
        <v>156</v>
      </c>
      <c r="E19" s="39" t="s">
        <v>25</v>
      </c>
      <c r="F19" s="39" t="s">
        <v>26</v>
      </c>
      <c r="G19" s="39" t="s">
        <v>27</v>
      </c>
      <c r="H19" s="39" t="s">
        <v>28</v>
      </c>
      <c r="I19" s="39" t="s">
        <v>157</v>
      </c>
      <c r="J19" s="6"/>
      <c r="K19" s="6"/>
    </row>
    <row r="20" spans="2:11" ht="48.75" thickBot="1">
      <c r="B20" s="1448"/>
      <c r="C20" s="95"/>
      <c r="D20" s="129" t="s">
        <v>659</v>
      </c>
      <c r="E20" s="7">
        <v>15</v>
      </c>
      <c r="F20" s="7">
        <v>15</v>
      </c>
      <c r="G20" s="7">
        <v>15</v>
      </c>
      <c r="H20" s="7">
        <v>15</v>
      </c>
      <c r="I20" s="43">
        <f>SUM(E20:H20)/4</f>
        <v>15</v>
      </c>
      <c r="J20" s="6"/>
      <c r="K20" s="6"/>
    </row>
    <row r="21" spans="2:11" ht="36.75" thickBot="1">
      <c r="B21" s="1448"/>
      <c r="C21" s="95"/>
      <c r="D21" s="129" t="s">
        <v>660</v>
      </c>
      <c r="E21" s="7">
        <v>15</v>
      </c>
      <c r="F21" s="7">
        <v>7</v>
      </c>
      <c r="G21" s="7"/>
      <c r="H21" s="7"/>
      <c r="I21" s="43">
        <f t="shared" ref="I21" si="0">SUM(E21:H21)</f>
        <v>22</v>
      </c>
      <c r="J21" s="6"/>
      <c r="K21" s="6"/>
    </row>
    <row r="22" spans="2:11" ht="48.75" thickBot="1">
      <c r="B22" s="1449"/>
      <c r="C22" s="3"/>
      <c r="D22" s="129" t="s">
        <v>661</v>
      </c>
      <c r="E22" s="145">
        <f>IFERROR(E21/E20,0)</f>
        <v>1</v>
      </c>
      <c r="F22" s="145">
        <f t="shared" ref="F22:I22" si="1">IFERROR(F21/F20,0)</f>
        <v>0.46666666666666667</v>
      </c>
      <c r="G22" s="145">
        <f t="shared" si="1"/>
        <v>0</v>
      </c>
      <c r="H22" s="145">
        <f t="shared" si="1"/>
        <v>0</v>
      </c>
      <c r="I22" s="145">
        <f t="shared" si="1"/>
        <v>1.4666666666666666</v>
      </c>
      <c r="J22" s="6"/>
      <c r="K22" s="6"/>
    </row>
    <row r="23" spans="2:11" ht="36" customHeight="1" thickBot="1">
      <c r="B23" s="48" t="s">
        <v>39</v>
      </c>
      <c r="C23" s="94"/>
      <c r="D23" s="1453" t="s">
        <v>662</v>
      </c>
      <c r="E23" s="1454"/>
      <c r="F23" s="1454"/>
      <c r="G23" s="1454"/>
      <c r="H23" s="1454"/>
      <c r="I23" s="1455"/>
      <c r="J23" s="6"/>
      <c r="K23" s="6"/>
    </row>
    <row r="24" spans="2:11" ht="36" customHeight="1" thickBot="1">
      <c r="B24" s="48" t="s">
        <v>41</v>
      </c>
      <c r="C24" s="94"/>
      <c r="D24" s="1453" t="s">
        <v>165</v>
      </c>
      <c r="E24" s="1454"/>
      <c r="F24" s="1454"/>
      <c r="G24" s="1454"/>
      <c r="H24" s="1454"/>
      <c r="I24" s="1455"/>
      <c r="J24" s="6"/>
      <c r="K24" s="6"/>
    </row>
    <row r="25" spans="2:11" ht="15.75" thickBot="1">
      <c r="B25" s="38"/>
      <c r="C25" s="89"/>
      <c r="D25" s="6"/>
      <c r="E25" s="6"/>
      <c r="F25" s="6"/>
      <c r="G25" s="6"/>
      <c r="H25" s="6"/>
      <c r="I25" s="6"/>
      <c r="J25" s="6"/>
      <c r="K25" s="6"/>
    </row>
    <row r="26" spans="2:11" ht="24" customHeight="1" thickBot="1">
      <c r="B26" s="1450" t="s">
        <v>43</v>
      </c>
      <c r="C26" s="1451"/>
      <c r="D26" s="1451"/>
      <c r="E26" s="1452"/>
      <c r="F26" s="6"/>
      <c r="G26" s="6"/>
      <c r="H26" s="6"/>
      <c r="I26" s="6"/>
      <c r="J26" s="6"/>
      <c r="K26" s="6"/>
    </row>
    <row r="27" spans="2:11" ht="15.75" thickBot="1">
      <c r="B27" s="1447">
        <v>1</v>
      </c>
      <c r="C27" s="95"/>
      <c r="D27" s="49" t="s">
        <v>44</v>
      </c>
      <c r="E27" s="31" t="s">
        <v>1674</v>
      </c>
      <c r="F27" s="6"/>
      <c r="G27" s="6"/>
      <c r="H27" s="6"/>
      <c r="I27" s="6"/>
      <c r="J27" s="6"/>
      <c r="K27" s="6"/>
    </row>
    <row r="28" spans="2:11" ht="15.75" thickBot="1">
      <c r="B28" s="1448"/>
      <c r="C28" s="95"/>
      <c r="D28" s="41" t="s">
        <v>45</v>
      </c>
      <c r="E28" s="167" t="s">
        <v>1670</v>
      </c>
      <c r="F28" s="6"/>
      <c r="G28" s="6"/>
      <c r="H28" s="6"/>
      <c r="I28" s="6"/>
      <c r="J28" s="6"/>
      <c r="K28" s="6"/>
    </row>
    <row r="29" spans="2:11" ht="15.75" thickBot="1">
      <c r="B29" s="1448"/>
      <c r="C29" s="95"/>
      <c r="D29" s="41" t="s">
        <v>46</v>
      </c>
      <c r="E29" s="167" t="s">
        <v>1671</v>
      </c>
      <c r="F29" s="6"/>
      <c r="G29" s="6"/>
      <c r="H29" s="6"/>
      <c r="I29" s="6"/>
      <c r="J29" s="6"/>
      <c r="K29" s="6"/>
    </row>
    <row r="30" spans="2:11" ht="15.75" thickBot="1">
      <c r="B30" s="1448"/>
      <c r="C30" s="95"/>
      <c r="D30" s="41" t="s">
        <v>47</v>
      </c>
      <c r="E30" s="167" t="s">
        <v>1672</v>
      </c>
      <c r="F30" s="6"/>
      <c r="G30" s="6"/>
      <c r="H30" s="6"/>
      <c r="I30" s="6"/>
      <c r="J30" s="6"/>
      <c r="K30" s="6"/>
    </row>
    <row r="31" spans="2:11" ht="15.75" thickBot="1">
      <c r="B31" s="1448"/>
      <c r="C31" s="95"/>
      <c r="D31" s="41" t="s">
        <v>48</v>
      </c>
      <c r="E31" s="167" t="s">
        <v>1673</v>
      </c>
      <c r="F31" s="6"/>
      <c r="G31" s="6"/>
      <c r="H31" s="6"/>
      <c r="I31" s="6"/>
      <c r="J31" s="6"/>
      <c r="K31" s="6"/>
    </row>
    <row r="32" spans="2:11" ht="15.75" thickBot="1">
      <c r="B32" s="1448"/>
      <c r="C32" s="95"/>
      <c r="D32" s="41" t="s">
        <v>49</v>
      </c>
      <c r="E32" s="167" t="s">
        <v>1711</v>
      </c>
      <c r="F32" s="6"/>
      <c r="G32" s="6"/>
      <c r="H32" s="6"/>
      <c r="I32" s="6"/>
      <c r="J32" s="6"/>
      <c r="K32" s="6"/>
    </row>
    <row r="33" spans="2:11" ht="15.75" thickBot="1">
      <c r="B33" s="1449"/>
      <c r="C33" s="3"/>
      <c r="D33" s="41" t="s">
        <v>50</v>
      </c>
      <c r="E33" s="167" t="s">
        <v>1669</v>
      </c>
      <c r="F33" s="6"/>
      <c r="G33" s="6"/>
      <c r="H33" s="6"/>
      <c r="I33" s="6"/>
      <c r="J33" s="6"/>
      <c r="K33" s="6"/>
    </row>
    <row r="34" spans="2:11" ht="15.75" thickBot="1">
      <c r="B34" s="2"/>
      <c r="C34" s="77"/>
      <c r="D34" s="6"/>
      <c r="E34" s="6"/>
      <c r="F34" s="6"/>
      <c r="G34" s="6"/>
      <c r="H34" s="6"/>
      <c r="I34" s="6"/>
      <c r="J34" s="6"/>
      <c r="K34" s="6"/>
    </row>
    <row r="35" spans="2:11" ht="15.75" thickBot="1">
      <c r="B35" s="1450" t="s">
        <v>51</v>
      </c>
      <c r="C35" s="1451"/>
      <c r="D35" s="1451"/>
      <c r="E35" s="1452"/>
      <c r="F35" s="6"/>
      <c r="G35" s="6"/>
      <c r="H35" s="6"/>
      <c r="I35" s="6"/>
      <c r="J35" s="6"/>
      <c r="K35" s="6"/>
    </row>
    <row r="36" spans="2:11" ht="15.75" thickBot="1">
      <c r="B36" s="1447">
        <v>1</v>
      </c>
      <c r="C36" s="95"/>
      <c r="D36" s="49" t="s">
        <v>44</v>
      </c>
      <c r="E36" s="445" t="s">
        <v>52</v>
      </c>
      <c r="F36" s="6"/>
      <c r="G36" s="6"/>
      <c r="H36" s="6"/>
      <c r="I36" s="6"/>
      <c r="J36" s="6"/>
      <c r="K36" s="6"/>
    </row>
    <row r="37" spans="2:11" ht="15.75" thickBot="1">
      <c r="B37" s="1448"/>
      <c r="C37" s="95"/>
      <c r="D37" s="41" t="s">
        <v>45</v>
      </c>
      <c r="E37" s="445" t="s">
        <v>166</v>
      </c>
      <c r="F37" s="6"/>
      <c r="G37" s="6"/>
      <c r="H37" s="6"/>
      <c r="I37" s="6"/>
      <c r="J37" s="6"/>
      <c r="K37" s="6"/>
    </row>
    <row r="38" spans="2:11" ht="15.75" thickBot="1">
      <c r="B38" s="1448"/>
      <c r="C38" s="95"/>
      <c r="D38" s="41" t="s">
        <v>46</v>
      </c>
      <c r="E38" s="315"/>
      <c r="F38" s="6"/>
      <c r="G38" s="6"/>
      <c r="H38" s="6"/>
      <c r="I38" s="6"/>
      <c r="J38" s="6"/>
      <c r="K38" s="6"/>
    </row>
    <row r="39" spans="2:11" ht="15.75" thickBot="1">
      <c r="B39" s="1448"/>
      <c r="C39" s="95"/>
      <c r="D39" s="41" t="s">
        <v>47</v>
      </c>
      <c r="E39" s="315"/>
      <c r="F39" s="6"/>
      <c r="G39" s="6"/>
      <c r="H39" s="6"/>
      <c r="I39" s="6"/>
      <c r="J39" s="6"/>
      <c r="K39" s="6"/>
    </row>
    <row r="40" spans="2:11" ht="15.75" thickBot="1">
      <c r="B40" s="1448"/>
      <c r="C40" s="95"/>
      <c r="D40" s="41" t="s">
        <v>48</v>
      </c>
      <c r="E40" s="315"/>
      <c r="F40" s="6"/>
      <c r="G40" s="6"/>
      <c r="H40" s="6"/>
      <c r="I40" s="6"/>
      <c r="J40" s="6"/>
      <c r="K40" s="6"/>
    </row>
    <row r="41" spans="2:11" ht="15.75" thickBot="1">
      <c r="B41" s="1448"/>
      <c r="C41" s="95"/>
      <c r="D41" s="41" t="s">
        <v>49</v>
      </c>
      <c r="E41" s="315"/>
      <c r="F41" s="6"/>
      <c r="G41" s="6"/>
      <c r="H41" s="6"/>
      <c r="I41" s="6"/>
      <c r="J41" s="6"/>
      <c r="K41" s="6"/>
    </row>
    <row r="42" spans="2:11" ht="15.75" thickBot="1">
      <c r="B42" s="1449"/>
      <c r="C42" s="3"/>
      <c r="D42" s="41" t="s">
        <v>50</v>
      </c>
      <c r="E42" s="315"/>
      <c r="F42" s="6"/>
      <c r="G42" s="6"/>
      <c r="H42" s="6"/>
      <c r="I42" s="6"/>
      <c r="J42" s="6"/>
      <c r="K42" s="6"/>
    </row>
    <row r="43" spans="2:11" ht="15.75" thickBot="1">
      <c r="B43" s="38"/>
      <c r="C43" s="89"/>
      <c r="D43" s="6"/>
      <c r="E43" s="6"/>
      <c r="F43" s="6"/>
      <c r="G43" s="6"/>
      <c r="H43" s="6"/>
      <c r="I43" s="6"/>
      <c r="J43" s="6"/>
      <c r="K43" s="6"/>
    </row>
    <row r="44" spans="2:11" ht="15" customHeight="1" thickBot="1">
      <c r="B44" s="121" t="s">
        <v>54</v>
      </c>
      <c r="C44" s="122"/>
      <c r="D44" s="122"/>
      <c r="E44" s="123"/>
      <c r="G44" s="6"/>
      <c r="H44" s="6"/>
      <c r="I44" s="6"/>
      <c r="J44" s="6"/>
      <c r="K44" s="6"/>
    </row>
    <row r="45" spans="2:11" ht="24.75" thickBot="1">
      <c r="B45" s="48" t="s">
        <v>55</v>
      </c>
      <c r="C45" s="41" t="s">
        <v>56</v>
      </c>
      <c r="D45" s="41" t="s">
        <v>57</v>
      </c>
      <c r="E45" s="41" t="s">
        <v>58</v>
      </c>
      <c r="F45" s="6"/>
      <c r="G45" s="6"/>
      <c r="H45" s="6"/>
      <c r="I45" s="6"/>
      <c r="J45" s="6"/>
    </row>
    <row r="46" spans="2:11" ht="72.75" thickBot="1">
      <c r="B46" s="50">
        <v>42401</v>
      </c>
      <c r="C46" s="41">
        <v>0.01</v>
      </c>
      <c r="D46" s="51" t="s">
        <v>663</v>
      </c>
      <c r="E46" s="41"/>
      <c r="F46" s="6"/>
      <c r="G46" s="6"/>
      <c r="H46" s="6"/>
      <c r="I46" s="6"/>
      <c r="J46" s="6"/>
    </row>
    <row r="47" spans="2:11" ht="15.75" thickBot="1">
      <c r="B47" s="4"/>
      <c r="C47" s="96"/>
      <c r="D47" s="6"/>
      <c r="E47" s="6"/>
      <c r="F47" s="6"/>
      <c r="G47" s="6"/>
      <c r="H47" s="6"/>
      <c r="I47" s="6"/>
      <c r="J47" s="6"/>
      <c r="K47" s="6"/>
    </row>
    <row r="48" spans="2:11" ht="15.75" thickBot="1">
      <c r="B48" s="444" t="s">
        <v>60</v>
      </c>
      <c r="C48" s="97"/>
      <c r="D48" s="6"/>
      <c r="E48" s="6"/>
      <c r="F48" s="6"/>
      <c r="G48" s="6"/>
      <c r="H48" s="6"/>
      <c r="I48" s="6"/>
      <c r="J48" s="6"/>
      <c r="K48" s="6"/>
    </row>
    <row r="49" spans="2:11">
      <c r="B49" s="1560"/>
      <c r="C49" s="1561"/>
      <c r="D49" s="1561"/>
      <c r="E49" s="1562"/>
      <c r="F49" s="6"/>
      <c r="G49" s="6"/>
      <c r="H49" s="6"/>
      <c r="I49" s="6"/>
      <c r="J49" s="6"/>
      <c r="K49" s="6"/>
    </row>
    <row r="50" spans="2:11" ht="15.75" thickBot="1">
      <c r="B50" s="1563"/>
      <c r="C50" s="1564"/>
      <c r="D50" s="1564"/>
      <c r="E50" s="1565"/>
      <c r="F50" s="6"/>
      <c r="G50" s="6"/>
      <c r="H50" s="6"/>
      <c r="I50" s="6"/>
      <c r="J50" s="6"/>
      <c r="K50" s="6"/>
    </row>
    <row r="51" spans="2:11" ht="15.75" thickBot="1">
      <c r="B51" s="6"/>
      <c r="D51" s="6"/>
      <c r="E51" s="6"/>
      <c r="F51" s="6"/>
      <c r="G51" s="6"/>
      <c r="H51" s="6"/>
      <c r="I51" s="6"/>
      <c r="J51" s="6"/>
      <c r="K51" s="6"/>
    </row>
    <row r="52" spans="2:11" ht="24.75" thickBot="1">
      <c r="B52" s="52" t="s">
        <v>61</v>
      </c>
      <c r="C52" s="98"/>
      <c r="D52" s="6"/>
      <c r="E52" s="6"/>
      <c r="F52" s="6"/>
      <c r="G52" s="6"/>
      <c r="H52" s="6"/>
      <c r="I52" s="6"/>
      <c r="J52" s="6"/>
      <c r="K52" s="6"/>
    </row>
    <row r="53" spans="2:11" ht="15.75" thickBot="1">
      <c r="B53" s="2"/>
      <c r="C53" s="77"/>
      <c r="D53" s="6"/>
      <c r="E53" s="6"/>
      <c r="F53" s="6"/>
      <c r="G53" s="6"/>
      <c r="H53" s="6"/>
      <c r="I53" s="6"/>
      <c r="J53" s="6"/>
      <c r="K53" s="6"/>
    </row>
    <row r="54" spans="2:11" ht="84.75" thickBot="1">
      <c r="B54" s="53" t="s">
        <v>62</v>
      </c>
      <c r="C54" s="99"/>
      <c r="D54" s="44" t="s">
        <v>644</v>
      </c>
      <c r="E54" s="6"/>
      <c r="F54" s="6"/>
      <c r="G54" s="6"/>
      <c r="H54" s="6"/>
      <c r="I54" s="6"/>
      <c r="J54" s="6"/>
      <c r="K54" s="6"/>
    </row>
    <row r="55" spans="2:11">
      <c r="B55" s="1447" t="s">
        <v>64</v>
      </c>
      <c r="C55" s="95"/>
      <c r="D55" s="54" t="s">
        <v>65</v>
      </c>
      <c r="E55" s="6"/>
      <c r="F55" s="6"/>
      <c r="G55" s="6"/>
      <c r="H55" s="6"/>
      <c r="I55" s="6"/>
      <c r="J55" s="6"/>
      <c r="K55" s="6"/>
    </row>
    <row r="56" spans="2:11" ht="84">
      <c r="B56" s="1448"/>
      <c r="C56" s="95"/>
      <c r="D56" s="47" t="s">
        <v>645</v>
      </c>
      <c r="E56" s="6"/>
      <c r="F56" s="6"/>
      <c r="G56" s="6"/>
      <c r="H56" s="6"/>
      <c r="I56" s="6"/>
      <c r="J56" s="6"/>
      <c r="K56" s="6"/>
    </row>
    <row r="57" spans="2:11">
      <c r="B57" s="1448"/>
      <c r="C57" s="95"/>
      <c r="D57" s="54" t="s">
        <v>139</v>
      </c>
      <c r="E57" s="6"/>
      <c r="F57" s="6"/>
      <c r="G57" s="6"/>
      <c r="H57" s="6"/>
      <c r="I57" s="6"/>
      <c r="J57" s="6"/>
      <c r="K57" s="6"/>
    </row>
    <row r="58" spans="2:11">
      <c r="B58" s="1448"/>
      <c r="C58" s="95"/>
      <c r="D58" s="47" t="s">
        <v>69</v>
      </c>
      <c r="E58" s="6"/>
      <c r="F58" s="6"/>
      <c r="G58" s="6"/>
      <c r="H58" s="6"/>
      <c r="I58" s="6"/>
      <c r="J58" s="6"/>
      <c r="K58" s="6"/>
    </row>
    <row r="59" spans="2:11" ht="36">
      <c r="B59" s="1448"/>
      <c r="C59" s="95"/>
      <c r="D59" s="47" t="s">
        <v>646</v>
      </c>
      <c r="E59" s="6"/>
      <c r="F59" s="6"/>
      <c r="G59" s="6"/>
      <c r="H59" s="6"/>
      <c r="I59" s="6"/>
      <c r="J59" s="6"/>
      <c r="K59" s="6"/>
    </row>
    <row r="60" spans="2:11" ht="24">
      <c r="B60" s="1448"/>
      <c r="C60" s="95"/>
      <c r="D60" s="47" t="s">
        <v>647</v>
      </c>
      <c r="E60" s="6"/>
      <c r="F60" s="6"/>
      <c r="G60" s="6"/>
      <c r="H60" s="6"/>
      <c r="I60" s="6"/>
      <c r="J60" s="6"/>
      <c r="K60" s="6"/>
    </row>
    <row r="61" spans="2:11">
      <c r="B61" s="1448"/>
      <c r="C61" s="95"/>
      <c r="D61" s="47" t="s">
        <v>648</v>
      </c>
      <c r="E61" s="6"/>
      <c r="F61" s="6"/>
      <c r="G61" s="6"/>
      <c r="H61" s="6"/>
      <c r="I61" s="6"/>
      <c r="J61" s="6"/>
      <c r="K61" s="6"/>
    </row>
    <row r="62" spans="2:11">
      <c r="B62" s="1448"/>
      <c r="C62" s="95"/>
      <c r="D62" s="54" t="s">
        <v>146</v>
      </c>
      <c r="E62" s="6"/>
      <c r="F62" s="6"/>
      <c r="G62" s="6"/>
      <c r="H62" s="6"/>
      <c r="I62" s="6"/>
      <c r="J62" s="6"/>
      <c r="K62" s="6"/>
    </row>
    <row r="63" spans="2:11" ht="60.75" thickBot="1">
      <c r="B63" s="1449"/>
      <c r="C63" s="3"/>
      <c r="D63" s="41" t="s">
        <v>649</v>
      </c>
      <c r="E63" s="6"/>
      <c r="F63" s="6"/>
      <c r="G63" s="6"/>
      <c r="H63" s="6"/>
      <c r="I63" s="6"/>
      <c r="J63" s="6"/>
      <c r="K63" s="6"/>
    </row>
    <row r="64" spans="2:11" ht="24.75" thickBot="1">
      <c r="B64" s="48" t="s">
        <v>77</v>
      </c>
      <c r="C64" s="3"/>
      <c r="D64" s="41"/>
      <c r="E64" s="6"/>
      <c r="F64" s="6"/>
      <c r="G64" s="6"/>
      <c r="H64" s="6"/>
      <c r="I64" s="6"/>
      <c r="J64" s="6"/>
      <c r="K64" s="6"/>
    </row>
    <row r="65" spans="2:11" ht="276">
      <c r="B65" s="1447" t="s">
        <v>78</v>
      </c>
      <c r="C65" s="95"/>
      <c r="D65" s="47" t="s">
        <v>650</v>
      </c>
      <c r="E65" s="6"/>
      <c r="F65" s="6"/>
      <c r="G65" s="6"/>
      <c r="H65" s="6"/>
      <c r="I65" s="6"/>
      <c r="J65" s="6"/>
      <c r="K65" s="6"/>
    </row>
    <row r="66" spans="2:11" ht="132">
      <c r="B66" s="1448"/>
      <c r="C66" s="95"/>
      <c r="D66" s="47" t="s">
        <v>651</v>
      </c>
      <c r="E66" s="6"/>
      <c r="F66" s="6"/>
      <c r="G66" s="6"/>
      <c r="H66" s="6"/>
      <c r="I66" s="6"/>
      <c r="J66" s="6"/>
      <c r="K66" s="6"/>
    </row>
    <row r="67" spans="2:11" ht="72.75" thickBot="1">
      <c r="B67" s="1449"/>
      <c r="C67" s="3"/>
      <c r="D67" s="41" t="s">
        <v>652</v>
      </c>
      <c r="E67" s="6"/>
      <c r="F67" s="6"/>
      <c r="G67" s="6"/>
      <c r="H67" s="6"/>
      <c r="I67" s="6"/>
      <c r="J67" s="6"/>
      <c r="K67" s="6"/>
    </row>
    <row r="68" spans="2:11">
      <c r="B68" s="1447" t="s">
        <v>95</v>
      </c>
      <c r="C68" s="95"/>
      <c r="D68" s="47"/>
      <c r="E68" s="6"/>
      <c r="F68" s="6"/>
      <c r="G68" s="6"/>
      <c r="H68" s="6"/>
      <c r="I68" s="6"/>
      <c r="J68" s="6"/>
      <c r="K68" s="6"/>
    </row>
    <row r="69" spans="2:11">
      <c r="B69" s="1448"/>
      <c r="C69" s="95"/>
      <c r="D69" s="17"/>
      <c r="E69" s="6"/>
      <c r="F69" s="6"/>
      <c r="G69" s="6"/>
      <c r="H69" s="6"/>
      <c r="I69" s="6"/>
      <c r="J69" s="6"/>
      <c r="K69" s="6"/>
    </row>
    <row r="70" spans="2:11">
      <c r="B70" s="1448"/>
      <c r="C70" s="95"/>
      <c r="D70" s="47" t="s">
        <v>96</v>
      </c>
      <c r="E70" s="6"/>
      <c r="F70" s="6"/>
      <c r="G70" s="6"/>
      <c r="H70" s="6"/>
      <c r="I70" s="6"/>
      <c r="J70" s="6"/>
      <c r="K70" s="6"/>
    </row>
    <row r="71" spans="2:11" ht="61.5">
      <c r="B71" s="1448"/>
      <c r="C71" s="95"/>
      <c r="D71" s="47" t="s">
        <v>653</v>
      </c>
      <c r="E71" s="6"/>
      <c r="F71" s="6"/>
      <c r="G71" s="6"/>
      <c r="H71" s="6"/>
      <c r="I71" s="6"/>
      <c r="J71" s="6"/>
      <c r="K71" s="6"/>
    </row>
    <row r="72" spans="2:11" ht="49.5">
      <c r="B72" s="1448"/>
      <c r="C72" s="95"/>
      <c r="D72" s="47" t="s">
        <v>654</v>
      </c>
      <c r="E72" s="6"/>
      <c r="F72" s="6"/>
      <c r="G72" s="6"/>
      <c r="H72" s="6"/>
      <c r="I72" s="6"/>
      <c r="J72" s="6"/>
      <c r="K72" s="6"/>
    </row>
    <row r="73" spans="2:11" ht="49.5">
      <c r="B73" s="1448"/>
      <c r="C73" s="95"/>
      <c r="D73" s="47" t="s">
        <v>655</v>
      </c>
      <c r="E73" s="6"/>
      <c r="F73" s="6"/>
      <c r="G73" s="6"/>
      <c r="H73" s="6"/>
      <c r="I73" s="6"/>
      <c r="J73" s="6"/>
      <c r="K73" s="6"/>
    </row>
    <row r="74" spans="2:11" ht="72.75" thickBot="1">
      <c r="B74" s="1449"/>
      <c r="C74" s="3"/>
      <c r="D74" s="41" t="s">
        <v>656</v>
      </c>
      <c r="E74" s="6"/>
      <c r="F74" s="6"/>
      <c r="G74" s="6"/>
      <c r="H74" s="6"/>
      <c r="I74" s="6"/>
      <c r="J74" s="6"/>
      <c r="K74" s="6"/>
    </row>
    <row r="75" spans="2:11">
      <c r="B75" s="6"/>
      <c r="D75" s="6"/>
      <c r="E75" s="6"/>
      <c r="F75" s="6"/>
      <c r="G75" s="6"/>
      <c r="H75" s="6"/>
      <c r="I75" s="6"/>
      <c r="J75" s="6"/>
      <c r="K75" s="6"/>
    </row>
    <row r="76" spans="2:11">
      <c r="B76" s="6"/>
      <c r="D76" s="6"/>
      <c r="E76" s="6"/>
      <c r="F76" s="6"/>
      <c r="G76" s="6"/>
      <c r="H76" s="6"/>
      <c r="I76" s="6"/>
      <c r="J76" s="6"/>
      <c r="K76" s="6"/>
    </row>
    <row r="77" spans="2:11">
      <c r="B77" s="6"/>
      <c r="D77" s="6"/>
      <c r="E77" s="6"/>
      <c r="F77" s="6"/>
      <c r="G77" s="6"/>
      <c r="H77" s="6"/>
      <c r="I77" s="6"/>
      <c r="J77" s="6"/>
      <c r="K77" s="6"/>
    </row>
    <row r="78" spans="2:11">
      <c r="B78" s="6"/>
      <c r="D78" s="6"/>
      <c r="E78" s="6"/>
      <c r="F78" s="6"/>
      <c r="G78" s="6"/>
      <c r="H78" s="6"/>
      <c r="I78" s="6"/>
      <c r="J78" s="6"/>
      <c r="K78" s="6"/>
    </row>
    <row r="79" spans="2:11">
      <c r="B79" s="6"/>
      <c r="D79" s="6"/>
      <c r="E79" s="6"/>
      <c r="F79" s="6"/>
      <c r="G79" s="6"/>
      <c r="H79" s="6"/>
      <c r="I79" s="6"/>
      <c r="J79" s="6"/>
      <c r="K79" s="6"/>
    </row>
    <row r="80" spans="2:11">
      <c r="B80" s="6"/>
      <c r="D80" s="6"/>
      <c r="E80" s="6"/>
      <c r="F80" s="6"/>
      <c r="G80" s="6"/>
      <c r="H80" s="6"/>
      <c r="I80" s="6"/>
      <c r="J80" s="6"/>
      <c r="K80" s="6"/>
    </row>
    <row r="81" spans="2:11">
      <c r="B81" s="6"/>
      <c r="D81" s="6"/>
      <c r="E81" s="6"/>
      <c r="F81" s="6"/>
      <c r="G81" s="6"/>
      <c r="H81" s="6"/>
      <c r="I81" s="6"/>
      <c r="J81" s="6"/>
      <c r="K81" s="6"/>
    </row>
    <row r="82" spans="2:11">
      <c r="B82" s="6"/>
      <c r="D82" s="6"/>
      <c r="E82" s="6"/>
      <c r="F82" s="6"/>
      <c r="G82" s="6"/>
      <c r="H82" s="6"/>
      <c r="I82" s="6"/>
      <c r="J82" s="6"/>
      <c r="K82" s="6"/>
    </row>
    <row r="83" spans="2:11">
      <c r="B83" s="6"/>
      <c r="D83" s="6"/>
      <c r="E83" s="6"/>
      <c r="F83" s="6"/>
      <c r="G83" s="6"/>
      <c r="H83" s="6"/>
      <c r="I83" s="6"/>
      <c r="J83" s="6"/>
      <c r="K83" s="6"/>
    </row>
    <row r="84" spans="2:11">
      <c r="B84" s="6"/>
      <c r="D84" s="6"/>
      <c r="E84" s="6"/>
      <c r="F84" s="6"/>
      <c r="G84" s="6"/>
      <c r="H84" s="6"/>
      <c r="I84" s="6"/>
      <c r="J84" s="6"/>
      <c r="K84" s="6"/>
    </row>
    <row r="85" spans="2:11">
      <c r="B85" s="6"/>
      <c r="D85" s="6"/>
      <c r="E85" s="6"/>
      <c r="F85" s="6"/>
      <c r="G85" s="6"/>
      <c r="H85" s="6"/>
      <c r="I85" s="6"/>
      <c r="J85" s="6"/>
      <c r="K85" s="6"/>
    </row>
    <row r="86" spans="2:11">
      <c r="B86" s="6"/>
      <c r="D86" s="6"/>
      <c r="E86" s="6"/>
      <c r="F86" s="6"/>
      <c r="G86" s="6"/>
      <c r="H86" s="6"/>
      <c r="I86" s="6"/>
      <c r="J86" s="6"/>
      <c r="K86" s="6"/>
    </row>
    <row r="87" spans="2:11">
      <c r="B87" s="6"/>
      <c r="D87" s="6"/>
      <c r="E87" s="6"/>
      <c r="F87" s="6"/>
      <c r="G87" s="6"/>
      <c r="H87" s="6"/>
      <c r="I87" s="6"/>
      <c r="J87" s="6"/>
      <c r="K87" s="6"/>
    </row>
    <row r="88" spans="2:11">
      <c r="B88" s="6"/>
      <c r="D88" s="6"/>
      <c r="E88" s="6"/>
      <c r="F88" s="6"/>
      <c r="G88" s="6"/>
      <c r="H88" s="6"/>
      <c r="I88" s="6"/>
      <c r="J88" s="6"/>
      <c r="K88" s="6"/>
    </row>
    <row r="89" spans="2:11">
      <c r="B89" s="6"/>
      <c r="D89" s="6"/>
      <c r="E89" s="6"/>
      <c r="F89" s="6"/>
      <c r="G89" s="6"/>
      <c r="H89" s="6"/>
      <c r="I89" s="6"/>
      <c r="J89" s="6"/>
      <c r="K89" s="6"/>
    </row>
    <row r="90" spans="2:11">
      <c r="B90" s="6"/>
      <c r="D90" s="6"/>
      <c r="E90" s="6"/>
      <c r="F90" s="6"/>
      <c r="G90" s="6"/>
      <c r="H90" s="6"/>
      <c r="I90" s="6"/>
      <c r="J90" s="6"/>
      <c r="K90" s="6"/>
    </row>
    <row r="91" spans="2:11">
      <c r="B91" s="6"/>
      <c r="D91" s="6"/>
      <c r="E91" s="6"/>
      <c r="F91" s="6"/>
      <c r="G91" s="6"/>
      <c r="H91" s="6"/>
      <c r="I91" s="6"/>
      <c r="J91" s="6"/>
      <c r="K91" s="6"/>
    </row>
    <row r="92" spans="2:11">
      <c r="B92" s="6"/>
      <c r="D92" s="6"/>
      <c r="E92" s="6"/>
      <c r="F92" s="6"/>
      <c r="G92" s="6"/>
      <c r="H92" s="6"/>
      <c r="I92" s="6"/>
      <c r="J92" s="6"/>
      <c r="K92" s="6"/>
    </row>
    <row r="93" spans="2:11">
      <c r="B93" s="6"/>
      <c r="D93" s="6"/>
      <c r="E93" s="6"/>
      <c r="F93" s="6"/>
      <c r="G93" s="6"/>
      <c r="H93" s="6"/>
      <c r="I93" s="6"/>
      <c r="J93" s="6"/>
      <c r="K93" s="6"/>
    </row>
    <row r="94" spans="2:11">
      <c r="B94" s="6"/>
      <c r="D94" s="6"/>
      <c r="E94" s="6"/>
      <c r="F94" s="6"/>
      <c r="G94" s="6"/>
      <c r="H94" s="6"/>
      <c r="I94" s="6"/>
      <c r="J94" s="6"/>
      <c r="K94" s="6"/>
    </row>
    <row r="95" spans="2:11">
      <c r="B95" s="6"/>
      <c r="D95" s="6"/>
      <c r="E95" s="6"/>
      <c r="F95" s="6"/>
      <c r="G95" s="6"/>
      <c r="H95" s="6"/>
      <c r="I95" s="6"/>
      <c r="J95" s="6"/>
      <c r="K95" s="6"/>
    </row>
    <row r="96" spans="2:11">
      <c r="B96" s="6"/>
      <c r="D96" s="6"/>
      <c r="E96" s="6"/>
      <c r="F96" s="6"/>
      <c r="G96" s="6"/>
      <c r="H96" s="6"/>
      <c r="I96" s="6"/>
      <c r="J96" s="6"/>
      <c r="K96" s="6"/>
    </row>
    <row r="97" spans="2:11">
      <c r="B97" s="6"/>
      <c r="D97" s="6"/>
      <c r="E97" s="6"/>
      <c r="F97" s="6"/>
      <c r="G97" s="6"/>
      <c r="H97" s="6"/>
      <c r="I97" s="6"/>
      <c r="J97" s="6"/>
      <c r="K97" s="6"/>
    </row>
    <row r="98" spans="2:11">
      <c r="B98" s="6"/>
      <c r="D98" s="6"/>
      <c r="E98" s="6"/>
      <c r="F98" s="6"/>
      <c r="G98" s="6"/>
      <c r="H98" s="6"/>
      <c r="I98" s="6"/>
      <c r="J98" s="6"/>
      <c r="K98" s="6"/>
    </row>
    <row r="99" spans="2:11">
      <c r="B99" s="6"/>
      <c r="D99" s="6"/>
      <c r="E99" s="6"/>
      <c r="F99" s="6"/>
      <c r="G99" s="6"/>
      <c r="H99" s="6"/>
      <c r="I99" s="6"/>
      <c r="J99" s="6"/>
      <c r="K99" s="6"/>
    </row>
    <row r="100" spans="2:11">
      <c r="B100" s="6"/>
      <c r="D100" s="6"/>
      <c r="E100" s="6"/>
      <c r="F100" s="6"/>
      <c r="G100" s="6"/>
      <c r="H100" s="6"/>
      <c r="I100" s="6"/>
      <c r="J100" s="6"/>
      <c r="K100" s="6"/>
    </row>
    <row r="101" spans="2:11">
      <c r="B101" s="6"/>
      <c r="D101" s="6"/>
      <c r="E101" s="6"/>
      <c r="F101" s="6"/>
      <c r="G101" s="6"/>
      <c r="H101" s="6"/>
      <c r="I101" s="6"/>
      <c r="J101" s="6"/>
      <c r="K101" s="6"/>
    </row>
    <row r="102" spans="2:11">
      <c r="B102" s="6"/>
      <c r="D102" s="6"/>
      <c r="E102" s="6"/>
      <c r="F102" s="6"/>
      <c r="G102" s="6"/>
      <c r="H102" s="6"/>
      <c r="I102" s="6"/>
      <c r="J102" s="6"/>
      <c r="K102" s="6"/>
    </row>
    <row r="103" spans="2:11">
      <c r="B103" s="6"/>
      <c r="D103" s="6"/>
      <c r="E103" s="6"/>
      <c r="F103" s="6"/>
      <c r="G103" s="6"/>
      <c r="H103" s="6"/>
      <c r="I103" s="6"/>
      <c r="J103" s="6"/>
      <c r="K103" s="6"/>
    </row>
    <row r="104" spans="2:11">
      <c r="B104" s="6"/>
      <c r="D104" s="6"/>
      <c r="E104" s="6"/>
      <c r="F104" s="6"/>
      <c r="G104" s="6"/>
      <c r="H104" s="6"/>
      <c r="I104" s="6"/>
      <c r="J104" s="6"/>
      <c r="K104" s="6"/>
    </row>
    <row r="105" spans="2:11">
      <c r="B105" s="6"/>
      <c r="D105" s="6"/>
      <c r="E105" s="6"/>
      <c r="F105" s="6"/>
      <c r="G105" s="6"/>
      <c r="H105" s="6"/>
      <c r="I105" s="6"/>
      <c r="J105" s="6"/>
      <c r="K105" s="6"/>
    </row>
    <row r="106" spans="2:11">
      <c r="B106" s="6"/>
      <c r="D106" s="6"/>
      <c r="E106" s="6"/>
      <c r="F106" s="6"/>
      <c r="G106" s="6"/>
      <c r="H106" s="6"/>
      <c r="I106" s="6"/>
      <c r="J106" s="6"/>
      <c r="K106" s="6"/>
    </row>
    <row r="107" spans="2:11">
      <c r="B107" s="6"/>
      <c r="D107" s="6"/>
      <c r="E107" s="6"/>
      <c r="F107" s="6"/>
      <c r="G107" s="6"/>
      <c r="H107" s="6"/>
      <c r="I107" s="6"/>
      <c r="J107" s="6"/>
      <c r="K107" s="6"/>
    </row>
    <row r="108" spans="2:11">
      <c r="B108" s="6"/>
      <c r="D108" s="6"/>
      <c r="E108" s="6"/>
      <c r="F108" s="6"/>
      <c r="G108" s="6"/>
      <c r="H108" s="6"/>
      <c r="I108" s="6"/>
      <c r="J108" s="6"/>
      <c r="K108" s="6"/>
    </row>
    <row r="109" spans="2:11">
      <c r="B109" s="6"/>
      <c r="D109" s="6"/>
      <c r="E109" s="6"/>
      <c r="F109" s="6"/>
      <c r="G109" s="6"/>
      <c r="H109" s="6"/>
      <c r="I109" s="6"/>
      <c r="J109" s="6"/>
      <c r="K109" s="6"/>
    </row>
    <row r="110" spans="2:11">
      <c r="B110" s="6"/>
      <c r="D110" s="6"/>
      <c r="E110" s="6"/>
      <c r="F110" s="6"/>
      <c r="G110" s="6"/>
      <c r="H110" s="6"/>
      <c r="I110" s="6"/>
      <c r="J110" s="6"/>
      <c r="K110" s="6"/>
    </row>
    <row r="111" spans="2:11">
      <c r="B111" s="6"/>
      <c r="D111" s="6"/>
      <c r="E111" s="6"/>
      <c r="F111" s="6"/>
      <c r="G111" s="6"/>
      <c r="H111" s="6"/>
      <c r="I111" s="6"/>
      <c r="J111" s="6"/>
      <c r="K111" s="6"/>
    </row>
    <row r="112" spans="2:11">
      <c r="B112" s="6"/>
      <c r="D112" s="6"/>
      <c r="E112" s="6"/>
      <c r="F112" s="6"/>
      <c r="G112" s="6"/>
      <c r="H112" s="6"/>
      <c r="I112" s="6"/>
      <c r="J112" s="6"/>
      <c r="K112" s="6"/>
    </row>
    <row r="113" spans="2:11">
      <c r="B113" s="6"/>
      <c r="D113" s="6"/>
      <c r="E113" s="6"/>
      <c r="F113" s="6"/>
      <c r="G113" s="6"/>
      <c r="H113" s="6"/>
      <c r="I113" s="6"/>
      <c r="J113" s="6"/>
      <c r="K113" s="6"/>
    </row>
    <row r="114" spans="2:11">
      <c r="B114" s="6"/>
      <c r="D114" s="6"/>
      <c r="E114" s="6"/>
      <c r="F114" s="6"/>
      <c r="G114" s="6"/>
      <c r="H114" s="6"/>
      <c r="I114" s="6"/>
      <c r="J114" s="6"/>
      <c r="K114" s="6"/>
    </row>
    <row r="115" spans="2:11">
      <c r="B115" s="6"/>
      <c r="D115" s="6"/>
      <c r="E115" s="6"/>
      <c r="F115" s="6"/>
      <c r="G115" s="6"/>
      <c r="H115" s="6"/>
      <c r="I115" s="6"/>
      <c r="J115" s="6"/>
      <c r="K115" s="6"/>
    </row>
    <row r="116" spans="2:11">
      <c r="B116" s="6"/>
      <c r="D116" s="6"/>
      <c r="E116" s="6"/>
      <c r="F116" s="6"/>
      <c r="G116" s="6"/>
      <c r="H116" s="6"/>
      <c r="I116" s="6"/>
      <c r="J116" s="6"/>
      <c r="K116" s="6"/>
    </row>
    <row r="117" spans="2:11">
      <c r="B117" s="6"/>
      <c r="D117" s="6"/>
      <c r="E117" s="6"/>
      <c r="F117" s="6"/>
      <c r="G117" s="6"/>
      <c r="H117" s="6"/>
      <c r="I117" s="6"/>
      <c r="J117" s="6"/>
      <c r="K117" s="6"/>
    </row>
    <row r="118" spans="2:11">
      <c r="B118" s="6"/>
      <c r="D118" s="6"/>
      <c r="E118" s="6"/>
      <c r="F118" s="6"/>
      <c r="G118" s="6"/>
      <c r="H118" s="6"/>
      <c r="I118" s="6"/>
      <c r="J118" s="6"/>
      <c r="K118" s="6"/>
    </row>
    <row r="119" spans="2:11">
      <c r="B119" s="6"/>
      <c r="D119" s="6"/>
      <c r="E119" s="6"/>
      <c r="F119" s="6"/>
      <c r="G119" s="6"/>
      <c r="H119" s="6"/>
      <c r="I119" s="6"/>
      <c r="J119" s="6"/>
      <c r="K119" s="6"/>
    </row>
    <row r="120" spans="2:11">
      <c r="B120" s="6"/>
      <c r="D120" s="6"/>
      <c r="E120" s="6"/>
      <c r="F120" s="6"/>
      <c r="G120" s="6"/>
      <c r="H120" s="6"/>
      <c r="I120" s="6"/>
      <c r="J120" s="6"/>
      <c r="K120" s="6"/>
    </row>
    <row r="121" spans="2:11">
      <c r="B121" s="6"/>
      <c r="D121" s="6"/>
      <c r="E121" s="6"/>
      <c r="F121" s="6"/>
      <c r="G121" s="6"/>
      <c r="H121" s="6"/>
      <c r="I121" s="6"/>
      <c r="J121" s="6"/>
      <c r="K121" s="6"/>
    </row>
    <row r="122" spans="2:11">
      <c r="B122" s="6"/>
      <c r="D122" s="6"/>
      <c r="E122" s="6"/>
      <c r="F122" s="6"/>
      <c r="G122" s="6"/>
      <c r="H122" s="6"/>
      <c r="I122" s="6"/>
      <c r="J122" s="6"/>
      <c r="K122" s="6"/>
    </row>
    <row r="123" spans="2:11">
      <c r="B123" s="6"/>
      <c r="D123" s="6"/>
      <c r="E123" s="6"/>
      <c r="F123" s="6"/>
      <c r="G123" s="6"/>
      <c r="H123" s="6"/>
      <c r="I123" s="6"/>
      <c r="J123" s="6"/>
      <c r="K123" s="6"/>
    </row>
    <row r="124" spans="2:11">
      <c r="B124" s="6"/>
      <c r="D124" s="6"/>
      <c r="E124" s="6"/>
      <c r="F124" s="6"/>
      <c r="G124" s="6"/>
      <c r="H124" s="6"/>
      <c r="I124" s="6"/>
      <c r="J124" s="6"/>
      <c r="K124" s="6"/>
    </row>
    <row r="125" spans="2:11">
      <c r="B125" s="6"/>
      <c r="D125" s="6"/>
      <c r="E125" s="6"/>
      <c r="F125" s="6"/>
      <c r="G125" s="6"/>
      <c r="H125" s="6"/>
      <c r="I125" s="6"/>
      <c r="J125" s="6"/>
      <c r="K125" s="6"/>
    </row>
    <row r="126" spans="2:11">
      <c r="B126" s="6"/>
      <c r="D126" s="6"/>
      <c r="E126" s="6"/>
      <c r="F126" s="6"/>
      <c r="G126" s="6"/>
      <c r="H126" s="6"/>
      <c r="I126" s="6"/>
      <c r="J126" s="6"/>
      <c r="K126" s="6"/>
    </row>
    <row r="127" spans="2:11">
      <c r="B127" s="6"/>
      <c r="D127" s="6"/>
      <c r="E127" s="6"/>
      <c r="F127" s="6"/>
      <c r="G127" s="6"/>
      <c r="H127" s="6"/>
      <c r="I127" s="6"/>
      <c r="J127" s="6"/>
      <c r="K127" s="6"/>
    </row>
    <row r="128" spans="2:11">
      <c r="B128" s="6"/>
      <c r="D128" s="6"/>
      <c r="E128" s="6"/>
      <c r="F128" s="6"/>
      <c r="G128" s="6"/>
      <c r="H128" s="6"/>
      <c r="I128" s="6"/>
      <c r="J128" s="6"/>
      <c r="K128" s="6"/>
    </row>
    <row r="129" spans="2:11">
      <c r="B129" s="6"/>
      <c r="D129" s="6"/>
      <c r="E129" s="6"/>
      <c r="F129" s="6"/>
      <c r="G129" s="6"/>
      <c r="H129" s="6"/>
      <c r="I129" s="6"/>
      <c r="J129" s="6"/>
      <c r="K129" s="6"/>
    </row>
    <row r="130" spans="2:11">
      <c r="B130" s="6"/>
      <c r="D130" s="6"/>
      <c r="E130" s="6"/>
      <c r="F130" s="6"/>
      <c r="G130" s="6"/>
      <c r="H130" s="6"/>
      <c r="I130" s="6"/>
      <c r="J130" s="6"/>
      <c r="K130" s="6"/>
    </row>
    <row r="131" spans="2:11">
      <c r="B131" s="6"/>
      <c r="D131" s="6"/>
      <c r="E131" s="6"/>
      <c r="F131" s="6"/>
      <c r="G131" s="6"/>
      <c r="H131" s="6"/>
      <c r="I131" s="6"/>
      <c r="J131" s="6"/>
      <c r="K131" s="6"/>
    </row>
    <row r="132" spans="2:11">
      <c r="B132" s="6"/>
      <c r="D132" s="6"/>
      <c r="E132" s="6"/>
      <c r="F132" s="6"/>
      <c r="G132" s="6"/>
      <c r="H132" s="6"/>
      <c r="I132" s="6"/>
      <c r="J132" s="6"/>
      <c r="K132" s="6"/>
    </row>
    <row r="133" spans="2:11">
      <c r="B133" s="6"/>
      <c r="D133" s="6"/>
      <c r="E133" s="6"/>
      <c r="F133" s="6"/>
      <c r="G133" s="6"/>
      <c r="H133" s="6"/>
      <c r="I133" s="6"/>
      <c r="J133" s="6"/>
      <c r="K133" s="6"/>
    </row>
    <row r="134" spans="2:11">
      <c r="B134" s="6"/>
      <c r="D134" s="6"/>
      <c r="E134" s="6"/>
      <c r="F134" s="6"/>
      <c r="G134" s="6"/>
      <c r="H134" s="6"/>
      <c r="I134" s="6"/>
      <c r="J134" s="6"/>
      <c r="K134" s="6"/>
    </row>
    <row r="135" spans="2:11">
      <c r="B135" s="6"/>
      <c r="D135" s="6"/>
      <c r="E135" s="6"/>
      <c r="F135" s="6"/>
      <c r="G135" s="6"/>
      <c r="H135" s="6"/>
      <c r="I135" s="6"/>
      <c r="J135" s="6"/>
      <c r="K135" s="6"/>
    </row>
    <row r="136" spans="2:11">
      <c r="B136" s="6"/>
      <c r="D136" s="6"/>
      <c r="E136" s="6"/>
      <c r="F136" s="6"/>
      <c r="G136" s="6"/>
      <c r="H136" s="6"/>
      <c r="I136" s="6"/>
      <c r="J136" s="6"/>
      <c r="K136" s="6"/>
    </row>
    <row r="137" spans="2:11">
      <c r="B137" s="6"/>
      <c r="D137" s="6"/>
      <c r="E137" s="6"/>
      <c r="F137" s="6"/>
      <c r="G137" s="6"/>
      <c r="H137" s="6"/>
      <c r="I137" s="6"/>
      <c r="J137" s="6"/>
      <c r="K137" s="6"/>
    </row>
    <row r="138" spans="2:11">
      <c r="B138" s="6"/>
      <c r="D138" s="6"/>
      <c r="E138" s="6"/>
      <c r="F138" s="6"/>
      <c r="G138" s="6"/>
      <c r="H138" s="6"/>
      <c r="I138" s="6"/>
      <c r="J138" s="6"/>
      <c r="K138" s="6"/>
    </row>
    <row r="139" spans="2:11">
      <c r="B139" s="6"/>
      <c r="D139" s="6"/>
      <c r="E139" s="6"/>
      <c r="F139" s="6"/>
      <c r="G139" s="6"/>
      <c r="H139" s="6"/>
      <c r="I139" s="6"/>
      <c r="J139" s="6"/>
      <c r="K139" s="6"/>
    </row>
    <row r="140" spans="2:11">
      <c r="B140" s="6"/>
      <c r="D140" s="6"/>
      <c r="E140" s="6"/>
      <c r="F140" s="6"/>
      <c r="G140" s="6"/>
      <c r="H140" s="6"/>
      <c r="I140" s="6"/>
      <c r="J140" s="6"/>
      <c r="K140" s="6"/>
    </row>
    <row r="141" spans="2:11">
      <c r="B141" s="6"/>
      <c r="D141" s="6"/>
      <c r="E141" s="6"/>
      <c r="F141" s="6"/>
      <c r="G141" s="6"/>
      <c r="H141" s="6"/>
      <c r="I141" s="6"/>
      <c r="J141" s="6"/>
      <c r="K141" s="6"/>
    </row>
    <row r="142" spans="2:11">
      <c r="B142" s="6"/>
      <c r="D142" s="6"/>
      <c r="E142" s="6"/>
      <c r="F142" s="6"/>
      <c r="G142" s="6"/>
      <c r="H142" s="6"/>
      <c r="I142" s="6"/>
      <c r="J142" s="6"/>
      <c r="K142" s="6"/>
    </row>
    <row r="143" spans="2:11">
      <c r="B143" s="6"/>
      <c r="D143" s="6"/>
      <c r="E143" s="6"/>
      <c r="F143" s="6"/>
      <c r="G143" s="6"/>
      <c r="H143" s="6"/>
      <c r="I143" s="6"/>
      <c r="J143" s="6"/>
      <c r="K143" s="6"/>
    </row>
    <row r="144" spans="2:11">
      <c r="B144" s="6"/>
      <c r="D144" s="6"/>
      <c r="E144" s="6"/>
      <c r="F144" s="6"/>
      <c r="G144" s="6"/>
      <c r="H144" s="6"/>
      <c r="I144" s="6"/>
      <c r="J144" s="6"/>
      <c r="K144" s="6"/>
    </row>
    <row r="145" spans="2:11">
      <c r="B145" s="6"/>
      <c r="D145" s="6"/>
      <c r="E145" s="6"/>
      <c r="F145" s="6"/>
      <c r="G145" s="6"/>
      <c r="H145" s="6"/>
      <c r="I145" s="6"/>
      <c r="J145" s="6"/>
      <c r="K145" s="6"/>
    </row>
    <row r="146" spans="2:11">
      <c r="B146" s="6"/>
      <c r="D146" s="6"/>
      <c r="E146" s="6"/>
      <c r="F146" s="6"/>
      <c r="G146" s="6"/>
      <c r="H146" s="6"/>
      <c r="I146" s="6"/>
      <c r="J146" s="6"/>
      <c r="K146" s="6"/>
    </row>
    <row r="147" spans="2:11">
      <c r="B147" s="6"/>
      <c r="D147" s="6"/>
      <c r="E147" s="6"/>
      <c r="F147" s="6"/>
      <c r="G147" s="6"/>
      <c r="H147" s="6"/>
      <c r="I147" s="6"/>
      <c r="J147" s="6"/>
      <c r="K147" s="6"/>
    </row>
    <row r="148" spans="2:11">
      <c r="B148" s="6"/>
      <c r="D148" s="6"/>
      <c r="E148" s="6"/>
      <c r="F148" s="6"/>
      <c r="G148" s="6"/>
      <c r="H148" s="6"/>
      <c r="I148" s="6"/>
      <c r="J148" s="6"/>
      <c r="K148" s="6"/>
    </row>
    <row r="149" spans="2:11">
      <c r="B149" s="6"/>
      <c r="D149" s="6"/>
      <c r="E149" s="6"/>
      <c r="F149" s="6"/>
      <c r="G149" s="6"/>
      <c r="H149" s="6"/>
      <c r="I149" s="6"/>
      <c r="J149" s="6"/>
      <c r="K149" s="6"/>
    </row>
    <row r="150" spans="2:11">
      <c r="B150" s="6"/>
      <c r="D150" s="6"/>
      <c r="E150" s="6"/>
      <c r="F150" s="6"/>
      <c r="G150" s="6"/>
      <c r="H150" s="6"/>
      <c r="I150" s="6"/>
      <c r="J150" s="6"/>
      <c r="K150" s="6"/>
    </row>
    <row r="151" spans="2:11">
      <c r="B151" s="6"/>
      <c r="D151" s="6"/>
      <c r="E151" s="6"/>
      <c r="F151" s="6"/>
      <c r="G151" s="6"/>
      <c r="H151" s="6"/>
      <c r="I151" s="6"/>
      <c r="J151" s="6"/>
      <c r="K151" s="6"/>
    </row>
    <row r="152" spans="2:11">
      <c r="B152" s="6"/>
      <c r="D152" s="6"/>
      <c r="E152" s="6"/>
      <c r="F152" s="6"/>
      <c r="G152" s="6"/>
      <c r="H152" s="6"/>
      <c r="I152" s="6"/>
      <c r="J152" s="6"/>
      <c r="K152" s="6"/>
    </row>
    <row r="153" spans="2:11">
      <c r="B153" s="6"/>
      <c r="D153" s="6"/>
      <c r="E153" s="6"/>
      <c r="F153" s="6"/>
      <c r="G153" s="6"/>
      <c r="H153" s="6"/>
      <c r="I153" s="6"/>
      <c r="J153" s="6"/>
      <c r="K153" s="6"/>
    </row>
    <row r="154" spans="2:11">
      <c r="B154" s="6"/>
      <c r="D154" s="6"/>
      <c r="E154" s="6"/>
      <c r="F154" s="6"/>
      <c r="G154" s="6"/>
      <c r="H154" s="6"/>
      <c r="I154" s="6"/>
      <c r="J154" s="6"/>
      <c r="K154" s="6"/>
    </row>
    <row r="155" spans="2:11">
      <c r="B155" s="6"/>
      <c r="D155" s="6"/>
      <c r="E155" s="6"/>
      <c r="F155" s="6"/>
      <c r="G155" s="6"/>
      <c r="H155" s="6"/>
      <c r="I155" s="6"/>
      <c r="J155" s="6"/>
      <c r="K155" s="6"/>
    </row>
    <row r="156" spans="2:11">
      <c r="B156" s="6"/>
      <c r="D156" s="6"/>
      <c r="E156" s="6"/>
      <c r="F156" s="6"/>
      <c r="G156" s="6"/>
      <c r="H156" s="6"/>
      <c r="I156" s="6"/>
      <c r="J156" s="6"/>
      <c r="K156" s="6"/>
    </row>
    <row r="157" spans="2:11">
      <c r="B157" s="6"/>
      <c r="D157" s="6"/>
      <c r="E157" s="6"/>
      <c r="F157" s="6"/>
      <c r="G157" s="6"/>
      <c r="H157" s="6"/>
      <c r="I157" s="6"/>
      <c r="J157" s="6"/>
      <c r="K157" s="6"/>
    </row>
    <row r="158" spans="2:11">
      <c r="B158" s="6"/>
      <c r="D158" s="6"/>
      <c r="E158" s="6"/>
      <c r="F158" s="6"/>
      <c r="G158" s="6"/>
      <c r="H158" s="6"/>
      <c r="I158" s="6"/>
      <c r="J158" s="6"/>
      <c r="K158" s="6"/>
    </row>
    <row r="159" spans="2:11">
      <c r="B159" s="6"/>
      <c r="D159" s="6"/>
      <c r="E159" s="6"/>
      <c r="F159" s="6"/>
      <c r="G159" s="6"/>
      <c r="H159" s="6"/>
      <c r="I159" s="6"/>
      <c r="J159" s="6"/>
      <c r="K159" s="6"/>
    </row>
    <row r="160" spans="2:11">
      <c r="B160" s="6"/>
      <c r="D160" s="6"/>
      <c r="E160" s="6"/>
      <c r="F160" s="6"/>
      <c r="G160" s="6"/>
      <c r="H160" s="6"/>
      <c r="I160" s="6"/>
      <c r="J160" s="6"/>
      <c r="K160" s="6"/>
    </row>
    <row r="161" spans="2:11">
      <c r="B161" s="6"/>
      <c r="D161" s="6"/>
      <c r="E161" s="6"/>
      <c r="F161" s="6"/>
      <c r="G161" s="6"/>
      <c r="H161" s="6"/>
      <c r="I161" s="6"/>
      <c r="J161" s="6"/>
      <c r="K161" s="6"/>
    </row>
    <row r="162" spans="2:11">
      <c r="B162" s="6"/>
      <c r="D162" s="6"/>
      <c r="E162" s="6"/>
      <c r="F162" s="6"/>
      <c r="G162" s="6"/>
      <c r="H162" s="6"/>
      <c r="I162" s="6"/>
      <c r="J162" s="6"/>
      <c r="K162" s="6"/>
    </row>
    <row r="163" spans="2:11">
      <c r="B163" s="6"/>
      <c r="D163" s="6"/>
      <c r="E163" s="6"/>
      <c r="F163" s="6"/>
      <c r="G163" s="6"/>
      <c r="H163" s="6"/>
      <c r="I163" s="6"/>
      <c r="J163" s="6"/>
      <c r="K163" s="6"/>
    </row>
    <row r="164" spans="2:11">
      <c r="B164" s="6"/>
      <c r="D164" s="6"/>
      <c r="E164" s="6"/>
      <c r="F164" s="6"/>
      <c r="G164" s="6"/>
      <c r="H164" s="6"/>
      <c r="I164" s="6"/>
      <c r="J164" s="6"/>
      <c r="K164" s="6"/>
    </row>
    <row r="165" spans="2:11">
      <c r="B165" s="6"/>
      <c r="D165" s="6"/>
      <c r="E165" s="6"/>
      <c r="F165" s="6"/>
      <c r="G165" s="6"/>
      <c r="H165" s="6"/>
      <c r="I165" s="6"/>
      <c r="J165" s="6"/>
      <c r="K165" s="6"/>
    </row>
    <row r="166" spans="2:11">
      <c r="B166" s="6"/>
      <c r="D166" s="6"/>
      <c r="E166" s="6"/>
      <c r="F166" s="6"/>
      <c r="G166" s="6"/>
      <c r="H166" s="6"/>
      <c r="I166" s="6"/>
      <c r="J166" s="6"/>
      <c r="K166" s="6"/>
    </row>
    <row r="167" spans="2:11">
      <c r="B167" s="6"/>
      <c r="D167" s="6"/>
      <c r="E167" s="6"/>
      <c r="F167" s="6"/>
      <c r="G167" s="6"/>
      <c r="H167" s="6"/>
      <c r="I167" s="6"/>
      <c r="J167" s="6"/>
      <c r="K167" s="6"/>
    </row>
    <row r="168" spans="2:11">
      <c r="B168" s="6"/>
      <c r="D168" s="6"/>
      <c r="E168" s="6"/>
      <c r="F168" s="6"/>
      <c r="G168" s="6"/>
      <c r="H168" s="6"/>
      <c r="I168" s="6"/>
      <c r="J168" s="6"/>
      <c r="K168" s="6"/>
    </row>
    <row r="169" spans="2:11">
      <c r="B169" s="6"/>
      <c r="D169" s="6"/>
      <c r="E169" s="6"/>
      <c r="F169" s="6"/>
      <c r="G169" s="6"/>
      <c r="H169" s="6"/>
      <c r="I169" s="6"/>
      <c r="J169" s="6"/>
      <c r="K169" s="6"/>
    </row>
    <row r="170" spans="2:11">
      <c r="B170" s="6"/>
      <c r="D170" s="6"/>
      <c r="E170" s="6"/>
      <c r="F170" s="6"/>
      <c r="G170" s="6"/>
      <c r="H170" s="6"/>
      <c r="I170" s="6"/>
      <c r="J170" s="6"/>
      <c r="K170" s="6"/>
    </row>
    <row r="171" spans="2:11">
      <c r="B171" s="6"/>
      <c r="D171" s="6"/>
      <c r="E171" s="6"/>
      <c r="F171" s="6"/>
      <c r="G171" s="6"/>
      <c r="H171" s="6"/>
      <c r="I171" s="6"/>
      <c r="J171" s="6"/>
      <c r="K171" s="6"/>
    </row>
    <row r="172" spans="2:11">
      <c r="B172" s="6"/>
      <c r="D172" s="6"/>
      <c r="E172" s="6"/>
      <c r="F172" s="6"/>
      <c r="G172" s="6"/>
      <c r="H172" s="6"/>
      <c r="I172" s="6"/>
      <c r="J172" s="6"/>
      <c r="K172" s="6"/>
    </row>
    <row r="173" spans="2:11">
      <c r="B173" s="6"/>
      <c r="D173" s="6"/>
      <c r="E173" s="6"/>
      <c r="F173" s="6"/>
      <c r="G173" s="6"/>
      <c r="H173" s="6"/>
      <c r="I173" s="6"/>
      <c r="J173" s="6"/>
      <c r="K173" s="6"/>
    </row>
    <row r="174" spans="2:11">
      <c r="B174" s="6"/>
      <c r="D174" s="6"/>
      <c r="E174" s="6"/>
      <c r="F174" s="6"/>
      <c r="G174" s="6"/>
      <c r="H174" s="6"/>
      <c r="I174" s="6"/>
      <c r="J174" s="6"/>
      <c r="K174" s="6"/>
    </row>
    <row r="175" spans="2:11">
      <c r="B175" s="6"/>
      <c r="D175" s="6"/>
      <c r="E175" s="6"/>
      <c r="F175" s="6"/>
      <c r="G175" s="6"/>
      <c r="H175" s="6"/>
      <c r="I175" s="6"/>
      <c r="J175" s="6"/>
      <c r="K175" s="6"/>
    </row>
    <row r="176" spans="2:11">
      <c r="B176" s="6"/>
      <c r="D176" s="6"/>
      <c r="E176" s="6"/>
      <c r="F176" s="6"/>
      <c r="G176" s="6"/>
      <c r="H176" s="6"/>
      <c r="I176" s="6"/>
      <c r="J176" s="6"/>
      <c r="K176" s="6"/>
    </row>
    <row r="177" spans="2:11">
      <c r="B177" s="6"/>
      <c r="D177" s="6"/>
      <c r="E177" s="6"/>
      <c r="F177" s="6"/>
      <c r="G177" s="6"/>
      <c r="H177" s="6"/>
      <c r="I177" s="6"/>
      <c r="J177" s="6"/>
      <c r="K177" s="6"/>
    </row>
    <row r="178" spans="2:11">
      <c r="B178" s="6"/>
      <c r="D178" s="6"/>
      <c r="E178" s="6"/>
      <c r="F178" s="6"/>
      <c r="G178" s="6"/>
      <c r="H178" s="6"/>
      <c r="I178" s="6"/>
      <c r="J178" s="6"/>
      <c r="K178" s="6"/>
    </row>
    <row r="179" spans="2:11">
      <c r="B179" s="6"/>
      <c r="D179" s="6"/>
      <c r="E179" s="6"/>
      <c r="F179" s="6"/>
      <c r="G179" s="6"/>
      <c r="H179" s="6"/>
      <c r="I179" s="6"/>
      <c r="J179" s="6"/>
      <c r="K179" s="6"/>
    </row>
  </sheetData>
  <sheetProtection sheet="1" objects="1" scenarios="1"/>
  <mergeCells count="23">
    <mergeCell ref="A1:P1"/>
    <mergeCell ref="A2:P2"/>
    <mergeCell ref="A3:P3"/>
    <mergeCell ref="A4:D4"/>
    <mergeCell ref="A5:P5"/>
    <mergeCell ref="B55:B63"/>
    <mergeCell ref="B65:B67"/>
    <mergeCell ref="B68:B74"/>
    <mergeCell ref="B15:B22"/>
    <mergeCell ref="D15:I15"/>
    <mergeCell ref="D18:I18"/>
    <mergeCell ref="D23:I23"/>
    <mergeCell ref="D24:I24"/>
    <mergeCell ref="B26:E26"/>
    <mergeCell ref="B27:B33"/>
    <mergeCell ref="B35:E35"/>
    <mergeCell ref="B36:B42"/>
    <mergeCell ref="B49:E50"/>
    <mergeCell ref="B10:D10"/>
    <mergeCell ref="F10:S10"/>
    <mergeCell ref="F11:S11"/>
    <mergeCell ref="E12:R12"/>
    <mergeCell ref="E13:R13"/>
  </mergeCells>
  <conditionalFormatting sqref="F10">
    <cfRule type="notContainsBlanks" dxfId="61" priority="4">
      <formula>LEN(TRIM(F10))&gt;0</formula>
    </cfRule>
  </conditionalFormatting>
  <conditionalFormatting sqref="F11:S11">
    <cfRule type="expression" dxfId="60" priority="2">
      <formula>E11="NO SE REPORTA"</formula>
    </cfRule>
    <cfRule type="expression" dxfId="59" priority="3">
      <formula>E10="NO APLICA"</formula>
    </cfRule>
  </conditionalFormatting>
  <conditionalFormatting sqref="E12:R12">
    <cfRule type="expression" dxfId="58" priority="1">
      <formula>E11="SI SE REPORTA"</formula>
    </cfRule>
  </conditionalFormatting>
  <dataValidations count="4">
    <dataValidation type="whole" operator="greaterThanOrEqual" allowBlank="1" showErrorMessage="1" errorTitle="ERROR" error="Escriba un número igual o mayor que 0" promptTitle="ERROR" prompt="Escriba un número igual o mayor que 0" sqref="E16:E17 E20:H21">
      <formula1>0</formula1>
    </dataValidation>
    <dataValidation allowBlank="1" showInputMessage="1" showErrorMessage="1" sqref="I20:I21"/>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84"/>
  <sheetViews>
    <sheetView showGridLines="0" zoomScale="98" zoomScaleNormal="98" workbookViewId="0">
      <selection sqref="A1:XFD1048576"/>
    </sheetView>
  </sheetViews>
  <sheetFormatPr baseColWidth="10" defaultRowHeight="15"/>
  <cols>
    <col min="1" max="1" width="1.85546875" customWidth="1"/>
    <col min="2" max="2" width="12.85546875" customWidth="1"/>
    <col min="3" max="3" width="5" style="88" bestFit="1" customWidth="1"/>
    <col min="4" max="4" width="34.85546875" customWidth="1"/>
    <col min="5" max="7" width="25" customWidth="1"/>
    <col min="8" max="8" width="15.140625" customWidth="1"/>
    <col min="9" max="10" width="13.140625" bestFit="1" customWidth="1"/>
    <col min="12" max="13" width="15.140625" bestFit="1" customWidth="1"/>
    <col min="14" max="14" width="16.28515625" customWidth="1"/>
  </cols>
  <sheetData>
    <row r="1" spans="1:21" s="551" customFormat="1" ht="100.5" customHeight="1" thickBot="1">
      <c r="A1" s="1344"/>
      <c r="B1" s="1345"/>
      <c r="C1" s="1345"/>
      <c r="D1" s="1345"/>
      <c r="E1" s="1345"/>
      <c r="F1" s="1345"/>
      <c r="G1" s="1345"/>
      <c r="H1" s="1345"/>
      <c r="I1" s="1345"/>
      <c r="J1" s="1345"/>
      <c r="K1" s="1345"/>
      <c r="L1" s="1345"/>
      <c r="M1" s="1345"/>
      <c r="N1" s="1345"/>
      <c r="O1" s="1345"/>
      <c r="P1" s="1346"/>
      <c r="Q1" s="413"/>
      <c r="R1" s="413"/>
    </row>
    <row r="2" spans="1:21" s="552" customFormat="1" ht="16.5" thickBot="1">
      <c r="A2" s="1352" t="str">
        <f>'Datos Generales'!C5</f>
        <v>Corporación Autónoma Regional de La Guajira – CORPOGUAJIRA</v>
      </c>
      <c r="B2" s="1353"/>
      <c r="C2" s="1353"/>
      <c r="D2" s="1353"/>
      <c r="E2" s="1353"/>
      <c r="F2" s="1353"/>
      <c r="G2" s="1353"/>
      <c r="H2" s="1353"/>
      <c r="I2" s="1353"/>
      <c r="J2" s="1353"/>
      <c r="K2" s="1353"/>
      <c r="L2" s="1353"/>
      <c r="M2" s="1353"/>
      <c r="N2" s="1353"/>
      <c r="O2" s="1353"/>
      <c r="P2" s="1354"/>
      <c r="Q2" s="413"/>
      <c r="R2" s="413"/>
    </row>
    <row r="3" spans="1:21" s="552" customFormat="1" ht="16.5" thickBot="1">
      <c r="A3" s="1347" t="s">
        <v>1419</v>
      </c>
      <c r="B3" s="1348"/>
      <c r="C3" s="1348"/>
      <c r="D3" s="1348"/>
      <c r="E3" s="1348"/>
      <c r="F3" s="1348"/>
      <c r="G3" s="1348"/>
      <c r="H3" s="1348"/>
      <c r="I3" s="1348"/>
      <c r="J3" s="1348"/>
      <c r="K3" s="1348"/>
      <c r="L3" s="1348"/>
      <c r="M3" s="1348"/>
      <c r="N3" s="1348"/>
      <c r="O3" s="1348"/>
      <c r="P3" s="1349"/>
      <c r="Q3" s="413"/>
      <c r="R3" s="413"/>
    </row>
    <row r="4" spans="1:21" s="552" customFormat="1" ht="16.5" thickBot="1">
      <c r="A4" s="1350" t="s">
        <v>1418</v>
      </c>
      <c r="B4" s="1351"/>
      <c r="C4" s="1351"/>
      <c r="D4" s="1351"/>
      <c r="E4" s="571" t="str">
        <f>'Datos Generales'!C6</f>
        <v>2016-II</v>
      </c>
      <c r="F4" s="571"/>
      <c r="G4" s="571"/>
      <c r="H4" s="571"/>
      <c r="I4" s="571"/>
      <c r="J4" s="571"/>
      <c r="K4" s="571"/>
      <c r="L4" s="572"/>
      <c r="M4" s="572"/>
      <c r="N4" s="572"/>
      <c r="O4" s="572"/>
      <c r="P4" s="573"/>
      <c r="Q4" s="413"/>
      <c r="R4" s="413"/>
    </row>
    <row r="5" spans="1:21" s="245" customFormat="1" ht="16.5" customHeight="1" thickBot="1">
      <c r="A5" s="1347" t="s">
        <v>664</v>
      </c>
      <c r="B5" s="1348"/>
      <c r="C5" s="1348"/>
      <c r="D5" s="1348"/>
      <c r="E5" s="1348"/>
      <c r="F5" s="1348"/>
      <c r="G5" s="1348"/>
      <c r="H5" s="1348"/>
      <c r="I5" s="1348"/>
      <c r="J5" s="1348"/>
      <c r="K5" s="1348"/>
      <c r="L5" s="1348"/>
      <c r="M5" s="1348"/>
      <c r="N5" s="1348"/>
      <c r="O5" s="1348"/>
      <c r="P5" s="1349"/>
    </row>
    <row r="6" spans="1:21">
      <c r="B6" s="2" t="s">
        <v>1</v>
      </c>
      <c r="C6" s="77"/>
      <c r="D6" s="6"/>
      <c r="E6" s="75"/>
      <c r="F6" s="6" t="s">
        <v>133</v>
      </c>
      <c r="G6" s="6"/>
      <c r="H6" s="6"/>
      <c r="I6" s="6"/>
      <c r="J6" s="6"/>
      <c r="K6" s="6"/>
    </row>
    <row r="7" spans="1:21" ht="15.75" thickBot="1">
      <c r="B7" s="28"/>
      <c r="C7" s="78"/>
      <c r="D7" s="6"/>
      <c r="E7" s="18"/>
      <c r="F7" s="6" t="s">
        <v>134</v>
      </c>
      <c r="G7" s="6"/>
      <c r="H7" s="6"/>
      <c r="I7" s="6"/>
      <c r="J7" s="6"/>
      <c r="K7" s="6"/>
    </row>
    <row r="8" spans="1:21" ht="15.75" thickBot="1">
      <c r="B8" s="177" t="s">
        <v>1204</v>
      </c>
      <c r="C8" s="222">
        <v>2017</v>
      </c>
      <c r="D8" s="226">
        <f>IF(E10="NO APLICA","NO APLICA",IF(E11="NO SE REPORTA","SIN INFORMACION",+F20))/4</f>
        <v>0.25</v>
      </c>
      <c r="E8" s="223"/>
      <c r="F8" s="6" t="s">
        <v>135</v>
      </c>
      <c r="G8" s="6"/>
      <c r="H8" s="6"/>
      <c r="I8" s="6"/>
      <c r="J8" s="6"/>
      <c r="K8" s="6"/>
    </row>
    <row r="9" spans="1:21">
      <c r="B9" s="507" t="s">
        <v>1205</v>
      </c>
      <c r="D9" s="6"/>
      <c r="E9" s="6"/>
      <c r="F9" s="6"/>
      <c r="G9" s="6"/>
      <c r="H9" s="6"/>
      <c r="I9" s="6"/>
      <c r="J9" s="6"/>
      <c r="K9" s="6"/>
    </row>
    <row r="10" spans="1:21" s="413" customFormat="1">
      <c r="A10" s="245"/>
      <c r="B10" s="1412" t="s">
        <v>1265</v>
      </c>
      <c r="C10" s="1412"/>
      <c r="D10" s="1412"/>
      <c r="E10" s="513" t="s">
        <v>1262</v>
      </c>
      <c r="F10" s="1419"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420"/>
      <c r="H10" s="1420"/>
      <c r="I10" s="1420"/>
      <c r="J10" s="1420"/>
      <c r="K10" s="1420"/>
      <c r="L10" s="1420"/>
      <c r="M10" s="1420"/>
      <c r="N10" s="1420"/>
      <c r="O10" s="1420"/>
      <c r="P10" s="1420"/>
      <c r="Q10" s="1420"/>
      <c r="R10" s="1420"/>
      <c r="S10" s="1420"/>
      <c r="T10" s="509"/>
      <c r="U10" s="509"/>
    </row>
    <row r="11" spans="1:21" s="413" customFormat="1" ht="14.45" customHeight="1">
      <c r="A11" s="245"/>
      <c r="B11" s="510"/>
      <c r="C11" s="511"/>
      <c r="D11" s="512" t="str">
        <f>IF(E10="SI APLICA","¿El indicador no se reporta por limitaciones de información disponible? ","")</f>
        <v xml:space="preserve">¿El indicador no se reporta por limitaciones de información disponible? </v>
      </c>
      <c r="E11" s="514" t="s">
        <v>1264</v>
      </c>
      <c r="F11" s="1413"/>
      <c r="G11" s="1414"/>
      <c r="H11" s="1414"/>
      <c r="I11" s="1414"/>
      <c r="J11" s="1414"/>
      <c r="K11" s="1414"/>
      <c r="L11" s="1414"/>
      <c r="M11" s="1414"/>
      <c r="N11" s="1414"/>
      <c r="O11" s="1414"/>
      <c r="P11" s="1414"/>
      <c r="Q11" s="1414"/>
      <c r="R11" s="1414"/>
      <c r="S11" s="1414"/>
    </row>
    <row r="12" spans="1:21" s="413" customFormat="1" ht="23.45" customHeight="1">
      <c r="A12" s="245"/>
      <c r="B12" s="507"/>
      <c r="C12" s="304"/>
      <c r="D12" s="512" t="str">
        <f>IF(E11="SI SE REPORTA","¿Qué programas o proyectos del Plan de Acción están asociados al indicador? ","")</f>
        <v xml:space="preserve">¿Qué programas o proyectos del Plan de Acción están asociados al indicador? </v>
      </c>
      <c r="E12" s="1415" t="str">
        <f>'Anexo 1 Matriz Inf Gestión'!E72:H72</f>
        <v>Proyecto No 4.2. Gestión Ambiental Sectorial (10)</v>
      </c>
      <c r="F12" s="1415"/>
      <c r="G12" s="1415"/>
      <c r="H12" s="1415"/>
      <c r="I12" s="1415"/>
      <c r="J12" s="1415"/>
      <c r="K12" s="1415"/>
      <c r="L12" s="1415"/>
      <c r="M12" s="1415"/>
      <c r="N12" s="1415"/>
      <c r="O12" s="1415"/>
      <c r="P12" s="1415"/>
      <c r="Q12" s="1415"/>
      <c r="R12" s="1415"/>
    </row>
    <row r="13" spans="1:21" s="413" customFormat="1" ht="21.95" customHeight="1">
      <c r="A13" s="245"/>
      <c r="B13" s="507"/>
      <c r="C13" s="304"/>
      <c r="D13" s="512" t="s">
        <v>1267</v>
      </c>
      <c r="E13" s="1416"/>
      <c r="F13" s="1417"/>
      <c r="G13" s="1417"/>
      <c r="H13" s="1417"/>
      <c r="I13" s="1417"/>
      <c r="J13" s="1417"/>
      <c r="K13" s="1417"/>
      <c r="L13" s="1417"/>
      <c r="M13" s="1417"/>
      <c r="N13" s="1417"/>
      <c r="O13" s="1417"/>
      <c r="P13" s="1417"/>
      <c r="Q13" s="1417"/>
      <c r="R13" s="1418"/>
    </row>
    <row r="14" spans="1:21" s="413" customFormat="1" ht="6.95" customHeight="1" thickBot="1">
      <c r="B14" s="507"/>
      <c r="C14" s="88"/>
      <c r="D14" s="6"/>
      <c r="E14" s="6"/>
      <c r="F14" s="6"/>
      <c r="G14" s="6"/>
      <c r="H14" s="6"/>
      <c r="I14" s="6"/>
      <c r="J14" s="6"/>
      <c r="K14" s="6"/>
    </row>
    <row r="15" spans="1:21" ht="15" customHeight="1" thickTop="1">
      <c r="B15" s="1456" t="s">
        <v>2</v>
      </c>
      <c r="C15" s="90"/>
      <c r="D15" s="1458" t="s">
        <v>344</v>
      </c>
      <c r="E15" s="1459"/>
      <c r="F15" s="1459"/>
      <c r="G15" s="1459"/>
      <c r="H15" s="1459"/>
      <c r="I15" s="1459"/>
      <c r="J15" s="1459"/>
      <c r="K15" s="1460"/>
    </row>
    <row r="16" spans="1:21" ht="15.75" thickBot="1">
      <c r="B16" s="1457"/>
      <c r="C16" s="93"/>
      <c r="D16" s="1566" t="s">
        <v>664</v>
      </c>
      <c r="E16" s="1567"/>
      <c r="F16" s="1567"/>
      <c r="G16" s="1567"/>
      <c r="H16" s="1567"/>
      <c r="I16" s="1567"/>
      <c r="J16" s="1567"/>
      <c r="K16" s="1568"/>
    </row>
    <row r="17" spans="2:14" ht="15.75" thickBot="1">
      <c r="B17" s="1457"/>
      <c r="C17" s="91" t="s">
        <v>24</v>
      </c>
      <c r="D17" s="39" t="s">
        <v>261</v>
      </c>
      <c r="E17" s="39" t="s">
        <v>25</v>
      </c>
      <c r="F17" s="39" t="s">
        <v>26</v>
      </c>
      <c r="G17" s="39" t="s">
        <v>27</v>
      </c>
      <c r="H17" s="39" t="s">
        <v>28</v>
      </c>
      <c r="I17" s="39" t="s">
        <v>262</v>
      </c>
      <c r="K17" s="22"/>
    </row>
    <row r="18" spans="2:14" ht="36.75" thickBot="1">
      <c r="B18" s="1457"/>
      <c r="C18" s="92" t="s">
        <v>158</v>
      </c>
      <c r="D18" s="41" t="s">
        <v>699</v>
      </c>
      <c r="E18" s="7">
        <v>2</v>
      </c>
      <c r="F18" s="7">
        <v>2</v>
      </c>
      <c r="G18" s="7">
        <v>2</v>
      </c>
      <c r="H18" s="7">
        <v>2</v>
      </c>
      <c r="I18" s="43">
        <f t="shared" ref="I18:I19" si="0">SUM(E18:H18)</f>
        <v>8</v>
      </c>
      <c r="K18" s="22"/>
    </row>
    <row r="19" spans="2:14" ht="36.75" thickBot="1">
      <c r="B19" s="1457"/>
      <c r="C19" s="92" t="s">
        <v>160</v>
      </c>
      <c r="D19" s="41" t="s">
        <v>1197</v>
      </c>
      <c r="E19" s="7">
        <v>2</v>
      </c>
      <c r="F19" s="7">
        <v>2</v>
      </c>
      <c r="G19" s="7"/>
      <c r="H19" s="7"/>
      <c r="I19" s="43">
        <f t="shared" si="0"/>
        <v>4</v>
      </c>
      <c r="K19" s="22"/>
    </row>
    <row r="20" spans="2:14" ht="48.75" thickBot="1">
      <c r="B20" s="1457"/>
      <c r="C20" s="92" t="s">
        <v>162</v>
      </c>
      <c r="D20" s="41" t="s">
        <v>1196</v>
      </c>
      <c r="E20" s="145">
        <f>IFERROR(E19/E18,0)</f>
        <v>1</v>
      </c>
      <c r="F20" s="145">
        <f t="shared" ref="F20:I20" si="1">IFERROR(F19/F18,0)</f>
        <v>1</v>
      </c>
      <c r="G20" s="145">
        <f t="shared" si="1"/>
        <v>0</v>
      </c>
      <c r="H20" s="145">
        <f t="shared" si="1"/>
        <v>0</v>
      </c>
      <c r="I20" s="145">
        <f t="shared" si="1"/>
        <v>0.5</v>
      </c>
      <c r="K20" s="22"/>
    </row>
    <row r="21" spans="2:14">
      <c r="B21" s="437"/>
      <c r="C21" s="93"/>
      <c r="D21" s="1464"/>
      <c r="E21" s="1465"/>
      <c r="F21" s="1465"/>
      <c r="G21" s="1465"/>
      <c r="H21" s="1465"/>
      <c r="I21" s="1465"/>
      <c r="J21" s="1465"/>
      <c r="K21" s="1466"/>
    </row>
    <row r="22" spans="2:14">
      <c r="B22" s="437"/>
      <c r="C22" s="93"/>
      <c r="D22" s="1566" t="s">
        <v>700</v>
      </c>
      <c r="E22" s="1567"/>
      <c r="F22" s="1567"/>
      <c r="G22" s="1567"/>
      <c r="H22" s="1567"/>
      <c r="I22" s="1567"/>
      <c r="J22" s="1567"/>
      <c r="K22" s="1568"/>
    </row>
    <row r="23" spans="2:14" ht="24" customHeight="1" thickBot="1">
      <c r="B23" s="437"/>
      <c r="C23" s="93"/>
      <c r="D23" s="1583" t="s">
        <v>695</v>
      </c>
      <c r="E23" s="1584"/>
      <c r="F23" s="1584"/>
      <c r="G23" s="1584"/>
      <c r="H23" s="1584"/>
      <c r="I23" s="1584"/>
      <c r="J23" s="1584"/>
      <c r="K23" s="1585"/>
    </row>
    <row r="24" spans="2:14" ht="15.75" thickBot="1">
      <c r="B24" s="437"/>
      <c r="C24" s="1460" t="s">
        <v>24</v>
      </c>
      <c r="D24" s="1447" t="s">
        <v>278</v>
      </c>
      <c r="E24" s="1447" t="s">
        <v>628</v>
      </c>
      <c r="F24" s="1505" t="s">
        <v>701</v>
      </c>
      <c r="G24" s="1586" t="s">
        <v>702</v>
      </c>
      <c r="H24" s="1587"/>
      <c r="I24" s="1587"/>
      <c r="J24" s="1588"/>
      <c r="K24" s="120"/>
    </row>
    <row r="25" spans="2:14">
      <c r="B25" s="437"/>
      <c r="C25" s="1466"/>
      <c r="D25" s="1448"/>
      <c r="E25" s="1448"/>
      <c r="F25" s="1537"/>
      <c r="G25" s="70" t="s">
        <v>482</v>
      </c>
      <c r="H25" s="1505" t="s">
        <v>704</v>
      </c>
      <c r="I25" s="1505" t="s">
        <v>282</v>
      </c>
      <c r="J25" s="1505" t="s">
        <v>283</v>
      </c>
      <c r="K25" s="12"/>
    </row>
    <row r="26" spans="2:14" ht="15.75" thickBot="1">
      <c r="B26" s="437"/>
      <c r="C26" s="1494"/>
      <c r="D26" s="1449"/>
      <c r="E26" s="1449"/>
      <c r="F26" s="1506"/>
      <c r="G26" s="66" t="s">
        <v>703</v>
      </c>
      <c r="H26" s="1506"/>
      <c r="I26" s="1506"/>
      <c r="J26" s="1506"/>
      <c r="K26" s="12"/>
    </row>
    <row r="27" spans="2:14" ht="60.75" thickBot="1">
      <c r="B27" s="437"/>
      <c r="C27" s="31">
        <v>1</v>
      </c>
      <c r="D27" s="1056" t="s">
        <v>1801</v>
      </c>
      <c r="E27" s="481" t="s">
        <v>705</v>
      </c>
      <c r="F27" s="31"/>
      <c r="G27" s="1107">
        <v>35012728</v>
      </c>
      <c r="H27" s="1107">
        <v>35012728</v>
      </c>
      <c r="I27" s="1107">
        <f>19607128+11852</f>
        <v>19618980</v>
      </c>
      <c r="J27" s="1110">
        <v>13648504</v>
      </c>
      <c r="K27" s="12"/>
      <c r="L27" s="1074"/>
      <c r="M27" s="1074"/>
      <c r="N27" s="1106"/>
    </row>
    <row r="28" spans="2:14" ht="36.75" thickBot="1">
      <c r="B28" s="437"/>
      <c r="C28" s="31">
        <v>2</v>
      </c>
      <c r="D28" s="1056" t="s">
        <v>1802</v>
      </c>
      <c r="E28" s="481" t="s">
        <v>706</v>
      </c>
      <c r="F28" s="31"/>
      <c r="G28" s="1107">
        <v>35012729</v>
      </c>
      <c r="H28" s="1107">
        <v>35012729</v>
      </c>
      <c r="I28" s="1107">
        <f>19607127+111853</f>
        <v>19718980</v>
      </c>
      <c r="J28" s="1110">
        <v>13718072</v>
      </c>
      <c r="K28" s="12"/>
      <c r="L28" s="225"/>
      <c r="M28" s="1074"/>
      <c r="N28" s="1106"/>
    </row>
    <row r="29" spans="2:14" s="413" customFormat="1" ht="36.75" thickBot="1">
      <c r="B29" s="1045"/>
      <c r="C29" s="31">
        <v>3</v>
      </c>
      <c r="D29" s="1056" t="s">
        <v>1803</v>
      </c>
      <c r="E29" s="481"/>
      <c r="F29" s="31" t="s">
        <v>1809</v>
      </c>
      <c r="G29" s="1107">
        <v>35012729</v>
      </c>
      <c r="H29" s="1107">
        <v>35012729</v>
      </c>
      <c r="I29" s="1107">
        <f>19607128+111852</f>
        <v>19718980</v>
      </c>
      <c r="J29" s="1110">
        <v>13718073</v>
      </c>
      <c r="K29" s="12"/>
      <c r="L29" s="225"/>
      <c r="M29" s="1074"/>
      <c r="N29" s="1106"/>
    </row>
    <row r="30" spans="2:14" s="413" customFormat="1" ht="48.75" thickBot="1">
      <c r="B30" s="1045"/>
      <c r="C30" s="31">
        <v>4</v>
      </c>
      <c r="D30" s="1057" t="s">
        <v>1804</v>
      </c>
      <c r="E30" s="481"/>
      <c r="F30" s="31" t="s">
        <v>1809</v>
      </c>
      <c r="G30" s="1107">
        <v>37530070</v>
      </c>
      <c r="H30" s="1107">
        <v>37530070</v>
      </c>
      <c r="I30" s="1107">
        <f>21016839+111853</f>
        <v>21128692</v>
      </c>
      <c r="J30" s="1110">
        <v>14698779</v>
      </c>
      <c r="K30" s="12"/>
      <c r="L30" s="1074"/>
      <c r="M30" s="1074"/>
      <c r="N30" s="1106"/>
    </row>
    <row r="31" spans="2:14" ht="36.75" thickBot="1">
      <c r="B31" s="437"/>
      <c r="C31" s="31">
        <v>5</v>
      </c>
      <c r="D31" s="1057" t="s">
        <v>1805</v>
      </c>
      <c r="E31" s="481" t="s">
        <v>707</v>
      </c>
      <c r="F31" s="31" t="s">
        <v>1810</v>
      </c>
      <c r="G31" s="1107">
        <v>35012729</v>
      </c>
      <c r="H31" s="1107">
        <v>35012729</v>
      </c>
      <c r="I31" s="1107">
        <f>19607127+111852</f>
        <v>19718979</v>
      </c>
      <c r="J31" s="1110">
        <v>13718072</v>
      </c>
      <c r="K31" s="12"/>
      <c r="L31" s="225"/>
      <c r="M31" s="1074"/>
      <c r="N31" s="1106"/>
    </row>
    <row r="32" spans="2:14" ht="48.75" thickBot="1">
      <c r="B32" s="437"/>
      <c r="C32" s="31">
        <v>6</v>
      </c>
      <c r="D32" s="1057" t="s">
        <v>1806</v>
      </c>
      <c r="E32" s="481" t="s">
        <v>708</v>
      </c>
      <c r="F32" s="31"/>
      <c r="G32" s="1107">
        <v>35012729</v>
      </c>
      <c r="H32" s="1107">
        <v>35012729</v>
      </c>
      <c r="I32" s="1107">
        <f>19607128+111852</f>
        <v>19718980</v>
      </c>
      <c r="J32" s="1110">
        <v>13718072</v>
      </c>
      <c r="K32" s="12"/>
      <c r="L32" s="225"/>
      <c r="M32" s="1074"/>
      <c r="N32" s="1106"/>
    </row>
    <row r="33" spans="2:14" ht="60.75" thickBot="1">
      <c r="B33" s="437"/>
      <c r="C33" s="31">
        <v>7</v>
      </c>
      <c r="D33" s="1057" t="s">
        <v>1807</v>
      </c>
      <c r="E33" s="481" t="s">
        <v>709</v>
      </c>
      <c r="F33" s="31" t="s">
        <v>1810</v>
      </c>
      <c r="G33" s="1109">
        <v>35012729</v>
      </c>
      <c r="H33" s="1109">
        <v>35012729</v>
      </c>
      <c r="I33" s="1107">
        <f>19607127+111853</f>
        <v>19718980</v>
      </c>
      <c r="J33" s="1110">
        <v>13718071</v>
      </c>
      <c r="K33" s="12"/>
      <c r="L33" s="225"/>
      <c r="M33" s="1074"/>
      <c r="N33" s="1106"/>
    </row>
    <row r="34" spans="2:14" ht="36.75" thickBot="1">
      <c r="B34" s="437"/>
      <c r="C34" s="31">
        <v>8</v>
      </c>
      <c r="D34" s="1057" t="s">
        <v>1808</v>
      </c>
      <c r="E34" s="481"/>
      <c r="F34" s="31" t="s">
        <v>1811</v>
      </c>
      <c r="G34" s="1109">
        <v>35012729</v>
      </c>
      <c r="H34" s="1109">
        <v>35012729</v>
      </c>
      <c r="I34" s="1107">
        <f>19607128+111852-11851</f>
        <v>19707129</v>
      </c>
      <c r="J34" s="1110">
        <v>13709828</v>
      </c>
      <c r="K34" s="12"/>
      <c r="L34" s="225"/>
      <c r="M34" s="1074"/>
      <c r="N34" s="1106"/>
    </row>
    <row r="35" spans="2:14" ht="15.75" thickBot="1">
      <c r="B35" s="437"/>
      <c r="C35" s="40"/>
      <c r="D35" s="40" t="s">
        <v>157</v>
      </c>
      <c r="E35" s="40"/>
      <c r="F35" s="41"/>
      <c r="G35" s="1108">
        <f>SUM(G27:G34)</f>
        <v>282619172</v>
      </c>
      <c r="H35" s="1108">
        <f t="shared" ref="H35:J35" si="2">SUM(H27:H34)</f>
        <v>282619172</v>
      </c>
      <c r="I35" s="1108">
        <f t="shared" si="2"/>
        <v>159049700</v>
      </c>
      <c r="J35" s="1108">
        <f t="shared" si="2"/>
        <v>110647471</v>
      </c>
      <c r="K35" s="13"/>
      <c r="M35" s="1074"/>
      <c r="N35" s="1074"/>
    </row>
    <row r="36" spans="2:14">
      <c r="B36" s="437"/>
      <c r="C36" s="93"/>
      <c r="D36" s="1458" t="s">
        <v>639</v>
      </c>
      <c r="E36" s="1459"/>
      <c r="F36" s="1459"/>
      <c r="G36" s="1459"/>
      <c r="H36" s="1459"/>
      <c r="I36" s="1459"/>
      <c r="J36" s="1459"/>
      <c r="K36" s="1460"/>
    </row>
    <row r="37" spans="2:14" ht="24" customHeight="1" thickBot="1">
      <c r="B37" s="437"/>
      <c r="C37" s="93"/>
      <c r="D37" s="1464" t="s">
        <v>710</v>
      </c>
      <c r="E37" s="1465"/>
      <c r="F37" s="1465"/>
      <c r="G37" s="1465"/>
      <c r="H37" s="1465"/>
      <c r="I37" s="1465"/>
      <c r="J37" s="1465"/>
      <c r="K37" s="1466"/>
    </row>
    <row r="38" spans="2:14" ht="15.75" thickBot="1">
      <c r="B38" s="437"/>
      <c r="C38" s="1589" t="s">
        <v>24</v>
      </c>
      <c r="D38" s="1572" t="s">
        <v>711</v>
      </c>
      <c r="E38" s="1575" t="s">
        <v>712</v>
      </c>
      <c r="F38" s="1576"/>
      <c r="G38" s="71"/>
      <c r="H38" s="6"/>
      <c r="I38" s="6"/>
      <c r="K38" s="22"/>
    </row>
    <row r="39" spans="2:14">
      <c r="B39" s="437"/>
      <c r="C39" s="1463"/>
      <c r="D39" s="1573"/>
      <c r="E39" s="1447" t="s">
        <v>713</v>
      </c>
      <c r="F39" s="47" t="s">
        <v>714</v>
      </c>
      <c r="G39" s="1447" t="s">
        <v>60</v>
      </c>
      <c r="H39" s="6"/>
      <c r="I39" s="6"/>
      <c r="K39" s="22"/>
    </row>
    <row r="40" spans="2:14" ht="15.75" thickBot="1">
      <c r="B40" s="437"/>
      <c r="C40" s="1469"/>
      <c r="D40" s="1574"/>
      <c r="E40" s="1449"/>
      <c r="F40" s="41" t="s">
        <v>704</v>
      </c>
      <c r="G40" s="1449"/>
      <c r="H40" s="6"/>
      <c r="I40" s="6"/>
      <c r="K40" s="22"/>
    </row>
    <row r="41" spans="2:14" ht="15.75" thickBot="1">
      <c r="B41" s="437"/>
      <c r="C41" s="483">
        <v>1</v>
      </c>
      <c r="D41" s="164">
        <v>0.12</v>
      </c>
      <c r="E41" s="148">
        <f>IFERROR(I27/H27,0)</f>
        <v>0.56033851461102946</v>
      </c>
      <c r="F41" s="148">
        <f>IFERROR(J27/I27,0)</f>
        <v>0.69567857248440035</v>
      </c>
      <c r="G41" s="481"/>
      <c r="H41" s="6"/>
      <c r="I41" s="6"/>
      <c r="K41" s="22"/>
    </row>
    <row r="42" spans="2:14" ht="15.75" thickBot="1">
      <c r="B42" s="437"/>
      <c r="C42" s="483">
        <v>2</v>
      </c>
      <c r="D42" s="164">
        <v>0.13</v>
      </c>
      <c r="E42" s="148">
        <f>IFERROR(I28/H28,0)</f>
        <v>0.56319460274004918</v>
      </c>
      <c r="F42" s="148">
        <f>IFERROR(J28/I28,0)</f>
        <v>0.69567857972369762</v>
      </c>
      <c r="G42" s="481"/>
      <c r="H42" s="6"/>
      <c r="I42" s="6"/>
      <c r="K42" s="22"/>
    </row>
    <row r="43" spans="2:14" ht="15.75" thickBot="1">
      <c r="B43" s="437"/>
      <c r="C43" s="483">
        <v>3</v>
      </c>
      <c r="D43" s="164">
        <v>0.13</v>
      </c>
      <c r="E43" s="148">
        <f t="shared" ref="E43" si="3">IFERROR(I31/H31,0)</f>
        <v>0.56319457417900787</v>
      </c>
      <c r="F43" s="148">
        <f t="shared" ref="F43" si="4">IFERROR(J31/I31,0)</f>
        <v>0.69567861500334272</v>
      </c>
      <c r="G43" s="481"/>
      <c r="H43" s="6"/>
      <c r="I43" s="6"/>
      <c r="K43" s="22"/>
    </row>
    <row r="44" spans="2:14" ht="15.75" thickBot="1">
      <c r="B44" s="437"/>
      <c r="C44" s="483">
        <v>4</v>
      </c>
      <c r="D44" s="164">
        <v>0.13</v>
      </c>
      <c r="E44" s="148">
        <f>IFERROR(I32/H32,0)</f>
        <v>0.56319460274004918</v>
      </c>
      <c r="F44" s="148">
        <f>IFERROR(J32/I32,0)</f>
        <v>0.69567857972369762</v>
      </c>
      <c r="G44" s="481"/>
      <c r="H44" s="6"/>
      <c r="I44" s="6"/>
      <c r="K44" s="22"/>
    </row>
    <row r="45" spans="2:14" ht="15.75" thickBot="1">
      <c r="B45" s="437"/>
      <c r="C45" s="483">
        <v>5</v>
      </c>
      <c r="D45" s="164">
        <v>0.12</v>
      </c>
      <c r="E45" s="148">
        <f>IFERROR(I33/H33,0)</f>
        <v>0.56319460274004918</v>
      </c>
      <c r="F45" s="148">
        <f>IFERROR(J33/I33,0)</f>
        <v>0.69567852901113547</v>
      </c>
      <c r="G45" s="481"/>
      <c r="H45" s="6"/>
      <c r="I45" s="6"/>
      <c r="K45" s="22"/>
    </row>
    <row r="46" spans="2:14" s="413" customFormat="1" ht="15.75" thickBot="1">
      <c r="B46" s="1045"/>
      <c r="C46" s="483">
        <v>6</v>
      </c>
      <c r="D46" s="164">
        <v>0.12</v>
      </c>
      <c r="E46" s="148">
        <f t="shared" ref="E46:E47" si="5">IFERROR(I34/H34,0)</f>
        <v>0.56285612583926259</v>
      </c>
      <c r="F46" s="148">
        <f t="shared" ref="F46:F47" si="6">IFERROR(J34/I34,0)</f>
        <v>0.69567860442786977</v>
      </c>
      <c r="G46" s="481"/>
      <c r="H46" s="6"/>
      <c r="I46" s="6"/>
      <c r="K46" s="22"/>
    </row>
    <row r="47" spans="2:14" s="413" customFormat="1" ht="15.75" thickBot="1">
      <c r="B47" s="1045"/>
      <c r="C47" s="483">
        <v>7</v>
      </c>
      <c r="D47" s="164">
        <v>0.13</v>
      </c>
      <c r="E47" s="148">
        <f t="shared" si="5"/>
        <v>0.56277038416912495</v>
      </c>
      <c r="F47" s="148">
        <f t="shared" si="6"/>
        <v>0.69567858977413977</v>
      </c>
      <c r="G47" s="481"/>
      <c r="H47" s="6"/>
      <c r="I47" s="6"/>
      <c r="K47" s="22"/>
    </row>
    <row r="48" spans="2:14" ht="15.75" thickBot="1">
      <c r="B48" s="437"/>
      <c r="C48" s="483">
        <v>8</v>
      </c>
      <c r="D48" s="164">
        <v>0.12</v>
      </c>
      <c r="E48" s="148">
        <f>IFERROR(I34/H34,0)</f>
        <v>0.56285612583926259</v>
      </c>
      <c r="F48" s="148">
        <f>IFERROR(J34/I34,0)</f>
        <v>0.69567860442786977</v>
      </c>
      <c r="G48" s="481"/>
      <c r="H48" s="6"/>
      <c r="I48" s="6"/>
      <c r="K48" s="22"/>
    </row>
    <row r="49" spans="2:11" ht="15.75" thickBot="1">
      <c r="B49" s="438"/>
      <c r="C49" s="69"/>
      <c r="D49" s="165">
        <f>Formulas!$D$22</f>
        <v>1</v>
      </c>
      <c r="E49" s="149">
        <f>+$D41*E41+$D42*E42+$D43*E43+$D44*E44+$D45*E45+$D48*E48</f>
        <v>0.42201260053852474</v>
      </c>
      <c r="F49" s="148">
        <f>IFERROR(J35/I35,0)</f>
        <v>0.69567858977413977</v>
      </c>
      <c r="G49" s="41"/>
      <c r="H49" s="23"/>
      <c r="I49" s="23"/>
      <c r="J49" s="23"/>
      <c r="K49" s="24"/>
    </row>
    <row r="50" spans="2:11" ht="15.75" thickBot="1">
      <c r="B50" s="38"/>
      <c r="C50" s="89"/>
      <c r="D50" s="6"/>
      <c r="E50" s="6"/>
      <c r="F50" s="6"/>
      <c r="G50" s="6"/>
      <c r="H50" s="6"/>
      <c r="I50" s="6"/>
      <c r="J50" s="6"/>
      <c r="K50" s="6"/>
    </row>
    <row r="51" spans="2:11" ht="84.75" thickBot="1">
      <c r="B51" s="53" t="s">
        <v>39</v>
      </c>
      <c r="C51" s="99"/>
      <c r="D51" s="44" t="s">
        <v>715</v>
      </c>
      <c r="E51" s="6"/>
      <c r="F51" s="6"/>
      <c r="G51" s="6"/>
      <c r="H51" s="6"/>
      <c r="I51" s="6"/>
      <c r="J51" s="6"/>
      <c r="K51" s="6"/>
    </row>
    <row r="52" spans="2:11" ht="60.75" thickBot="1">
      <c r="B52" s="48" t="s">
        <v>41</v>
      </c>
      <c r="C52" s="3"/>
      <c r="D52" s="41" t="s">
        <v>354</v>
      </c>
      <c r="E52" s="6"/>
      <c r="F52" s="6"/>
      <c r="G52" s="6"/>
      <c r="H52" s="6"/>
      <c r="I52" s="6"/>
      <c r="J52" s="6"/>
      <c r="K52" s="6"/>
    </row>
    <row r="53" spans="2:11" ht="15.75" thickBot="1">
      <c r="B53" s="2"/>
      <c r="C53" s="77"/>
      <c r="D53" s="6"/>
      <c r="E53" s="6"/>
      <c r="F53" s="6"/>
      <c r="G53" s="6"/>
      <c r="H53" s="6"/>
      <c r="I53" s="6"/>
      <c r="J53" s="6"/>
      <c r="K53" s="6"/>
    </row>
    <row r="54" spans="2:11" ht="24" customHeight="1" thickBot="1">
      <c r="B54" s="1450" t="s">
        <v>43</v>
      </c>
      <c r="C54" s="1451"/>
      <c r="D54" s="1451"/>
      <c r="E54" s="1452"/>
      <c r="F54" s="6"/>
      <c r="G54" s="6"/>
      <c r="H54" s="6"/>
      <c r="I54" s="6"/>
      <c r="J54" s="6"/>
      <c r="K54" s="6"/>
    </row>
    <row r="55" spans="2:11" ht="15.75" thickBot="1">
      <c r="B55" s="1447">
        <v>1</v>
      </c>
      <c r="C55" s="95"/>
      <c r="D55" s="49" t="s">
        <v>44</v>
      </c>
      <c r="E55" s="42" t="s">
        <v>1642</v>
      </c>
      <c r="F55" s="6"/>
      <c r="G55" s="6"/>
      <c r="H55" s="6"/>
      <c r="I55" s="6"/>
      <c r="J55" s="6"/>
      <c r="K55" s="6"/>
    </row>
    <row r="56" spans="2:11" ht="15.75" thickBot="1">
      <c r="B56" s="1448"/>
      <c r="C56" s="95"/>
      <c r="D56" s="41" t="s">
        <v>45</v>
      </c>
      <c r="E56" s="42" t="s">
        <v>1812</v>
      </c>
      <c r="F56" s="6"/>
      <c r="G56" s="6"/>
      <c r="H56" s="6"/>
      <c r="I56" s="6"/>
      <c r="J56" s="6"/>
      <c r="K56" s="6"/>
    </row>
    <row r="57" spans="2:11" ht="15.75" thickBot="1">
      <c r="B57" s="1448"/>
      <c r="C57" s="95"/>
      <c r="D57" s="41" t="s">
        <v>46</v>
      </c>
      <c r="E57" s="42" t="s">
        <v>1676</v>
      </c>
      <c r="F57" s="6"/>
      <c r="G57" s="6"/>
      <c r="H57" s="6"/>
      <c r="I57" s="6"/>
      <c r="J57" s="6"/>
      <c r="K57" s="6"/>
    </row>
    <row r="58" spans="2:11" ht="15.75" thickBot="1">
      <c r="B58" s="1448"/>
      <c r="C58" s="95"/>
      <c r="D58" s="41" t="s">
        <v>47</v>
      </c>
      <c r="E58" s="42" t="s">
        <v>1660</v>
      </c>
      <c r="F58" s="6"/>
      <c r="G58" s="6"/>
      <c r="H58" s="6"/>
      <c r="I58" s="6"/>
      <c r="J58" s="6"/>
      <c r="K58" s="6"/>
    </row>
    <row r="59" spans="2:11" ht="15.75" thickBot="1">
      <c r="B59" s="1448"/>
      <c r="C59" s="95"/>
      <c r="D59" s="41" t="s">
        <v>48</v>
      </c>
      <c r="E59" s="1067" t="s">
        <v>1813</v>
      </c>
      <c r="F59" s="6"/>
      <c r="G59" s="6"/>
      <c r="H59" s="6"/>
      <c r="I59" s="6"/>
      <c r="J59" s="6"/>
      <c r="K59" s="6"/>
    </row>
    <row r="60" spans="2:11" ht="15.75" thickBot="1">
      <c r="B60" s="1448"/>
      <c r="C60" s="95"/>
      <c r="D60" s="41" t="s">
        <v>49</v>
      </c>
      <c r="E60" s="42" t="s">
        <v>1814</v>
      </c>
      <c r="F60" s="6"/>
      <c r="G60" s="6"/>
      <c r="H60" s="6"/>
      <c r="I60" s="6"/>
      <c r="J60" s="6"/>
      <c r="K60" s="6"/>
    </row>
    <row r="61" spans="2:11" ht="15.75" thickBot="1">
      <c r="B61" s="1449"/>
      <c r="C61" s="3"/>
      <c r="D61" s="41" t="s">
        <v>50</v>
      </c>
      <c r="E61" s="42" t="s">
        <v>1629</v>
      </c>
      <c r="F61" s="6"/>
      <c r="G61" s="6"/>
      <c r="H61" s="6"/>
      <c r="I61" s="6"/>
      <c r="J61" s="6"/>
      <c r="K61" s="6"/>
    </row>
    <row r="62" spans="2:11" ht="15.75" thickBot="1">
      <c r="B62" s="2"/>
      <c r="C62" s="77"/>
      <c r="D62" s="6"/>
      <c r="E62" s="6"/>
      <c r="F62" s="6"/>
      <c r="G62" s="6"/>
      <c r="H62" s="6"/>
      <c r="I62" s="6"/>
      <c r="J62" s="6"/>
      <c r="K62" s="6"/>
    </row>
    <row r="63" spans="2:11" ht="15.75" thickBot="1">
      <c r="B63" s="1450" t="s">
        <v>51</v>
      </c>
      <c r="C63" s="1451"/>
      <c r="D63" s="1451"/>
      <c r="E63" s="1452"/>
      <c r="F63" s="6"/>
      <c r="G63" s="6"/>
      <c r="H63" s="6"/>
      <c r="I63" s="6"/>
      <c r="J63" s="6"/>
      <c r="K63" s="6"/>
    </row>
    <row r="64" spans="2:11" ht="15.75" thickBot="1">
      <c r="B64" s="1447">
        <v>1</v>
      </c>
      <c r="C64" s="95"/>
      <c r="D64" s="49" t="s">
        <v>44</v>
      </c>
      <c r="E64" s="132" t="s">
        <v>52</v>
      </c>
      <c r="F64" s="6"/>
      <c r="G64" s="6"/>
      <c r="H64" s="6"/>
      <c r="I64" s="6"/>
      <c r="J64" s="6"/>
      <c r="K64" s="6"/>
    </row>
    <row r="65" spans="2:11" ht="15.75" thickBot="1">
      <c r="B65" s="1448"/>
      <c r="C65" s="95"/>
      <c r="D65" s="41" t="s">
        <v>45</v>
      </c>
      <c r="E65" s="132" t="s">
        <v>53</v>
      </c>
      <c r="F65" s="6"/>
      <c r="G65" s="6"/>
      <c r="H65" s="6"/>
      <c r="I65" s="6"/>
      <c r="J65" s="6"/>
      <c r="K65" s="6"/>
    </row>
    <row r="66" spans="2:11" ht="15.75" thickBot="1">
      <c r="B66" s="1448"/>
      <c r="C66" s="95"/>
      <c r="D66" s="41" t="s">
        <v>46</v>
      </c>
      <c r="E66" s="173"/>
      <c r="F66" s="6"/>
      <c r="G66" s="6"/>
      <c r="H66" s="6"/>
      <c r="I66" s="6"/>
      <c r="J66" s="6"/>
      <c r="K66" s="6"/>
    </row>
    <row r="67" spans="2:11" ht="15.75" thickBot="1">
      <c r="B67" s="1448"/>
      <c r="C67" s="95"/>
      <c r="D67" s="41" t="s">
        <v>47</v>
      </c>
      <c r="E67" s="173"/>
      <c r="F67" s="6"/>
      <c r="G67" s="6"/>
      <c r="H67" s="6"/>
      <c r="I67" s="6"/>
      <c r="J67" s="6"/>
      <c r="K67" s="6"/>
    </row>
    <row r="68" spans="2:11" ht="15.75" thickBot="1">
      <c r="B68" s="1448"/>
      <c r="C68" s="95"/>
      <c r="D68" s="41" t="s">
        <v>48</v>
      </c>
      <c r="E68" s="173"/>
      <c r="F68" s="6"/>
      <c r="G68" s="6"/>
      <c r="H68" s="6"/>
      <c r="I68" s="6"/>
      <c r="J68" s="6"/>
      <c r="K68" s="6"/>
    </row>
    <row r="69" spans="2:11" ht="15.75" thickBot="1">
      <c r="B69" s="1448"/>
      <c r="C69" s="95"/>
      <c r="D69" s="41" t="s">
        <v>49</v>
      </c>
      <c r="E69" s="173"/>
      <c r="F69" s="6"/>
      <c r="G69" s="6"/>
      <c r="H69" s="6"/>
      <c r="I69" s="6"/>
      <c r="J69" s="6"/>
      <c r="K69" s="6"/>
    </row>
    <row r="70" spans="2:11" ht="15.75" thickBot="1">
      <c r="B70" s="1449"/>
      <c r="C70" s="3"/>
      <c r="D70" s="41" t="s">
        <v>50</v>
      </c>
      <c r="E70" s="173"/>
      <c r="F70" s="6"/>
      <c r="G70" s="6"/>
      <c r="H70" s="6"/>
      <c r="I70" s="6"/>
      <c r="J70" s="6"/>
      <c r="K70" s="6"/>
    </row>
    <row r="71" spans="2:11" ht="15.75" thickBot="1">
      <c r="B71" s="2"/>
      <c r="C71" s="77"/>
      <c r="D71" s="6"/>
      <c r="E71" s="6"/>
      <c r="F71" s="6"/>
      <c r="G71" s="6"/>
      <c r="H71" s="6"/>
      <c r="I71" s="6"/>
      <c r="J71" s="6"/>
      <c r="K71" s="6"/>
    </row>
    <row r="72" spans="2:11" ht="15.75" thickBot="1">
      <c r="B72" s="1450" t="s">
        <v>54</v>
      </c>
      <c r="C72" s="1451"/>
      <c r="D72" s="1451"/>
      <c r="E72" s="1451"/>
      <c r="F72" s="1452"/>
      <c r="G72" s="6"/>
      <c r="H72" s="6"/>
      <c r="I72" s="6"/>
      <c r="J72" s="6"/>
      <c r="K72" s="6"/>
    </row>
    <row r="73" spans="2:11" ht="24.75" thickBot="1">
      <c r="B73" s="48" t="s">
        <v>55</v>
      </c>
      <c r="C73" s="41" t="s">
        <v>56</v>
      </c>
      <c r="D73" s="41" t="s">
        <v>57</v>
      </c>
      <c r="E73" s="41" t="s">
        <v>58</v>
      </c>
      <c r="F73" s="6"/>
      <c r="G73" s="6"/>
      <c r="H73" s="6"/>
      <c r="I73" s="6"/>
      <c r="J73" s="6"/>
    </row>
    <row r="74" spans="2:11" ht="84.75" thickBot="1">
      <c r="B74" s="50">
        <v>42401</v>
      </c>
      <c r="C74" s="41">
        <v>0.01</v>
      </c>
      <c r="D74" s="51" t="s">
        <v>716</v>
      </c>
      <c r="E74" s="41"/>
      <c r="F74" s="6"/>
      <c r="G74" s="6"/>
      <c r="H74" s="6"/>
      <c r="I74" s="6"/>
      <c r="J74" s="6"/>
    </row>
    <row r="75" spans="2:11" ht="15.75" thickBot="1">
      <c r="B75" s="4"/>
      <c r="C75" s="96"/>
      <c r="D75" s="6"/>
      <c r="E75" s="6"/>
      <c r="F75" s="6"/>
      <c r="G75" s="6"/>
      <c r="H75" s="6"/>
      <c r="I75" s="6"/>
      <c r="J75" s="6"/>
      <c r="K75" s="6"/>
    </row>
    <row r="76" spans="2:11">
      <c r="B76" s="136" t="s">
        <v>60</v>
      </c>
      <c r="C76" s="97"/>
      <c r="D76" s="6"/>
      <c r="E76" s="6"/>
      <c r="F76" s="6"/>
      <c r="G76" s="6"/>
      <c r="H76" s="6"/>
      <c r="I76" s="6"/>
      <c r="J76" s="6"/>
      <c r="K76" s="6"/>
    </row>
    <row r="77" spans="2:11">
      <c r="B77" s="1577"/>
      <c r="C77" s="1578"/>
      <c r="D77" s="1578"/>
      <c r="E77" s="1578"/>
      <c r="F77" s="1579"/>
      <c r="G77" s="6"/>
      <c r="H77" s="6"/>
      <c r="I77" s="6"/>
      <c r="J77" s="6"/>
      <c r="K77" s="6"/>
    </row>
    <row r="78" spans="2:11">
      <c r="B78" s="1580"/>
      <c r="C78" s="1581"/>
      <c r="D78" s="1581"/>
      <c r="E78" s="1581"/>
      <c r="F78" s="1582"/>
      <c r="G78" s="6"/>
      <c r="H78" s="6"/>
      <c r="I78" s="6"/>
      <c r="J78" s="6"/>
      <c r="K78" s="6"/>
    </row>
    <row r="79" spans="2:11">
      <c r="B79" s="2"/>
      <c r="C79" s="77"/>
      <c r="D79" s="6"/>
      <c r="E79" s="6"/>
      <c r="F79" s="6"/>
      <c r="G79" s="6"/>
      <c r="H79" s="6"/>
      <c r="I79" s="6"/>
      <c r="J79" s="6"/>
      <c r="K79" s="6"/>
    </row>
    <row r="80" spans="2:11" ht="15.75" thickBot="1">
      <c r="B80" s="6"/>
      <c r="D80" s="6"/>
      <c r="E80" s="6"/>
      <c r="F80" s="6"/>
      <c r="G80" s="6"/>
      <c r="H80" s="6"/>
      <c r="I80" s="6"/>
      <c r="J80" s="6"/>
      <c r="K80" s="6"/>
    </row>
    <row r="81" spans="2:11" ht="24.75" thickBot="1">
      <c r="B81" s="52" t="s">
        <v>61</v>
      </c>
      <c r="C81" s="98"/>
      <c r="D81" s="6"/>
      <c r="E81" s="6"/>
      <c r="F81" s="6"/>
      <c r="G81" s="6"/>
      <c r="H81" s="6"/>
      <c r="I81" s="6"/>
      <c r="J81" s="6"/>
      <c r="K81" s="6"/>
    </row>
    <row r="82" spans="2:11" ht="15.75" thickBot="1">
      <c r="B82" s="38"/>
      <c r="C82" s="89"/>
      <c r="D82" s="6"/>
      <c r="E82" s="6"/>
      <c r="F82" s="6"/>
      <c r="G82" s="6"/>
      <c r="H82" s="6"/>
      <c r="I82" s="6"/>
      <c r="J82" s="6"/>
      <c r="K82" s="6"/>
    </row>
    <row r="83" spans="2:11" ht="84.75" thickBot="1">
      <c r="B83" s="53" t="s">
        <v>62</v>
      </c>
      <c r="C83" s="99"/>
      <c r="D83" s="44" t="s">
        <v>665</v>
      </c>
      <c r="E83" s="6"/>
      <c r="F83" s="6"/>
      <c r="G83" s="6"/>
      <c r="H83" s="6"/>
      <c r="I83" s="6"/>
      <c r="J83" s="6"/>
      <c r="K83" s="6"/>
    </row>
    <row r="84" spans="2:11">
      <c r="B84" s="1447" t="s">
        <v>64</v>
      </c>
      <c r="C84" s="95"/>
      <c r="D84" s="54" t="s">
        <v>65</v>
      </c>
      <c r="E84" s="6"/>
      <c r="F84" s="6"/>
      <c r="G84" s="6"/>
      <c r="H84" s="6"/>
      <c r="I84" s="6"/>
      <c r="J84" s="6"/>
      <c r="K84" s="6"/>
    </row>
    <row r="85" spans="2:11" ht="120">
      <c r="B85" s="1448"/>
      <c r="C85" s="95"/>
      <c r="D85" s="47" t="s">
        <v>666</v>
      </c>
      <c r="E85" s="6"/>
      <c r="F85" s="6"/>
      <c r="G85" s="6"/>
      <c r="H85" s="6"/>
      <c r="I85" s="6"/>
      <c r="J85" s="6"/>
      <c r="K85" s="6"/>
    </row>
    <row r="86" spans="2:11">
      <c r="B86" s="1448"/>
      <c r="C86" s="95"/>
      <c r="D86" s="54" t="s">
        <v>68</v>
      </c>
      <c r="E86" s="6"/>
      <c r="F86" s="6"/>
      <c r="G86" s="6"/>
      <c r="H86" s="6"/>
      <c r="I86" s="6"/>
      <c r="J86" s="6"/>
      <c r="K86" s="6"/>
    </row>
    <row r="87" spans="2:11">
      <c r="B87" s="1448"/>
      <c r="C87" s="95"/>
      <c r="D87" s="47" t="s">
        <v>667</v>
      </c>
      <c r="E87" s="6"/>
      <c r="F87" s="6"/>
      <c r="G87" s="6"/>
      <c r="H87" s="6"/>
      <c r="I87" s="6"/>
      <c r="J87" s="6"/>
      <c r="K87" s="6"/>
    </row>
    <row r="88" spans="2:11" ht="24">
      <c r="B88" s="1448"/>
      <c r="C88" s="95"/>
      <c r="D88" s="47" t="s">
        <v>668</v>
      </c>
      <c r="E88" s="6"/>
      <c r="F88" s="6"/>
      <c r="G88" s="6"/>
      <c r="H88" s="6"/>
      <c r="I88" s="6"/>
      <c r="J88" s="6"/>
      <c r="K88" s="6"/>
    </row>
    <row r="89" spans="2:11">
      <c r="B89" s="1448"/>
      <c r="C89" s="95"/>
      <c r="D89" s="54" t="s">
        <v>296</v>
      </c>
      <c r="E89" s="6"/>
      <c r="F89" s="6"/>
      <c r="G89" s="6"/>
      <c r="H89" s="6"/>
      <c r="I89" s="6"/>
      <c r="J89" s="6"/>
      <c r="K89" s="6"/>
    </row>
    <row r="90" spans="2:11" ht="24">
      <c r="B90" s="1448"/>
      <c r="C90" s="95"/>
      <c r="D90" s="47" t="s">
        <v>669</v>
      </c>
      <c r="E90" s="6"/>
      <c r="F90" s="6"/>
      <c r="G90" s="6"/>
      <c r="H90" s="6"/>
      <c r="I90" s="6"/>
      <c r="J90" s="6"/>
      <c r="K90" s="6"/>
    </row>
    <row r="91" spans="2:11" ht="24.75" thickBot="1">
      <c r="B91" s="1449"/>
      <c r="C91" s="3"/>
      <c r="D91" s="41" t="s">
        <v>670</v>
      </c>
      <c r="E91" s="6"/>
      <c r="F91" s="6"/>
      <c r="G91" s="6"/>
      <c r="H91" s="6"/>
      <c r="I91" s="6"/>
      <c r="J91" s="6"/>
      <c r="K91" s="6"/>
    </row>
    <row r="92" spans="2:11" ht="24.75" thickBot="1">
      <c r="B92" s="48" t="s">
        <v>77</v>
      </c>
      <c r="C92" s="3"/>
      <c r="D92" s="41"/>
      <c r="E92" s="6"/>
      <c r="F92" s="6"/>
      <c r="G92" s="6"/>
      <c r="H92" s="6"/>
      <c r="I92" s="6"/>
      <c r="J92" s="6"/>
      <c r="K92" s="6"/>
    </row>
    <row r="93" spans="2:11" ht="108">
      <c r="B93" s="1447" t="s">
        <v>78</v>
      </c>
      <c r="C93" s="95"/>
      <c r="D93" s="47" t="s">
        <v>671</v>
      </c>
      <c r="E93" s="6"/>
      <c r="F93" s="6"/>
      <c r="G93" s="6"/>
      <c r="H93" s="6"/>
      <c r="I93" s="6"/>
      <c r="J93" s="6"/>
      <c r="K93" s="6"/>
    </row>
    <row r="94" spans="2:11">
      <c r="B94" s="1448"/>
      <c r="C94" s="95"/>
      <c r="D94" s="47" t="s">
        <v>672</v>
      </c>
      <c r="E94" s="6"/>
      <c r="F94" s="6"/>
      <c r="G94" s="6"/>
      <c r="H94" s="6"/>
      <c r="I94" s="6"/>
      <c r="J94" s="6"/>
      <c r="K94" s="6"/>
    </row>
    <row r="95" spans="2:11" ht="108">
      <c r="B95" s="1448"/>
      <c r="C95" s="95"/>
      <c r="D95" s="47" t="s">
        <v>673</v>
      </c>
      <c r="E95" s="6"/>
      <c r="F95" s="6"/>
      <c r="G95" s="6"/>
      <c r="H95" s="6"/>
      <c r="I95" s="6"/>
      <c r="J95" s="6"/>
      <c r="K95" s="6"/>
    </row>
    <row r="96" spans="2:11" ht="108">
      <c r="B96" s="1448"/>
      <c r="C96" s="95"/>
      <c r="D96" s="47" t="s">
        <v>674</v>
      </c>
      <c r="E96" s="6"/>
      <c r="F96" s="6"/>
      <c r="G96" s="6"/>
      <c r="H96" s="6"/>
      <c r="I96" s="6"/>
      <c r="J96" s="6"/>
      <c r="K96" s="6"/>
    </row>
    <row r="97" spans="2:11" ht="108">
      <c r="B97" s="1448"/>
      <c r="C97" s="95"/>
      <c r="D97" s="47" t="s">
        <v>675</v>
      </c>
      <c r="E97" s="6"/>
      <c r="F97" s="6"/>
      <c r="G97" s="6"/>
      <c r="H97" s="6"/>
      <c r="I97" s="6"/>
      <c r="J97" s="6"/>
      <c r="K97" s="6"/>
    </row>
    <row r="98" spans="2:11" ht="84">
      <c r="B98" s="1448"/>
      <c r="C98" s="95"/>
      <c r="D98" s="47" t="s">
        <v>676</v>
      </c>
      <c r="E98" s="6"/>
      <c r="F98" s="6"/>
      <c r="G98" s="6"/>
      <c r="H98" s="6"/>
      <c r="I98" s="6"/>
      <c r="J98" s="6"/>
      <c r="K98" s="6"/>
    </row>
    <row r="99" spans="2:11" ht="84">
      <c r="B99" s="1448"/>
      <c r="C99" s="95"/>
      <c r="D99" s="47" t="s">
        <v>677</v>
      </c>
      <c r="E99" s="6"/>
      <c r="F99" s="6"/>
      <c r="G99" s="6"/>
      <c r="H99" s="6"/>
      <c r="I99" s="6"/>
      <c r="J99" s="6"/>
      <c r="K99" s="6"/>
    </row>
    <row r="100" spans="2:11" ht="216">
      <c r="B100" s="1448"/>
      <c r="C100" s="95"/>
      <c r="D100" s="47" t="s">
        <v>678</v>
      </c>
      <c r="E100" s="6"/>
      <c r="F100" s="6"/>
      <c r="G100" s="6"/>
      <c r="H100" s="6"/>
      <c r="I100" s="6"/>
      <c r="J100" s="6"/>
      <c r="K100" s="6"/>
    </row>
    <row r="101" spans="2:11" ht="168">
      <c r="B101" s="1448"/>
      <c r="C101" s="95"/>
      <c r="D101" s="47" t="s">
        <v>679</v>
      </c>
      <c r="E101" s="6"/>
      <c r="F101" s="6"/>
      <c r="G101" s="6"/>
      <c r="H101" s="6"/>
      <c r="I101" s="6"/>
      <c r="J101" s="6"/>
      <c r="K101" s="6"/>
    </row>
    <row r="102" spans="2:11" ht="24">
      <c r="B102" s="1448"/>
      <c r="C102" s="95"/>
      <c r="D102" s="47" t="s">
        <v>680</v>
      </c>
      <c r="E102" s="6"/>
      <c r="F102" s="6"/>
      <c r="G102" s="6"/>
      <c r="H102" s="6"/>
      <c r="I102" s="6"/>
      <c r="J102" s="6"/>
      <c r="K102" s="6"/>
    </row>
    <row r="103" spans="2:11" ht="24">
      <c r="B103" s="1448"/>
      <c r="C103" s="95"/>
      <c r="D103" s="26" t="s">
        <v>681</v>
      </c>
      <c r="E103" s="6"/>
      <c r="F103" s="6"/>
      <c r="G103" s="6"/>
      <c r="H103" s="6"/>
      <c r="I103" s="6"/>
      <c r="J103" s="6"/>
      <c r="K103" s="6"/>
    </row>
    <row r="104" spans="2:11" ht="36">
      <c r="B104" s="1448"/>
      <c r="C104" s="95"/>
      <c r="D104" s="26" t="s">
        <v>682</v>
      </c>
      <c r="E104" s="6"/>
      <c r="F104" s="6"/>
      <c r="G104" s="6"/>
      <c r="H104" s="6"/>
      <c r="I104" s="6"/>
      <c r="J104" s="6"/>
      <c r="K104" s="6"/>
    </row>
    <row r="105" spans="2:11" ht="48">
      <c r="B105" s="1448"/>
      <c r="C105" s="95"/>
      <c r="D105" s="26" t="s">
        <v>683</v>
      </c>
      <c r="E105" s="6"/>
      <c r="F105" s="6"/>
      <c r="G105" s="6"/>
      <c r="H105" s="6"/>
      <c r="I105" s="6"/>
      <c r="J105" s="6"/>
      <c r="K105" s="6"/>
    </row>
    <row r="106" spans="2:11" ht="144">
      <c r="B106" s="1448"/>
      <c r="C106" s="95"/>
      <c r="D106" s="47" t="s">
        <v>684</v>
      </c>
      <c r="E106" s="6"/>
      <c r="F106" s="6"/>
      <c r="G106" s="6"/>
      <c r="H106" s="6"/>
      <c r="I106" s="6"/>
      <c r="J106" s="6"/>
      <c r="K106" s="6"/>
    </row>
    <row r="107" spans="2:11" ht="60">
      <c r="B107" s="1448"/>
      <c r="C107" s="95"/>
      <c r="D107" s="47" t="s">
        <v>685</v>
      </c>
      <c r="E107" s="6"/>
      <c r="F107" s="6"/>
      <c r="G107" s="6"/>
      <c r="H107" s="6"/>
      <c r="I107" s="6"/>
      <c r="J107" s="6"/>
      <c r="K107" s="6"/>
    </row>
    <row r="108" spans="2:11" ht="36">
      <c r="B108" s="1448"/>
      <c r="C108" s="95"/>
      <c r="D108" s="47" t="s">
        <v>686</v>
      </c>
      <c r="E108" s="6"/>
      <c r="F108" s="6"/>
      <c r="G108" s="6"/>
      <c r="H108" s="6"/>
      <c r="I108" s="6"/>
      <c r="J108" s="6"/>
      <c r="K108" s="6"/>
    </row>
    <row r="109" spans="2:11" ht="60">
      <c r="B109" s="1448"/>
      <c r="C109" s="95"/>
      <c r="D109" s="62" t="s">
        <v>687</v>
      </c>
      <c r="E109" s="6"/>
      <c r="F109" s="6"/>
      <c r="G109" s="6"/>
      <c r="H109" s="6"/>
      <c r="I109" s="6"/>
      <c r="J109" s="6"/>
      <c r="K109" s="6"/>
    </row>
    <row r="110" spans="2:11" ht="24">
      <c r="B110" s="1448"/>
      <c r="C110" s="95"/>
      <c r="D110" s="62" t="s">
        <v>688</v>
      </c>
      <c r="E110" s="6"/>
      <c r="F110" s="6"/>
      <c r="G110" s="6"/>
      <c r="H110" s="6"/>
      <c r="I110" s="6"/>
      <c r="J110" s="6"/>
      <c r="K110" s="6"/>
    </row>
    <row r="111" spans="2:11" ht="24">
      <c r="B111" s="1448"/>
      <c r="C111" s="95"/>
      <c r="D111" s="62" t="s">
        <v>689</v>
      </c>
      <c r="E111" s="6"/>
      <c r="F111" s="6"/>
      <c r="G111" s="6"/>
      <c r="H111" s="6"/>
      <c r="I111" s="6"/>
      <c r="J111" s="6"/>
      <c r="K111" s="6"/>
    </row>
    <row r="112" spans="2:11" ht="36.75" thickBot="1">
      <c r="B112" s="1449"/>
      <c r="C112" s="3"/>
      <c r="D112" s="63" t="s">
        <v>690</v>
      </c>
      <c r="E112" s="6"/>
      <c r="F112" s="6"/>
      <c r="G112" s="6"/>
      <c r="H112" s="6"/>
      <c r="I112" s="6"/>
      <c r="J112" s="6"/>
      <c r="K112" s="6"/>
    </row>
    <row r="113" spans="2:11" ht="36">
      <c r="B113" s="1447" t="s">
        <v>95</v>
      </c>
      <c r="C113" s="95"/>
      <c r="D113" s="54" t="s">
        <v>691</v>
      </c>
      <c r="E113" s="6"/>
      <c r="F113" s="6"/>
      <c r="G113" s="6"/>
      <c r="H113" s="6"/>
      <c r="I113" s="6"/>
      <c r="J113" s="6"/>
      <c r="K113" s="6"/>
    </row>
    <row r="114" spans="2:11">
      <c r="B114" s="1448"/>
      <c r="C114" s="95"/>
      <c r="D114" s="17"/>
      <c r="E114" s="6"/>
      <c r="F114" s="6"/>
      <c r="G114" s="6"/>
      <c r="H114" s="6"/>
      <c r="I114" s="6"/>
      <c r="J114" s="6"/>
      <c r="K114" s="6"/>
    </row>
    <row r="115" spans="2:11">
      <c r="B115" s="1448"/>
      <c r="C115" s="95"/>
      <c r="D115" s="47" t="s">
        <v>96</v>
      </c>
      <c r="E115" s="6"/>
      <c r="F115" s="6"/>
      <c r="G115" s="6"/>
      <c r="H115" s="6"/>
      <c r="I115" s="6"/>
      <c r="J115" s="6"/>
      <c r="K115" s="6"/>
    </row>
    <row r="116" spans="2:11" ht="49.5">
      <c r="B116" s="1448"/>
      <c r="C116" s="95"/>
      <c r="D116" s="47" t="s">
        <v>692</v>
      </c>
      <c r="E116" s="6"/>
      <c r="F116" s="6"/>
      <c r="G116" s="6"/>
      <c r="H116" s="6"/>
      <c r="I116" s="6"/>
      <c r="J116" s="6"/>
      <c r="K116" s="6"/>
    </row>
    <row r="117" spans="2:11" ht="37.5">
      <c r="B117" s="1448"/>
      <c r="C117" s="95"/>
      <c r="D117" s="47" t="s">
        <v>693</v>
      </c>
      <c r="E117" s="6"/>
      <c r="F117" s="6"/>
      <c r="G117" s="6"/>
      <c r="H117" s="6"/>
      <c r="I117" s="6"/>
      <c r="J117" s="6"/>
      <c r="K117" s="6"/>
    </row>
    <row r="118" spans="2:11" ht="49.5">
      <c r="B118" s="1448"/>
      <c r="C118" s="95"/>
      <c r="D118" s="47" t="s">
        <v>694</v>
      </c>
      <c r="E118" s="6"/>
      <c r="F118" s="6"/>
      <c r="G118" s="6"/>
      <c r="H118" s="6"/>
      <c r="I118" s="6"/>
      <c r="J118" s="6"/>
      <c r="K118" s="6"/>
    </row>
    <row r="119" spans="2:11">
      <c r="B119" s="1448"/>
      <c r="C119" s="95"/>
      <c r="D119" s="54" t="s">
        <v>254</v>
      </c>
      <c r="E119" s="6"/>
      <c r="F119" s="6"/>
      <c r="G119" s="6"/>
      <c r="H119" s="6"/>
      <c r="I119" s="6"/>
      <c r="J119" s="6"/>
      <c r="K119" s="6"/>
    </row>
    <row r="120" spans="2:11" ht="48">
      <c r="B120" s="1448"/>
      <c r="C120" s="95"/>
      <c r="D120" s="54" t="s">
        <v>695</v>
      </c>
      <c r="E120" s="6"/>
      <c r="F120" s="6"/>
      <c r="G120" s="6"/>
      <c r="H120" s="6"/>
      <c r="I120" s="6"/>
      <c r="J120" s="6"/>
      <c r="K120" s="6"/>
    </row>
    <row r="121" spans="2:11">
      <c r="B121" s="1448"/>
      <c r="C121" s="95"/>
      <c r="D121" s="17"/>
      <c r="E121" s="6"/>
      <c r="F121" s="6"/>
      <c r="G121" s="6"/>
      <c r="H121" s="6"/>
      <c r="I121" s="6"/>
      <c r="J121" s="6"/>
      <c r="K121" s="6"/>
    </row>
    <row r="122" spans="2:11">
      <c r="B122" s="1448"/>
      <c r="C122" s="95"/>
      <c r="D122" s="47" t="s">
        <v>96</v>
      </c>
      <c r="E122" s="6"/>
      <c r="F122" s="6"/>
      <c r="G122" s="6"/>
      <c r="H122" s="6"/>
      <c r="I122" s="6"/>
      <c r="J122" s="6"/>
      <c r="K122" s="6"/>
    </row>
    <row r="123" spans="2:11" ht="61.5">
      <c r="B123" s="1448"/>
      <c r="C123" s="95"/>
      <c r="D123" s="47" t="s">
        <v>696</v>
      </c>
      <c r="E123" s="6"/>
      <c r="F123" s="6"/>
      <c r="G123" s="6"/>
      <c r="H123" s="6"/>
      <c r="I123" s="6"/>
      <c r="J123" s="6"/>
      <c r="K123" s="6"/>
    </row>
    <row r="124" spans="2:11" ht="61.5">
      <c r="B124" s="1448"/>
      <c r="C124" s="95"/>
      <c r="D124" s="47" t="s">
        <v>697</v>
      </c>
      <c r="E124" s="6"/>
      <c r="F124" s="6"/>
      <c r="G124" s="6"/>
      <c r="H124" s="6"/>
      <c r="I124" s="6"/>
      <c r="J124" s="6"/>
      <c r="K124" s="6"/>
    </row>
    <row r="125" spans="2:11" ht="62.25" thickBot="1">
      <c r="B125" s="1449"/>
      <c r="C125" s="3"/>
      <c r="D125" s="41" t="s">
        <v>698</v>
      </c>
      <c r="E125" s="6"/>
      <c r="F125" s="6"/>
      <c r="G125" s="6"/>
      <c r="H125" s="6"/>
      <c r="I125" s="6"/>
      <c r="J125" s="6"/>
      <c r="K125" s="6"/>
    </row>
    <row r="126" spans="2:11">
      <c r="B126" s="6"/>
      <c r="D126" s="6"/>
      <c r="E126" s="6"/>
      <c r="F126" s="6"/>
      <c r="G126" s="6"/>
      <c r="H126" s="6"/>
      <c r="I126" s="6"/>
      <c r="J126" s="6"/>
      <c r="K126" s="6"/>
    </row>
    <row r="127" spans="2:11">
      <c r="B127" s="6"/>
      <c r="D127" s="6"/>
      <c r="E127" s="6"/>
      <c r="F127" s="6"/>
      <c r="G127" s="6"/>
      <c r="H127" s="6"/>
      <c r="I127" s="6"/>
      <c r="J127" s="6"/>
      <c r="K127" s="6"/>
    </row>
    <row r="128" spans="2:11">
      <c r="B128" s="6"/>
      <c r="D128" s="6"/>
      <c r="E128" s="6"/>
      <c r="F128" s="6"/>
      <c r="G128" s="6"/>
      <c r="H128" s="6"/>
      <c r="I128" s="6"/>
      <c r="J128" s="6"/>
      <c r="K128" s="6"/>
    </row>
    <row r="129" spans="2:11">
      <c r="B129" s="6"/>
      <c r="D129" s="6"/>
      <c r="E129" s="6"/>
      <c r="F129" s="6"/>
      <c r="G129" s="6"/>
      <c r="H129" s="6"/>
      <c r="I129" s="6"/>
      <c r="J129" s="6"/>
      <c r="K129" s="6"/>
    </row>
    <row r="130" spans="2:11">
      <c r="B130" s="6"/>
      <c r="D130" s="6"/>
      <c r="E130" s="6"/>
      <c r="F130" s="6"/>
      <c r="G130" s="6"/>
      <c r="H130" s="6"/>
      <c r="I130" s="6"/>
      <c r="J130" s="6"/>
      <c r="K130" s="6"/>
    </row>
    <row r="131" spans="2:11">
      <c r="B131" s="6"/>
      <c r="D131" s="6"/>
      <c r="E131" s="6"/>
      <c r="F131" s="6"/>
      <c r="G131" s="6"/>
      <c r="H131" s="6"/>
      <c r="I131" s="6"/>
      <c r="J131" s="6"/>
      <c r="K131" s="6"/>
    </row>
    <row r="132" spans="2:11">
      <c r="B132" s="6"/>
      <c r="D132" s="6"/>
      <c r="E132" s="6"/>
      <c r="F132" s="6"/>
      <c r="G132" s="6"/>
      <c r="H132" s="6"/>
      <c r="I132" s="6"/>
      <c r="J132" s="6"/>
      <c r="K132" s="6"/>
    </row>
    <row r="133" spans="2:11">
      <c r="B133" s="6"/>
      <c r="D133" s="6"/>
      <c r="E133" s="6"/>
      <c r="F133" s="6"/>
      <c r="G133" s="6"/>
      <c r="H133" s="6"/>
      <c r="I133" s="6"/>
      <c r="J133" s="6"/>
      <c r="K133" s="6"/>
    </row>
    <row r="134" spans="2:11">
      <c r="B134" s="6"/>
      <c r="D134" s="6"/>
      <c r="E134" s="6"/>
      <c r="F134" s="6"/>
      <c r="G134" s="6"/>
      <c r="H134" s="6"/>
      <c r="I134" s="6"/>
      <c r="J134" s="6"/>
      <c r="K134" s="6"/>
    </row>
    <row r="135" spans="2:11">
      <c r="B135" s="6"/>
      <c r="D135" s="6"/>
      <c r="E135" s="6"/>
      <c r="F135" s="6"/>
      <c r="G135" s="6"/>
      <c r="H135" s="6"/>
      <c r="I135" s="6"/>
      <c r="J135" s="6"/>
      <c r="K135" s="6"/>
    </row>
    <row r="136" spans="2:11">
      <c r="B136" s="6"/>
      <c r="D136" s="6"/>
      <c r="E136" s="6"/>
      <c r="F136" s="6"/>
      <c r="G136" s="6"/>
      <c r="H136" s="6"/>
      <c r="I136" s="6"/>
      <c r="J136" s="6"/>
      <c r="K136" s="6"/>
    </row>
    <row r="137" spans="2:11">
      <c r="B137" s="6"/>
      <c r="D137" s="6"/>
      <c r="E137" s="6"/>
      <c r="F137" s="6"/>
      <c r="G137" s="6"/>
      <c r="H137" s="6"/>
      <c r="I137" s="6"/>
      <c r="J137" s="6"/>
      <c r="K137" s="6"/>
    </row>
    <row r="138" spans="2:11">
      <c r="B138" s="6"/>
      <c r="D138" s="6"/>
      <c r="E138" s="6"/>
      <c r="F138" s="6"/>
      <c r="G138" s="6"/>
      <c r="H138" s="6"/>
      <c r="I138" s="6"/>
      <c r="J138" s="6"/>
      <c r="K138" s="6"/>
    </row>
    <row r="139" spans="2:11">
      <c r="B139" s="6"/>
      <c r="D139" s="6"/>
      <c r="E139" s="6"/>
      <c r="F139" s="6"/>
      <c r="G139" s="6"/>
      <c r="H139" s="6"/>
      <c r="I139" s="6"/>
      <c r="J139" s="6"/>
      <c r="K139" s="6"/>
    </row>
    <row r="140" spans="2:11">
      <c r="B140" s="6"/>
      <c r="D140" s="6"/>
      <c r="E140" s="6"/>
      <c r="F140" s="6"/>
      <c r="G140" s="6"/>
      <c r="H140" s="6"/>
      <c r="I140" s="6"/>
      <c r="J140" s="6"/>
      <c r="K140" s="6"/>
    </row>
    <row r="141" spans="2:11">
      <c r="B141" s="6"/>
      <c r="D141" s="6"/>
      <c r="E141" s="6"/>
      <c r="F141" s="6"/>
      <c r="G141" s="6"/>
      <c r="H141" s="6"/>
      <c r="I141" s="6"/>
      <c r="J141" s="6"/>
      <c r="K141" s="6"/>
    </row>
    <row r="142" spans="2:11">
      <c r="B142" s="6"/>
      <c r="D142" s="6"/>
      <c r="E142" s="6"/>
      <c r="F142" s="6"/>
      <c r="G142" s="6"/>
      <c r="H142" s="6"/>
      <c r="I142" s="6"/>
      <c r="J142" s="6"/>
      <c r="K142" s="6"/>
    </row>
    <row r="143" spans="2:11">
      <c r="B143" s="6"/>
      <c r="D143" s="6"/>
      <c r="E143" s="6"/>
      <c r="F143" s="6"/>
      <c r="G143" s="6"/>
      <c r="H143" s="6"/>
      <c r="I143" s="6"/>
      <c r="J143" s="6"/>
      <c r="K143" s="6"/>
    </row>
    <row r="144" spans="2:11">
      <c r="B144" s="6"/>
      <c r="D144" s="6"/>
      <c r="E144" s="6"/>
      <c r="F144" s="6"/>
      <c r="G144" s="6"/>
      <c r="H144" s="6"/>
      <c r="I144" s="6"/>
      <c r="J144" s="6"/>
      <c r="K144" s="6"/>
    </row>
    <row r="145" spans="2:11">
      <c r="B145" s="6"/>
      <c r="D145" s="6"/>
      <c r="E145" s="6"/>
      <c r="F145" s="6"/>
      <c r="G145" s="6"/>
      <c r="H145" s="6"/>
      <c r="I145" s="6"/>
      <c r="J145" s="6"/>
      <c r="K145" s="6"/>
    </row>
    <row r="146" spans="2:11">
      <c r="B146" s="6"/>
      <c r="D146" s="6"/>
      <c r="E146" s="6"/>
      <c r="F146" s="6"/>
      <c r="G146" s="6"/>
      <c r="H146" s="6"/>
      <c r="I146" s="6"/>
      <c r="J146" s="6"/>
      <c r="K146" s="6"/>
    </row>
    <row r="147" spans="2:11">
      <c r="B147" s="6"/>
      <c r="D147" s="6"/>
      <c r="E147" s="6"/>
      <c r="F147" s="6"/>
      <c r="G147" s="6"/>
      <c r="H147" s="6"/>
      <c r="I147" s="6"/>
      <c r="J147" s="6"/>
      <c r="K147" s="6"/>
    </row>
    <row r="148" spans="2:11">
      <c r="B148" s="6"/>
      <c r="D148" s="6"/>
      <c r="E148" s="6"/>
      <c r="F148" s="6"/>
      <c r="G148" s="6"/>
      <c r="H148" s="6"/>
      <c r="I148" s="6"/>
      <c r="J148" s="6"/>
      <c r="K148" s="6"/>
    </row>
    <row r="149" spans="2:11">
      <c r="B149" s="6"/>
      <c r="D149" s="6"/>
      <c r="E149" s="6"/>
      <c r="F149" s="6"/>
      <c r="G149" s="6"/>
      <c r="H149" s="6"/>
      <c r="I149" s="6"/>
      <c r="J149" s="6"/>
      <c r="K149" s="6"/>
    </row>
    <row r="150" spans="2:11">
      <c r="B150" s="6"/>
      <c r="D150" s="6"/>
      <c r="E150" s="6"/>
      <c r="F150" s="6"/>
      <c r="G150" s="6"/>
      <c r="H150" s="6"/>
      <c r="I150" s="6"/>
      <c r="J150" s="6"/>
      <c r="K150" s="6"/>
    </row>
    <row r="151" spans="2:11">
      <c r="B151" s="6"/>
      <c r="D151" s="6"/>
      <c r="E151" s="6"/>
      <c r="F151" s="6"/>
      <c r="G151" s="6"/>
      <c r="H151" s="6"/>
      <c r="I151" s="6"/>
      <c r="J151" s="6"/>
      <c r="K151" s="6"/>
    </row>
    <row r="152" spans="2:11">
      <c r="B152" s="6"/>
      <c r="D152" s="6"/>
      <c r="E152" s="6"/>
      <c r="F152" s="6"/>
      <c r="G152" s="6"/>
      <c r="H152" s="6"/>
      <c r="I152" s="6"/>
      <c r="J152" s="6"/>
      <c r="K152" s="6"/>
    </row>
    <row r="153" spans="2:11">
      <c r="B153" s="6"/>
      <c r="D153" s="6"/>
      <c r="E153" s="6"/>
      <c r="F153" s="6"/>
      <c r="G153" s="6"/>
      <c r="H153" s="6"/>
      <c r="I153" s="6"/>
      <c r="J153" s="6"/>
      <c r="K153" s="6"/>
    </row>
    <row r="154" spans="2:11">
      <c r="B154" s="6"/>
      <c r="D154" s="6"/>
      <c r="E154" s="6"/>
      <c r="F154" s="6"/>
      <c r="G154" s="6"/>
      <c r="H154" s="6"/>
      <c r="I154" s="6"/>
      <c r="J154" s="6"/>
      <c r="K154" s="6"/>
    </row>
    <row r="155" spans="2:11">
      <c r="B155" s="6"/>
      <c r="D155" s="6"/>
      <c r="E155" s="6"/>
      <c r="F155" s="6"/>
      <c r="G155" s="6"/>
      <c r="H155" s="6"/>
      <c r="I155" s="6"/>
      <c r="J155" s="6"/>
      <c r="K155" s="6"/>
    </row>
    <row r="156" spans="2:11">
      <c r="B156" s="6"/>
      <c r="D156" s="6"/>
      <c r="E156" s="6"/>
      <c r="F156" s="6"/>
      <c r="G156" s="6"/>
      <c r="H156" s="6"/>
      <c r="I156" s="6"/>
      <c r="J156" s="6"/>
      <c r="K156" s="6"/>
    </row>
    <row r="157" spans="2:11">
      <c r="B157" s="6"/>
      <c r="D157" s="6"/>
      <c r="E157" s="6"/>
      <c r="F157" s="6"/>
      <c r="G157" s="6"/>
      <c r="H157" s="6"/>
      <c r="I157" s="6"/>
      <c r="J157" s="6"/>
      <c r="K157" s="6"/>
    </row>
    <row r="158" spans="2:11">
      <c r="B158" s="6"/>
      <c r="D158" s="6"/>
      <c r="E158" s="6"/>
      <c r="F158" s="6"/>
      <c r="G158" s="6"/>
      <c r="H158" s="6"/>
      <c r="I158" s="6"/>
      <c r="J158" s="6"/>
      <c r="K158" s="6"/>
    </row>
    <row r="159" spans="2:11">
      <c r="B159" s="6"/>
      <c r="D159" s="6"/>
      <c r="E159" s="6"/>
      <c r="F159" s="6"/>
      <c r="G159" s="6"/>
      <c r="H159" s="6"/>
      <c r="I159" s="6"/>
      <c r="J159" s="6"/>
      <c r="K159" s="6"/>
    </row>
    <row r="160" spans="2:11">
      <c r="B160" s="6"/>
      <c r="D160" s="6"/>
      <c r="E160" s="6"/>
      <c r="F160" s="6"/>
      <c r="G160" s="6"/>
      <c r="H160" s="6"/>
      <c r="I160" s="6"/>
      <c r="J160" s="6"/>
      <c r="K160" s="6"/>
    </row>
    <row r="161" spans="2:11">
      <c r="B161" s="6"/>
      <c r="D161" s="6"/>
      <c r="E161" s="6"/>
      <c r="F161" s="6"/>
      <c r="G161" s="6"/>
      <c r="H161" s="6"/>
      <c r="I161" s="6"/>
      <c r="J161" s="6"/>
      <c r="K161" s="6"/>
    </row>
    <row r="162" spans="2:11">
      <c r="B162" s="6"/>
      <c r="D162" s="6"/>
      <c r="E162" s="6"/>
      <c r="F162" s="6"/>
      <c r="G162" s="6"/>
      <c r="H162" s="6"/>
      <c r="I162" s="6"/>
      <c r="J162" s="6"/>
      <c r="K162" s="6"/>
    </row>
    <row r="163" spans="2:11">
      <c r="B163" s="6"/>
      <c r="D163" s="6"/>
      <c r="E163" s="6"/>
      <c r="F163" s="6"/>
      <c r="G163" s="6"/>
      <c r="H163" s="6"/>
      <c r="I163" s="6"/>
      <c r="J163" s="6"/>
      <c r="K163" s="6"/>
    </row>
    <row r="164" spans="2:11">
      <c r="B164" s="6"/>
      <c r="D164" s="6"/>
      <c r="E164" s="6"/>
      <c r="F164" s="6"/>
      <c r="G164" s="6"/>
      <c r="H164" s="6"/>
      <c r="I164" s="6"/>
      <c r="J164" s="6"/>
      <c r="K164" s="6"/>
    </row>
    <row r="165" spans="2:11">
      <c r="B165" s="6"/>
      <c r="D165" s="6"/>
      <c r="E165" s="6"/>
      <c r="F165" s="6"/>
      <c r="G165" s="6"/>
      <c r="H165" s="6"/>
      <c r="I165" s="6"/>
      <c r="J165" s="6"/>
      <c r="K165" s="6"/>
    </row>
    <row r="166" spans="2:11">
      <c r="B166" s="6"/>
      <c r="D166" s="6"/>
      <c r="E166" s="6"/>
      <c r="F166" s="6"/>
      <c r="G166" s="6"/>
      <c r="H166" s="6"/>
      <c r="I166" s="6"/>
      <c r="J166" s="6"/>
      <c r="K166" s="6"/>
    </row>
    <row r="167" spans="2:11">
      <c r="B167" s="6"/>
      <c r="D167" s="6"/>
      <c r="E167" s="6"/>
      <c r="F167" s="6"/>
      <c r="G167" s="6"/>
      <c r="H167" s="6"/>
      <c r="I167" s="6"/>
      <c r="J167" s="6"/>
      <c r="K167" s="6"/>
    </row>
    <row r="168" spans="2:11">
      <c r="B168" s="6"/>
      <c r="D168" s="6"/>
      <c r="E168" s="6"/>
      <c r="F168" s="6"/>
      <c r="G168" s="6"/>
      <c r="H168" s="6"/>
      <c r="I168" s="6"/>
      <c r="J168" s="6"/>
      <c r="K168" s="6"/>
    </row>
    <row r="169" spans="2:11">
      <c r="B169" s="6"/>
      <c r="D169" s="6"/>
      <c r="E169" s="6"/>
      <c r="F169" s="6"/>
      <c r="G169" s="6"/>
      <c r="H169" s="6"/>
      <c r="I169" s="6"/>
      <c r="J169" s="6"/>
      <c r="K169" s="6"/>
    </row>
    <row r="170" spans="2:11">
      <c r="B170" s="6"/>
      <c r="D170" s="6"/>
      <c r="E170" s="6"/>
      <c r="F170" s="6"/>
      <c r="G170" s="6"/>
      <c r="H170" s="6"/>
      <c r="I170" s="6"/>
      <c r="J170" s="6"/>
      <c r="K170" s="6"/>
    </row>
    <row r="171" spans="2:11">
      <c r="B171" s="6"/>
      <c r="D171" s="6"/>
      <c r="E171" s="6"/>
      <c r="F171" s="6"/>
      <c r="G171" s="6"/>
      <c r="H171" s="6"/>
      <c r="I171" s="6"/>
      <c r="J171" s="6"/>
      <c r="K171" s="6"/>
    </row>
    <row r="172" spans="2:11">
      <c r="B172" s="6"/>
      <c r="D172" s="6"/>
      <c r="E172" s="6"/>
      <c r="F172" s="6"/>
      <c r="G172" s="6"/>
      <c r="H172" s="6"/>
      <c r="I172" s="6"/>
      <c r="J172" s="6"/>
      <c r="K172" s="6"/>
    </row>
    <row r="173" spans="2:11">
      <c r="B173" s="6"/>
      <c r="D173" s="6"/>
      <c r="E173" s="6"/>
      <c r="F173" s="6"/>
      <c r="G173" s="6"/>
      <c r="H173" s="6"/>
      <c r="I173" s="6"/>
      <c r="J173" s="6"/>
      <c r="K173" s="6"/>
    </row>
    <row r="174" spans="2:11">
      <c r="B174" s="6"/>
      <c r="D174" s="6"/>
      <c r="E174" s="6"/>
      <c r="F174" s="6"/>
      <c r="G174" s="6"/>
      <c r="H174" s="6"/>
      <c r="I174" s="6"/>
      <c r="J174" s="6"/>
      <c r="K174" s="6"/>
    </row>
    <row r="175" spans="2:11">
      <c r="B175" s="6"/>
      <c r="D175" s="6"/>
      <c r="E175" s="6"/>
      <c r="F175" s="6"/>
      <c r="G175" s="6"/>
      <c r="H175" s="6"/>
      <c r="I175" s="6"/>
      <c r="J175" s="6"/>
      <c r="K175" s="6"/>
    </row>
    <row r="176" spans="2:11">
      <c r="B176" s="6"/>
      <c r="D176" s="6"/>
      <c r="E176" s="6"/>
      <c r="F176" s="6"/>
      <c r="G176" s="6"/>
      <c r="H176" s="6"/>
      <c r="I176" s="6"/>
      <c r="J176" s="6"/>
      <c r="K176" s="6"/>
    </row>
    <row r="177" spans="2:11">
      <c r="B177" s="6"/>
      <c r="D177" s="6"/>
      <c r="E177" s="6"/>
      <c r="F177" s="6"/>
      <c r="G177" s="6"/>
      <c r="H177" s="6"/>
      <c r="I177" s="6"/>
      <c r="J177" s="6"/>
      <c r="K177" s="6"/>
    </row>
    <row r="178" spans="2:11">
      <c r="B178" s="6"/>
      <c r="D178" s="6"/>
      <c r="E178" s="6"/>
      <c r="F178" s="6"/>
      <c r="G178" s="6"/>
      <c r="H178" s="6"/>
      <c r="I178" s="6"/>
      <c r="J178" s="6"/>
      <c r="K178" s="6"/>
    </row>
    <row r="179" spans="2:11">
      <c r="B179" s="6"/>
      <c r="D179" s="6"/>
      <c r="E179" s="6"/>
      <c r="F179" s="6"/>
      <c r="G179" s="6"/>
      <c r="H179" s="6"/>
      <c r="I179" s="6"/>
      <c r="J179" s="6"/>
      <c r="K179" s="6"/>
    </row>
    <row r="180" spans="2:11">
      <c r="B180" s="6"/>
      <c r="D180" s="6"/>
      <c r="E180" s="6"/>
      <c r="F180" s="6"/>
      <c r="G180" s="6"/>
      <c r="H180" s="6"/>
      <c r="I180" s="6"/>
      <c r="J180" s="6"/>
      <c r="K180" s="6"/>
    </row>
    <row r="181" spans="2:11">
      <c r="B181" s="6"/>
      <c r="D181" s="6"/>
      <c r="E181" s="6"/>
      <c r="F181" s="6"/>
      <c r="G181" s="6"/>
      <c r="H181" s="6"/>
      <c r="I181" s="6"/>
      <c r="J181" s="6"/>
      <c r="K181" s="6"/>
    </row>
    <row r="182" spans="2:11">
      <c r="B182" s="6"/>
      <c r="D182" s="6"/>
      <c r="E182" s="6"/>
      <c r="F182" s="6"/>
      <c r="G182" s="6"/>
      <c r="H182" s="6"/>
      <c r="I182" s="6"/>
      <c r="J182" s="6"/>
      <c r="K182" s="6"/>
    </row>
    <row r="183" spans="2:11">
      <c r="B183" s="6"/>
      <c r="D183" s="6"/>
      <c r="E183" s="6"/>
      <c r="F183" s="6"/>
      <c r="G183" s="6"/>
      <c r="H183" s="6"/>
      <c r="I183" s="6"/>
      <c r="J183" s="6"/>
      <c r="K183" s="6"/>
    </row>
    <row r="184" spans="2:11">
      <c r="B184" s="6"/>
      <c r="D184" s="6"/>
      <c r="E184" s="6"/>
      <c r="F184" s="6"/>
      <c r="G184" s="6"/>
      <c r="H184" s="6"/>
      <c r="I184" s="6"/>
      <c r="J184" s="6"/>
      <c r="K184" s="6"/>
    </row>
  </sheetData>
  <sheetProtection insertRows="0"/>
  <mergeCells count="40">
    <mergeCell ref="A1:P1"/>
    <mergeCell ref="A2:P2"/>
    <mergeCell ref="A3:P3"/>
    <mergeCell ref="A4:D4"/>
    <mergeCell ref="A5:P5"/>
    <mergeCell ref="B15:B20"/>
    <mergeCell ref="B77:F78"/>
    <mergeCell ref="B72:F72"/>
    <mergeCell ref="D22:K22"/>
    <mergeCell ref="D23:K23"/>
    <mergeCell ref="D36:K36"/>
    <mergeCell ref="D37:K37"/>
    <mergeCell ref="B54:E54"/>
    <mergeCell ref="B55:B61"/>
    <mergeCell ref="F24:F26"/>
    <mergeCell ref="G24:J24"/>
    <mergeCell ref="H25:H26"/>
    <mergeCell ref="I25:I26"/>
    <mergeCell ref="J25:J26"/>
    <mergeCell ref="C38:C40"/>
    <mergeCell ref="D15:K15"/>
    <mergeCell ref="B93:B112"/>
    <mergeCell ref="B113:B125"/>
    <mergeCell ref="C24:C26"/>
    <mergeCell ref="D24:D26"/>
    <mergeCell ref="E24:E26"/>
    <mergeCell ref="B84:B91"/>
    <mergeCell ref="B63:E63"/>
    <mergeCell ref="B64:B70"/>
    <mergeCell ref="D16:K16"/>
    <mergeCell ref="D21:K21"/>
    <mergeCell ref="D38:D40"/>
    <mergeCell ref="E38:F38"/>
    <mergeCell ref="E39:E40"/>
    <mergeCell ref="G39:G40"/>
    <mergeCell ref="B10:D10"/>
    <mergeCell ref="F10:S10"/>
    <mergeCell ref="F11:S11"/>
    <mergeCell ref="E12:R12"/>
    <mergeCell ref="E13:R13"/>
  </mergeCells>
  <conditionalFormatting sqref="D49">
    <cfRule type="containsText" dxfId="57" priority="5" operator="containsText" text="ERROR">
      <formula>NOT(ISERROR(SEARCH("ERROR",D49)))</formula>
    </cfRule>
  </conditionalFormatting>
  <conditionalFormatting sqref="F10">
    <cfRule type="notContainsBlanks" dxfId="56" priority="4">
      <formula>LEN(TRIM(F10))&gt;0</formula>
    </cfRule>
  </conditionalFormatting>
  <conditionalFormatting sqref="F11:S11">
    <cfRule type="expression" dxfId="55" priority="2">
      <formula>E11="NO SE REPORTA"</formula>
    </cfRule>
    <cfRule type="expression" dxfId="54" priority="3">
      <formula>E10="NO APLICA"</formula>
    </cfRule>
  </conditionalFormatting>
  <conditionalFormatting sqref="E12:R12">
    <cfRule type="expression" dxfId="53" priority="1">
      <formula>E11="SI SE REPORTA"</formula>
    </cfRule>
  </conditionalFormatting>
  <dataValidations count="6">
    <dataValidation type="whole" operator="greaterThanOrEqual" allowBlank="1" showErrorMessage="1" errorTitle="ERROR" error="Escriba un número igual o mayor que 0" promptTitle="ERROR" prompt="Escriba un número igual o mayor que 0" sqref="E18:H19">
      <formula1>0</formula1>
    </dataValidation>
    <dataValidation type="whole" operator="greaterThanOrEqual" allowBlank="1" showInputMessage="1" showErrorMessage="1" errorTitle="ERROR" error="Valor en PESOS (sin centavos)" sqref="G27:J34">
      <formula1>0</formula1>
    </dataValidation>
    <dataValidation type="decimal" allowBlank="1" showInputMessage="1" showErrorMessage="1" errorTitle="ERROR" error="Escriba un valor entre 0% y 100%" sqref="D41:D48">
      <formula1>0</formula1>
      <formula2>1</formula2>
    </dataValidation>
    <dataValidation allowBlank="1" showInputMessage="1" showErrorMessage="1" sqref="D49 I18:I19 E41:F49 G35:J35"/>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 ref="E59" r:id="rId1"/>
  </hyperlinks>
  <pageMargins left="0.25" right="0.25" top="0.75" bottom="0.75" header="0.3" footer="0.3"/>
  <pageSetup paperSize="178" orientation="landscape" horizontalDpi="1200" verticalDpi="1200" r:id="rId2"/>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88"/>
  <sheetViews>
    <sheetView showGridLines="0" zoomScale="98" zoomScaleNormal="98" workbookViewId="0">
      <selection sqref="A1:XFD1048576"/>
    </sheetView>
  </sheetViews>
  <sheetFormatPr baseColWidth="10" defaultRowHeight="15"/>
  <cols>
    <col min="1" max="1" width="1.85546875" customWidth="1"/>
    <col min="2" max="2" width="12.85546875" customWidth="1"/>
    <col min="3" max="3" width="5" style="88" bestFit="1" customWidth="1"/>
    <col min="4" max="4" width="34.85546875" customWidth="1"/>
    <col min="5" max="5" width="24.85546875" customWidth="1"/>
    <col min="10" max="10" width="13.140625" customWidth="1"/>
    <col min="14" max="14" width="15.85546875" customWidth="1"/>
    <col min="15" max="15" width="16" customWidth="1"/>
    <col min="16" max="16" width="14.140625" bestFit="1" customWidth="1"/>
    <col min="18" max="18" width="13.140625" bestFit="1" customWidth="1"/>
  </cols>
  <sheetData>
    <row r="1" spans="1:21" s="551" customFormat="1" ht="100.5" customHeight="1" thickBot="1">
      <c r="A1" s="1344"/>
      <c r="B1" s="1345"/>
      <c r="C1" s="1345"/>
      <c r="D1" s="1345"/>
      <c r="E1" s="1345"/>
      <c r="F1" s="1345"/>
      <c r="G1" s="1345"/>
      <c r="H1" s="1345"/>
      <c r="I1" s="1345"/>
      <c r="J1" s="1345"/>
      <c r="K1" s="1345"/>
      <c r="L1" s="1345"/>
      <c r="M1" s="1345"/>
      <c r="N1" s="1345"/>
      <c r="O1" s="1345"/>
      <c r="P1" s="1346"/>
      <c r="Q1" s="413"/>
      <c r="R1" s="413"/>
    </row>
    <row r="2" spans="1:21" s="552" customFormat="1" ht="16.5" thickBot="1">
      <c r="A2" s="1352" t="str">
        <f>'Datos Generales'!C5</f>
        <v>Corporación Autónoma Regional de La Guajira – CORPOGUAJIRA</v>
      </c>
      <c r="B2" s="1353"/>
      <c r="C2" s="1353"/>
      <c r="D2" s="1353"/>
      <c r="E2" s="1353"/>
      <c r="F2" s="1353"/>
      <c r="G2" s="1353"/>
      <c r="H2" s="1353"/>
      <c r="I2" s="1353"/>
      <c r="J2" s="1353"/>
      <c r="K2" s="1353"/>
      <c r="L2" s="1353"/>
      <c r="M2" s="1353"/>
      <c r="N2" s="1353"/>
      <c r="O2" s="1353"/>
      <c r="P2" s="1354"/>
      <c r="Q2" s="413"/>
      <c r="R2" s="413"/>
    </row>
    <row r="3" spans="1:21" s="552" customFormat="1" ht="16.5" thickBot="1">
      <c r="A3" s="1347" t="s">
        <v>1419</v>
      </c>
      <c r="B3" s="1348"/>
      <c r="C3" s="1348"/>
      <c r="D3" s="1348"/>
      <c r="E3" s="1348"/>
      <c r="F3" s="1348"/>
      <c r="G3" s="1348"/>
      <c r="H3" s="1348"/>
      <c r="I3" s="1348"/>
      <c r="J3" s="1348"/>
      <c r="K3" s="1348"/>
      <c r="L3" s="1348"/>
      <c r="M3" s="1348"/>
      <c r="N3" s="1348"/>
      <c r="O3" s="1348"/>
      <c r="P3" s="1349"/>
      <c r="Q3" s="413"/>
      <c r="R3" s="413"/>
    </row>
    <row r="4" spans="1:21" s="552" customFormat="1" ht="16.5" thickBot="1">
      <c r="A4" s="1350" t="s">
        <v>1418</v>
      </c>
      <c r="B4" s="1351"/>
      <c r="C4" s="1351"/>
      <c r="D4" s="1351"/>
      <c r="E4" s="571" t="str">
        <f>'Datos Generales'!C6</f>
        <v>2016-II</v>
      </c>
      <c r="F4" s="571"/>
      <c r="G4" s="571"/>
      <c r="H4" s="571"/>
      <c r="I4" s="571"/>
      <c r="J4" s="571"/>
      <c r="K4" s="571"/>
      <c r="L4" s="572"/>
      <c r="M4" s="572"/>
      <c r="N4" s="572"/>
      <c r="O4" s="572"/>
      <c r="P4" s="573"/>
      <c r="Q4" s="413"/>
      <c r="R4" s="413"/>
    </row>
    <row r="5" spans="1:21" s="245" customFormat="1" ht="16.5" customHeight="1" thickBot="1">
      <c r="A5" s="1347" t="s">
        <v>717</v>
      </c>
      <c r="B5" s="1348"/>
      <c r="C5" s="1348"/>
      <c r="D5" s="1348"/>
      <c r="E5" s="1348"/>
      <c r="F5" s="1348"/>
      <c r="G5" s="1348"/>
      <c r="H5" s="1348"/>
      <c r="I5" s="1348"/>
      <c r="J5" s="1348"/>
      <c r="K5" s="1348"/>
      <c r="L5" s="1348"/>
      <c r="M5" s="1348"/>
      <c r="N5" s="1348"/>
      <c r="O5" s="1348"/>
      <c r="P5" s="1349"/>
    </row>
    <row r="6" spans="1:21">
      <c r="B6" s="2" t="s">
        <v>1</v>
      </c>
      <c r="C6" s="77"/>
      <c r="D6" s="6"/>
      <c r="E6" s="75"/>
      <c r="F6" s="6" t="s">
        <v>133</v>
      </c>
      <c r="G6" s="6"/>
      <c r="H6" s="6"/>
      <c r="I6" s="6"/>
      <c r="J6" s="6"/>
      <c r="K6" s="6"/>
    </row>
    <row r="7" spans="1:21" ht="15.75" thickBot="1">
      <c r="B7" s="76"/>
      <c r="C7" s="78"/>
      <c r="D7" s="6"/>
      <c r="E7" s="18"/>
      <c r="F7" s="6" t="s">
        <v>134</v>
      </c>
      <c r="G7" s="6"/>
      <c r="H7" s="6"/>
      <c r="I7" s="6"/>
      <c r="J7" s="6"/>
      <c r="K7" s="6"/>
    </row>
    <row r="8" spans="1:21" ht="15.75" thickBot="1">
      <c r="B8" s="177" t="s">
        <v>1204</v>
      </c>
      <c r="C8" s="222">
        <v>2017</v>
      </c>
      <c r="D8" s="1192">
        <f>IF(E10="NO APLICA","NO APLICA",IF(E11="NO SE REPORTA","SIN INFORMACION",+I35))</f>
        <v>0.41399999999999992</v>
      </c>
      <c r="E8" s="223"/>
      <c r="F8" s="6" t="s">
        <v>135</v>
      </c>
      <c r="G8" s="6"/>
      <c r="H8" s="6"/>
      <c r="I8" s="6"/>
      <c r="J8" s="6"/>
      <c r="K8" s="6"/>
    </row>
    <row r="9" spans="1:21">
      <c r="B9" s="507" t="s">
        <v>1205</v>
      </c>
      <c r="D9" s="6"/>
      <c r="E9" s="6"/>
      <c r="F9" s="6"/>
      <c r="G9" s="6"/>
      <c r="H9" s="6"/>
      <c r="I9" s="6"/>
      <c r="J9" s="6"/>
      <c r="K9" s="6"/>
    </row>
    <row r="10" spans="1:21" s="413" customFormat="1">
      <c r="A10" s="245"/>
      <c r="B10" s="1412" t="s">
        <v>1265</v>
      </c>
      <c r="C10" s="1412"/>
      <c r="D10" s="1412"/>
      <c r="E10" s="513" t="s">
        <v>1262</v>
      </c>
      <c r="F10" s="1419"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420"/>
      <c r="H10" s="1420"/>
      <c r="I10" s="1420"/>
      <c r="J10" s="1420"/>
      <c r="K10" s="1420"/>
      <c r="L10" s="1420"/>
      <c r="M10" s="1420"/>
      <c r="N10" s="1420"/>
      <c r="O10" s="1420"/>
      <c r="P10" s="1420"/>
      <c r="Q10" s="1420"/>
      <c r="R10" s="1420"/>
      <c r="S10" s="1420"/>
      <c r="T10" s="509"/>
      <c r="U10" s="509"/>
    </row>
    <row r="11" spans="1:21" s="413" customFormat="1" ht="14.45" customHeight="1">
      <c r="A11" s="245"/>
      <c r="B11" s="510"/>
      <c r="C11" s="511"/>
      <c r="D11" s="512" t="str">
        <f>IF(E10="SI APLICA","¿El indicador no se reporta por limitaciones de información disponible? ","")</f>
        <v xml:space="preserve">¿El indicador no se reporta por limitaciones de información disponible? </v>
      </c>
      <c r="E11" s="514" t="s">
        <v>1264</v>
      </c>
      <c r="F11" s="1413"/>
      <c r="G11" s="1414"/>
      <c r="H11" s="1414"/>
      <c r="I11" s="1414"/>
      <c r="J11" s="1414"/>
      <c r="K11" s="1414"/>
      <c r="L11" s="1414"/>
      <c r="M11" s="1414"/>
      <c r="N11" s="1414"/>
      <c r="O11" s="1414"/>
      <c r="P11" s="1414"/>
      <c r="Q11" s="1414"/>
      <c r="R11" s="1414"/>
      <c r="S11" s="1414"/>
    </row>
    <row r="12" spans="1:21" s="413" customFormat="1" ht="23.45" customHeight="1">
      <c r="A12" s="245"/>
      <c r="B12" s="507"/>
      <c r="C12" s="304"/>
      <c r="D12" s="512" t="str">
        <f>IF(E11="SI SE REPORTA","¿Qué programas o proyectos del Plan de Acción están asociados al indicador? ","")</f>
        <v xml:space="preserve">¿Qué programas o proyectos del Plan de Acción están asociados al indicador? </v>
      </c>
      <c r="E12" s="1415" t="str">
        <f>'Anexo 1 Matriz Inf Gestión'!E69:H69</f>
        <v>Programa No 4. Gestion Ambiental Sectorial y Urbana.</v>
      </c>
      <c r="F12" s="1415"/>
      <c r="G12" s="1415"/>
      <c r="H12" s="1415"/>
      <c r="I12" s="1415"/>
      <c r="J12" s="1415"/>
      <c r="K12" s="1415"/>
      <c r="L12" s="1415"/>
      <c r="M12" s="1415"/>
      <c r="N12" s="1415"/>
      <c r="O12" s="1415"/>
      <c r="P12" s="1415"/>
      <c r="Q12" s="1415"/>
      <c r="R12" s="1415"/>
    </row>
    <row r="13" spans="1:21" s="413" customFormat="1" ht="24.75" customHeight="1">
      <c r="A13" s="245"/>
      <c r="B13" s="507"/>
      <c r="C13" s="304"/>
      <c r="D13" s="512" t="s">
        <v>1267</v>
      </c>
      <c r="E13" s="1416" t="s">
        <v>1827</v>
      </c>
      <c r="F13" s="1417"/>
      <c r="G13" s="1417"/>
      <c r="H13" s="1417"/>
      <c r="I13" s="1417"/>
      <c r="J13" s="1417"/>
      <c r="K13" s="1417"/>
      <c r="L13" s="1417"/>
      <c r="M13" s="1417"/>
      <c r="N13" s="1417"/>
      <c r="O13" s="1417"/>
      <c r="P13" s="1417"/>
      <c r="Q13" s="1417"/>
      <c r="R13" s="1418"/>
    </row>
    <row r="14" spans="1:21" s="413" customFormat="1" ht="6.95" customHeight="1" thickBot="1">
      <c r="B14" s="507"/>
      <c r="C14" s="88"/>
      <c r="D14" s="6"/>
      <c r="E14" s="6"/>
      <c r="F14" s="6"/>
      <c r="G14" s="6"/>
      <c r="H14" s="6"/>
      <c r="I14" s="6"/>
      <c r="J14" s="6"/>
      <c r="K14" s="6"/>
    </row>
    <row r="15" spans="1:21" ht="15" customHeight="1" thickTop="1">
      <c r="B15" s="1456" t="s">
        <v>2</v>
      </c>
      <c r="C15" s="90"/>
      <c r="D15" s="1458" t="s">
        <v>344</v>
      </c>
      <c r="E15" s="1459"/>
      <c r="F15" s="1459"/>
      <c r="G15" s="1459"/>
      <c r="H15" s="1459"/>
      <c r="I15" s="1459"/>
      <c r="J15" s="1459"/>
      <c r="K15" s="1459"/>
      <c r="L15" s="1509"/>
    </row>
    <row r="16" spans="1:21" ht="15.75" thickBot="1">
      <c r="B16" s="1457"/>
      <c r="C16" s="93"/>
      <c r="D16" s="1566" t="s">
        <v>766</v>
      </c>
      <c r="E16" s="1567"/>
      <c r="F16" s="1567"/>
      <c r="G16" s="1567"/>
      <c r="H16" s="1567"/>
      <c r="I16" s="1567"/>
      <c r="J16" s="1567"/>
      <c r="K16" s="1567"/>
      <c r="L16" s="1599"/>
    </row>
    <row r="17" spans="2:12" ht="15.75" thickBot="1">
      <c r="B17" s="1457"/>
      <c r="C17" s="91" t="s">
        <v>24</v>
      </c>
      <c r="D17" s="39" t="s">
        <v>261</v>
      </c>
      <c r="E17" s="39" t="s">
        <v>25</v>
      </c>
      <c r="F17" s="39" t="s">
        <v>26</v>
      </c>
      <c r="G17" s="39" t="s">
        <v>27</v>
      </c>
      <c r="H17" s="39" t="s">
        <v>28</v>
      </c>
      <c r="I17" s="39" t="s">
        <v>262</v>
      </c>
      <c r="J17" s="6"/>
      <c r="L17" s="22"/>
    </row>
    <row r="18" spans="2:12" ht="24.75" thickBot="1">
      <c r="B18" s="1457"/>
      <c r="C18" s="92" t="s">
        <v>158</v>
      </c>
      <c r="D18" s="41" t="s">
        <v>779</v>
      </c>
      <c r="E18" s="7">
        <v>10</v>
      </c>
      <c r="F18" s="7">
        <v>12</v>
      </c>
      <c r="G18" s="7">
        <v>11</v>
      </c>
      <c r="H18" s="7">
        <v>10</v>
      </c>
      <c r="I18" s="151">
        <v>12</v>
      </c>
      <c r="J18" s="6"/>
      <c r="L18" s="22"/>
    </row>
    <row r="19" spans="2:12">
      <c r="B19" s="1457"/>
      <c r="C19" s="93"/>
      <c r="D19" s="1464"/>
      <c r="E19" s="1465"/>
      <c r="F19" s="1465"/>
      <c r="G19" s="1465"/>
      <c r="H19" s="1465"/>
      <c r="I19" s="1465"/>
      <c r="J19" s="1465"/>
      <c r="K19" s="1465"/>
      <c r="L19" s="1516"/>
    </row>
    <row r="20" spans="2:12" ht="15.75" thickBot="1">
      <c r="B20" s="437"/>
      <c r="C20" s="93"/>
      <c r="D20" s="1464" t="s">
        <v>780</v>
      </c>
      <c r="E20" s="1465"/>
      <c r="F20" s="1465"/>
      <c r="G20" s="1465"/>
      <c r="H20" s="1465"/>
      <c r="I20" s="1465"/>
      <c r="J20" s="1465"/>
      <c r="K20" s="1465"/>
      <c r="L20" s="1516"/>
    </row>
    <row r="21" spans="2:12" ht="15.75" thickBot="1">
      <c r="B21" s="437"/>
      <c r="C21" s="1520" t="s">
        <v>24</v>
      </c>
      <c r="D21" s="1447" t="s">
        <v>278</v>
      </c>
      <c r="E21" s="1447" t="s">
        <v>628</v>
      </c>
      <c r="F21" s="1596" t="s">
        <v>629</v>
      </c>
      <c r="G21" s="1597"/>
      <c r="H21" s="1597"/>
      <c r="I21" s="1597"/>
      <c r="J21" s="1598"/>
      <c r="L21" s="22"/>
    </row>
    <row r="22" spans="2:12" ht="36.75" thickBot="1">
      <c r="B22" s="437"/>
      <c r="C22" s="1521"/>
      <c r="D22" s="1449"/>
      <c r="E22" s="1449"/>
      <c r="F22" s="211" t="s">
        <v>630</v>
      </c>
      <c r="G22" s="211" t="s">
        <v>631</v>
      </c>
      <c r="H22" s="211" t="s">
        <v>632</v>
      </c>
      <c r="I22" s="211" t="s">
        <v>633</v>
      </c>
      <c r="J22" s="211" t="s">
        <v>60</v>
      </c>
      <c r="L22" s="22"/>
    </row>
    <row r="23" spans="2:12" ht="60.75" thickBot="1">
      <c r="B23" s="437"/>
      <c r="C23" s="135"/>
      <c r="D23" s="1068" t="s">
        <v>1815</v>
      </c>
      <c r="E23" s="45" t="s">
        <v>781</v>
      </c>
      <c r="F23" s="1190">
        <v>1</v>
      </c>
      <c r="G23" s="1190">
        <v>0</v>
      </c>
      <c r="H23" s="1190">
        <v>0.09</v>
      </c>
      <c r="I23" s="1191">
        <f>+G23*H23</f>
        <v>0</v>
      </c>
      <c r="J23" s="31"/>
      <c r="L23" s="22"/>
    </row>
    <row r="24" spans="2:12" ht="84.75" thickBot="1">
      <c r="B24" s="437"/>
      <c r="C24" s="135"/>
      <c r="D24" s="1068" t="s">
        <v>1816</v>
      </c>
      <c r="E24" s="45" t="s">
        <v>782</v>
      </c>
      <c r="F24" s="1190">
        <v>1</v>
      </c>
      <c r="G24" s="1190">
        <v>0.5</v>
      </c>
      <c r="H24" s="1190">
        <v>0.08</v>
      </c>
      <c r="I24" s="1191">
        <f t="shared" ref="I24:I34" si="0">+G24*H24</f>
        <v>0.04</v>
      </c>
      <c r="J24" s="31"/>
      <c r="L24" s="22"/>
    </row>
    <row r="25" spans="2:12" ht="72.75" thickBot="1">
      <c r="B25" s="437"/>
      <c r="C25" s="135"/>
      <c r="D25" s="1068" t="s">
        <v>1817</v>
      </c>
      <c r="E25" s="45" t="s">
        <v>783</v>
      </c>
      <c r="F25" s="1190">
        <v>1</v>
      </c>
      <c r="G25" s="1190">
        <v>0.5</v>
      </c>
      <c r="H25" s="1190">
        <v>0.1</v>
      </c>
      <c r="I25" s="1191">
        <f t="shared" si="0"/>
        <v>0.05</v>
      </c>
      <c r="J25" s="31"/>
      <c r="L25" s="22"/>
    </row>
    <row r="26" spans="2:12" s="413" customFormat="1" ht="24.75" thickBot="1">
      <c r="B26" s="1046"/>
      <c r="C26" s="135"/>
      <c r="D26" s="1068" t="s">
        <v>1818</v>
      </c>
      <c r="E26" s="45"/>
      <c r="F26" s="1190">
        <v>1</v>
      </c>
      <c r="G26" s="1190">
        <v>0.6</v>
      </c>
      <c r="H26" s="1190">
        <v>0.09</v>
      </c>
      <c r="I26" s="1191">
        <f t="shared" si="0"/>
        <v>5.3999999999999999E-2</v>
      </c>
      <c r="J26" s="31"/>
      <c r="L26" s="22"/>
    </row>
    <row r="27" spans="2:12" s="413" customFormat="1" ht="48.75" thickBot="1">
      <c r="B27" s="1046"/>
      <c r="C27" s="135"/>
      <c r="D27" s="1068" t="s">
        <v>1819</v>
      </c>
      <c r="E27" s="45"/>
      <c r="F27" s="1190">
        <v>1</v>
      </c>
      <c r="G27" s="1190">
        <v>0.5</v>
      </c>
      <c r="H27" s="1190">
        <v>0.08</v>
      </c>
      <c r="I27" s="1191">
        <f t="shared" si="0"/>
        <v>0.04</v>
      </c>
      <c r="J27" s="31"/>
      <c r="L27" s="22"/>
    </row>
    <row r="28" spans="2:12" s="413" customFormat="1" ht="36.75" thickBot="1">
      <c r="B28" s="1046"/>
      <c r="C28" s="135"/>
      <c r="D28" s="1068" t="s">
        <v>1820</v>
      </c>
      <c r="E28" s="45"/>
      <c r="F28" s="1190">
        <v>1</v>
      </c>
      <c r="G28" s="1190">
        <v>0</v>
      </c>
      <c r="H28" s="1190">
        <v>0.1</v>
      </c>
      <c r="I28" s="1191">
        <f t="shared" si="0"/>
        <v>0</v>
      </c>
      <c r="J28" s="31"/>
      <c r="L28" s="22"/>
    </row>
    <row r="29" spans="2:12" s="413" customFormat="1" ht="48.75" thickBot="1">
      <c r="B29" s="1046"/>
      <c r="C29" s="135"/>
      <c r="D29" s="1068" t="s">
        <v>1821</v>
      </c>
      <c r="E29" s="45"/>
      <c r="F29" s="1190">
        <v>1</v>
      </c>
      <c r="G29" s="1190">
        <v>0.5</v>
      </c>
      <c r="H29" s="1190">
        <v>7.0000000000000007E-2</v>
      </c>
      <c r="I29" s="1191">
        <f t="shared" si="0"/>
        <v>3.5000000000000003E-2</v>
      </c>
      <c r="J29" s="31"/>
      <c r="L29" s="22"/>
    </row>
    <row r="30" spans="2:12" ht="24.75" thickBot="1">
      <c r="B30" s="437"/>
      <c r="C30" s="135"/>
      <c r="D30" s="45" t="s">
        <v>1822</v>
      </c>
      <c r="E30" s="45"/>
      <c r="F30" s="1190">
        <v>1</v>
      </c>
      <c r="G30" s="1190">
        <v>0.5</v>
      </c>
      <c r="H30" s="1190">
        <v>7.0000000000000007E-2</v>
      </c>
      <c r="I30" s="1191">
        <f t="shared" si="0"/>
        <v>3.5000000000000003E-2</v>
      </c>
      <c r="J30" s="31"/>
      <c r="L30" s="22"/>
    </row>
    <row r="31" spans="2:12" ht="36.75" thickBot="1">
      <c r="B31" s="437"/>
      <c r="C31" s="135"/>
      <c r="D31" s="1068" t="s">
        <v>1823</v>
      </c>
      <c r="E31" s="45"/>
      <c r="F31" s="1190">
        <v>1</v>
      </c>
      <c r="G31" s="1190">
        <v>0.5</v>
      </c>
      <c r="H31" s="1190">
        <v>0.08</v>
      </c>
      <c r="I31" s="1191">
        <f t="shared" si="0"/>
        <v>0.04</v>
      </c>
      <c r="J31" s="31"/>
      <c r="L31" s="22"/>
    </row>
    <row r="32" spans="2:12" s="413" customFormat="1" ht="48.75" thickBot="1">
      <c r="B32" s="1046"/>
      <c r="C32" s="135"/>
      <c r="D32" s="1068" t="s">
        <v>1824</v>
      </c>
      <c r="E32" s="45"/>
      <c r="F32" s="1190">
        <v>1</v>
      </c>
      <c r="G32" s="1190">
        <v>0.5</v>
      </c>
      <c r="H32" s="1190">
        <v>7.0000000000000007E-2</v>
      </c>
      <c r="I32" s="1191">
        <f t="shared" si="0"/>
        <v>3.5000000000000003E-2</v>
      </c>
      <c r="J32" s="31"/>
      <c r="L32" s="22"/>
    </row>
    <row r="33" spans="2:15" ht="24.75" thickBot="1">
      <c r="B33" s="437"/>
      <c r="C33" s="135"/>
      <c r="D33" s="1068" t="s">
        <v>1825</v>
      </c>
      <c r="E33" s="45"/>
      <c r="F33" s="1190">
        <v>1</v>
      </c>
      <c r="G33" s="1190">
        <v>0.5</v>
      </c>
      <c r="H33" s="1190">
        <v>0.09</v>
      </c>
      <c r="I33" s="1191">
        <f t="shared" si="0"/>
        <v>4.4999999999999998E-2</v>
      </c>
      <c r="J33" s="31"/>
      <c r="L33" s="22"/>
    </row>
    <row r="34" spans="2:15" ht="48.75" thickBot="1">
      <c r="B34" s="437"/>
      <c r="C34" s="135"/>
      <c r="D34" s="1068" t="s">
        <v>1826</v>
      </c>
      <c r="E34" s="45"/>
      <c r="F34" s="1215">
        <v>1</v>
      </c>
      <c r="G34" s="1215">
        <v>0.5</v>
      </c>
      <c r="H34" s="1190">
        <v>0.08</v>
      </c>
      <c r="I34" s="1191">
        <f t="shared" si="0"/>
        <v>0.04</v>
      </c>
      <c r="J34" s="31"/>
      <c r="L34" s="22"/>
    </row>
    <row r="35" spans="2:15" ht="15.75" thickBot="1">
      <c r="B35" s="437"/>
      <c r="C35" s="95"/>
      <c r="D35" s="40"/>
      <c r="E35" s="40" t="s">
        <v>157</v>
      </c>
      <c r="F35" s="339"/>
      <c r="G35" s="339"/>
      <c r="H35" s="207">
        <f>Formulas!$D$23</f>
        <v>1</v>
      </c>
      <c r="I35" s="1189">
        <f>Formulas!$E$23</f>
        <v>0.41399999999999992</v>
      </c>
      <c r="J35" s="31"/>
      <c r="L35" s="22"/>
    </row>
    <row r="36" spans="2:15">
      <c r="B36" s="437"/>
      <c r="C36" s="93"/>
      <c r="D36" s="1464" t="s">
        <v>639</v>
      </c>
      <c r="E36" s="1465"/>
      <c r="F36" s="1465"/>
      <c r="G36" s="1465"/>
      <c r="H36" s="1465"/>
      <c r="I36" s="1465"/>
      <c r="J36" s="1465"/>
      <c r="K36" s="1465"/>
      <c r="L36" s="1516"/>
    </row>
    <row r="37" spans="2:15">
      <c r="B37" s="437"/>
      <c r="C37" s="93"/>
      <c r="D37" s="1461" t="s">
        <v>254</v>
      </c>
      <c r="E37" s="1462"/>
      <c r="F37" s="1462"/>
      <c r="G37" s="1462"/>
      <c r="H37" s="1462"/>
      <c r="I37" s="1462"/>
      <c r="J37" s="1462"/>
      <c r="K37" s="1462"/>
      <c r="L37" s="1517"/>
    </row>
    <row r="38" spans="2:15" ht="15.75" thickBot="1">
      <c r="B38" s="437"/>
      <c r="C38" s="93"/>
      <c r="D38" s="1467" t="s">
        <v>784</v>
      </c>
      <c r="E38" s="1468"/>
      <c r="F38" s="1468"/>
      <c r="G38" s="1468"/>
      <c r="H38" s="1468"/>
      <c r="I38" s="1468"/>
      <c r="J38" s="1468"/>
      <c r="K38" s="1468"/>
      <c r="L38" s="1600"/>
    </row>
    <row r="39" spans="2:15" ht="15.75" thickBot="1">
      <c r="B39" s="437"/>
      <c r="C39" s="1520" t="s">
        <v>24</v>
      </c>
      <c r="D39" s="1505" t="s">
        <v>278</v>
      </c>
      <c r="E39" s="1505" t="s">
        <v>628</v>
      </c>
      <c r="F39" s="1596" t="s">
        <v>702</v>
      </c>
      <c r="G39" s="1597"/>
      <c r="H39" s="1597"/>
      <c r="I39" s="1597"/>
      <c r="J39" s="1597"/>
      <c r="K39" s="1598"/>
      <c r="L39" s="120"/>
    </row>
    <row r="40" spans="2:15" ht="23.25" thickBot="1">
      <c r="B40" s="437"/>
      <c r="C40" s="1521"/>
      <c r="D40" s="1506"/>
      <c r="E40" s="1506"/>
      <c r="F40" s="66" t="s">
        <v>785</v>
      </c>
      <c r="G40" s="67" t="s">
        <v>352</v>
      </c>
      <c r="H40" s="67" t="s">
        <v>282</v>
      </c>
      <c r="I40" s="67" t="s">
        <v>283</v>
      </c>
      <c r="J40" s="67" t="s">
        <v>786</v>
      </c>
      <c r="K40" s="67" t="s">
        <v>787</v>
      </c>
      <c r="L40" s="12"/>
    </row>
    <row r="41" spans="2:15" ht="60.75" thickBot="1">
      <c r="B41" s="437"/>
      <c r="C41" s="484"/>
      <c r="D41" s="1056" t="str">
        <f>+D23</f>
        <v>Conocer e identificar la base natural que soporta el territorio.  Asesorías a los municipios de Riohacha y Maicao para la delimitación de la estructura ecológica urbana.</v>
      </c>
      <c r="E41" s="481" t="str">
        <f>+E23</f>
        <v>Planificación y ordenamiento ambiental en áreas urbanas</v>
      </c>
      <c r="F41" s="1069">
        <v>24301490</v>
      </c>
      <c r="G41" s="1069">
        <v>24301490</v>
      </c>
      <c r="H41" s="1070">
        <v>21022147</v>
      </c>
      <c r="I41" s="1070">
        <v>4005321</v>
      </c>
      <c r="J41" s="1073">
        <f>+H41/G41</f>
        <v>0.86505588751965412</v>
      </c>
      <c r="K41" s="1073">
        <f>+I41/H41</f>
        <v>0.19052863629961297</v>
      </c>
      <c r="L41" s="12"/>
      <c r="N41" s="1074"/>
      <c r="O41" s="1106"/>
    </row>
    <row r="42" spans="2:15" ht="84.75" thickBot="1">
      <c r="B42" s="437"/>
      <c r="C42" s="379"/>
      <c r="D42" s="1056" t="str">
        <f t="shared" ref="D42:E42" si="1">+D24</f>
        <v>Identificar, prevenir y mitigar amenazas y vulnerabilidades de origen natural, socio natural y antrópico. Desarrollo de campañas para la recuperación de humedales, mantenimiento o adecuación de canales, acequias o pasos de aguas de escorrentía.</v>
      </c>
      <c r="E42" s="481" t="str">
        <f t="shared" si="1"/>
        <v>Gestión ambiental del Espacio Público en áreas urbanas</v>
      </c>
      <c r="F42" s="1069">
        <v>58389695</v>
      </c>
      <c r="G42" s="1069">
        <v>58389695</v>
      </c>
      <c r="H42" s="1070">
        <v>44960065</v>
      </c>
      <c r="I42" s="1070">
        <v>8566179</v>
      </c>
      <c r="J42" s="1073">
        <f t="shared" ref="J42:J53" si="2">+H42/G42</f>
        <v>0.76999999743105352</v>
      </c>
      <c r="K42" s="1073">
        <f t="shared" ref="K42:K53" si="3">+I42/H42</f>
        <v>0.19052861689590528</v>
      </c>
      <c r="L42" s="12"/>
      <c r="N42" s="1074"/>
      <c r="O42" s="1106"/>
    </row>
    <row r="43" spans="2:15" ht="72.75" thickBot="1">
      <c r="B43" s="437"/>
      <c r="C43" s="379"/>
      <c r="D43" s="1056" t="str">
        <f t="shared" ref="D43" si="4">+D25</f>
        <v xml:space="preserve">Conservar, preservar y recuperar elementos naturales del espacio público. Realización de jornadas de arborización urbana en viviendas de interés social, vivienda de interés prioritarias y/o áreas públicas </v>
      </c>
      <c r="E43" s="481"/>
      <c r="F43" s="1069">
        <v>24301490</v>
      </c>
      <c r="G43" s="1069">
        <v>24301490</v>
      </c>
      <c r="H43" s="1070">
        <v>21022147</v>
      </c>
      <c r="I43" s="1070">
        <v>4005320</v>
      </c>
      <c r="J43" s="1073">
        <f t="shared" si="2"/>
        <v>0.86505588751965412</v>
      </c>
      <c r="K43" s="1073">
        <f t="shared" si="3"/>
        <v>0.19052858873073239</v>
      </c>
      <c r="L43" s="12"/>
      <c r="N43" s="1074"/>
      <c r="O43" s="1106"/>
    </row>
    <row r="44" spans="2:15" s="413" customFormat="1" ht="24.75" thickBot="1">
      <c r="B44" s="1046"/>
      <c r="C44" s="379"/>
      <c r="D44" s="1057" t="str">
        <f>D26</f>
        <v>Recuperación participativa de barrios para la gestión ambiental urbana.</v>
      </c>
      <c r="E44" s="481"/>
      <c r="F44" s="485">
        <v>24301489</v>
      </c>
      <c r="G44" s="485">
        <v>24301489</v>
      </c>
      <c r="H44" s="1070">
        <v>21022147</v>
      </c>
      <c r="I44" s="1070">
        <v>4005320</v>
      </c>
      <c r="J44" s="1073">
        <f t="shared" si="2"/>
        <v>0.86505592311648061</v>
      </c>
      <c r="K44" s="1073">
        <f t="shared" si="3"/>
        <v>0.19052858873073239</v>
      </c>
      <c r="L44" s="12"/>
      <c r="N44" s="1074"/>
      <c r="O44" s="1106"/>
    </row>
    <row r="45" spans="2:15" s="413" customFormat="1" ht="48.75" thickBot="1">
      <c r="B45" s="1046"/>
      <c r="C45" s="379"/>
      <c r="D45" s="1057" t="str">
        <f>D27</f>
        <v>Desarrollo de jornadas para la conservación ambiental en zonas de playas de los municipios costeros del Departamento.</v>
      </c>
      <c r="E45" s="481"/>
      <c r="F45" s="1069">
        <v>24301490</v>
      </c>
      <c r="G45" s="1069">
        <v>24301490</v>
      </c>
      <c r="H45" s="1070">
        <v>21022147</v>
      </c>
      <c r="I45" s="1070">
        <v>4005320</v>
      </c>
      <c r="J45" s="1073">
        <f t="shared" si="2"/>
        <v>0.86505588751965412</v>
      </c>
      <c r="K45" s="1073">
        <f t="shared" si="3"/>
        <v>0.19052858873073239</v>
      </c>
      <c r="L45" s="12"/>
      <c r="N45" s="1074"/>
      <c r="O45" s="1106"/>
    </row>
    <row r="46" spans="2:15" s="413" customFormat="1" ht="36.75" thickBot="1">
      <c r="B46" s="1046"/>
      <c r="C46" s="379"/>
      <c r="D46" s="1057" t="str">
        <f>D28</f>
        <v>Asesorías para la formulación e implementación de los planes locales de arborización en Riohacha y Maicao.</v>
      </c>
      <c r="E46" s="481"/>
      <c r="F46" s="1069">
        <v>24301489</v>
      </c>
      <c r="G46" s="1069">
        <v>24301489</v>
      </c>
      <c r="H46" s="1071">
        <v>21022147</v>
      </c>
      <c r="I46" s="1070">
        <v>4005320</v>
      </c>
      <c r="J46" s="1073">
        <f t="shared" si="2"/>
        <v>0.86505592311648061</v>
      </c>
      <c r="K46" s="1073">
        <f t="shared" si="3"/>
        <v>0.19052858873073239</v>
      </c>
      <c r="L46" s="12"/>
      <c r="N46" s="1074"/>
      <c r="O46" s="1106"/>
    </row>
    <row r="47" spans="2:15" s="413" customFormat="1" ht="48.75" thickBot="1">
      <c r="B47" s="1046"/>
      <c r="C47" s="379"/>
      <c r="D47" s="1057" t="str">
        <f>D29</f>
        <v>Asesoría y asistencia técnica a los entes territoriales en alternativas innovadoras para la disposición final de residuos sólidos</v>
      </c>
      <c r="E47" s="481"/>
      <c r="F47" s="1069">
        <v>24301490</v>
      </c>
      <c r="G47" s="1070">
        <v>544301490</v>
      </c>
      <c r="H47" s="1070">
        <v>395461853</v>
      </c>
      <c r="I47" s="1070">
        <v>75346798</v>
      </c>
      <c r="J47" s="1073">
        <f t="shared" si="2"/>
        <v>0.72654927510854328</v>
      </c>
      <c r="K47" s="150">
        <f t="shared" si="3"/>
        <v>0.19052861212380959</v>
      </c>
      <c r="L47" s="12"/>
      <c r="N47" s="1074"/>
      <c r="O47" s="1106"/>
    </row>
    <row r="48" spans="2:15" ht="24.75" thickBot="1">
      <c r="B48" s="437"/>
      <c r="C48" s="379"/>
      <c r="D48" s="1056" t="str">
        <f t="shared" ref="D48" si="5">+D30</f>
        <v>Sensibilización de la aplicación del comparendo ambiental.</v>
      </c>
      <c r="E48" s="481"/>
      <c r="F48" s="1069">
        <v>24301489</v>
      </c>
      <c r="G48" s="1069">
        <v>24301489</v>
      </c>
      <c r="H48" s="1070">
        <v>21022147</v>
      </c>
      <c r="I48" s="486">
        <v>4005320</v>
      </c>
      <c r="J48" s="150">
        <f t="shared" si="2"/>
        <v>0.86505592311648061</v>
      </c>
      <c r="K48" s="150">
        <f t="shared" si="3"/>
        <v>0.19052858873073239</v>
      </c>
      <c r="L48" s="12"/>
      <c r="N48" s="1074"/>
      <c r="O48" s="1106"/>
    </row>
    <row r="49" spans="2:20" ht="36.75" thickBot="1">
      <c r="B49" s="437"/>
      <c r="C49" s="379"/>
      <c r="D49" s="1056" t="str">
        <f t="shared" ref="D49" si="6">+D31</f>
        <v>Promoción del reciclaje y aprovechamiento de residuos orgánicos e inorgánicos enfocado al programa Basura 0.</v>
      </c>
      <c r="E49" s="481"/>
      <c r="F49" s="1069">
        <v>24301490</v>
      </c>
      <c r="G49" s="1069">
        <v>24301490</v>
      </c>
      <c r="H49" s="1070">
        <v>21022147</v>
      </c>
      <c r="I49" s="486">
        <v>4005321</v>
      </c>
      <c r="J49" s="150">
        <f t="shared" si="2"/>
        <v>0.86505588751965412</v>
      </c>
      <c r="K49" s="150">
        <f t="shared" si="3"/>
        <v>0.19052863629961297</v>
      </c>
      <c r="L49" s="12"/>
      <c r="N49" s="1074"/>
      <c r="O49" s="1106"/>
    </row>
    <row r="50" spans="2:20" s="413" customFormat="1" ht="48.75" thickBot="1">
      <c r="B50" s="1046"/>
      <c r="C50" s="379"/>
      <c r="D50" s="1057" t="str">
        <f>D32</f>
        <v>Asesorías para la conformación o fortalecimiento a grupos de recicladores o empresas comunitarias prestadoras de servicios públicos en saneamiento.</v>
      </c>
      <c r="E50" s="481"/>
      <c r="F50" s="1069">
        <v>24301489</v>
      </c>
      <c r="G50" s="1069">
        <v>24301489</v>
      </c>
      <c r="H50" s="1070">
        <v>21022147</v>
      </c>
      <c r="I50" s="486">
        <v>4005321</v>
      </c>
      <c r="J50" s="150">
        <f t="shared" si="2"/>
        <v>0.86505592311648061</v>
      </c>
      <c r="K50" s="150">
        <f t="shared" si="3"/>
        <v>0.19052863629961297</v>
      </c>
      <c r="L50" s="12"/>
      <c r="N50" s="1074"/>
      <c r="O50" s="1106"/>
    </row>
    <row r="51" spans="2:20" ht="24.75" thickBot="1">
      <c r="B51" s="437"/>
      <c r="C51" s="379"/>
      <c r="D51" s="1056" t="str">
        <f t="shared" ref="D51" si="7">+D33</f>
        <v>Recopilación, análisis y reporte de los Indicadores de Calidad Ambiental Urbana.</v>
      </c>
      <c r="E51" s="481"/>
      <c r="F51" s="1069">
        <v>24301490</v>
      </c>
      <c r="G51" s="1069">
        <v>24301490</v>
      </c>
      <c r="H51" s="1070">
        <v>21022147</v>
      </c>
      <c r="I51" s="486">
        <v>4005321</v>
      </c>
      <c r="J51" s="150">
        <f t="shared" si="2"/>
        <v>0.86505588751965412</v>
      </c>
      <c r="K51" s="150">
        <f t="shared" si="3"/>
        <v>0.19052863629961297</v>
      </c>
      <c r="L51" s="12"/>
      <c r="N51" s="1074"/>
      <c r="O51" s="1106"/>
    </row>
    <row r="52" spans="2:20" ht="48.75" thickBot="1">
      <c r="B52" s="437"/>
      <c r="C52" s="379"/>
      <c r="D52" s="1056" t="str">
        <f t="shared" ref="D52" si="8">+D34</f>
        <v>Asesoría y asistencia técnica para la gestión de residuos de centros de acopio de residuos sólidos reciclables, escombros y demolición.</v>
      </c>
      <c r="E52" s="481"/>
      <c r="F52" s="1211">
        <v>24301489</v>
      </c>
      <c r="G52" s="1211">
        <v>24301489</v>
      </c>
      <c r="H52" s="1070">
        <v>21022147</v>
      </c>
      <c r="I52" s="486">
        <v>4005321</v>
      </c>
      <c r="J52" s="150">
        <f t="shared" si="2"/>
        <v>0.86505592311648061</v>
      </c>
      <c r="K52" s="150">
        <f t="shared" si="3"/>
        <v>0.19052863629961297</v>
      </c>
      <c r="L52" s="12"/>
      <c r="N52" s="1074"/>
      <c r="O52" s="1106"/>
      <c r="P52" s="1074"/>
    </row>
    <row r="53" spans="2:20" ht="15.75" thickBot="1">
      <c r="B53" s="437"/>
      <c r="C53" s="102"/>
      <c r="D53" s="339"/>
      <c r="E53" s="339" t="s">
        <v>157</v>
      </c>
      <c r="F53" s="1212">
        <f>SUM(F41:F52)</f>
        <v>325706080</v>
      </c>
      <c r="G53" s="1213">
        <f>SUM(G41:G52)</f>
        <v>845706080</v>
      </c>
      <c r="H53" s="1213">
        <f t="shared" ref="H53:I53" si="9">SUM(H41:H52)</f>
        <v>650643388</v>
      </c>
      <c r="I53" s="1213">
        <f t="shared" si="9"/>
        <v>123966182</v>
      </c>
      <c r="J53" s="150">
        <f t="shared" si="2"/>
        <v>0.76934930868653562</v>
      </c>
      <c r="K53" s="150">
        <f t="shared" si="3"/>
        <v>0.19052861258001441</v>
      </c>
      <c r="L53" s="1214"/>
      <c r="N53" s="1216"/>
      <c r="O53" s="1106"/>
    </row>
    <row r="54" spans="2:20" ht="15.75" thickBot="1">
      <c r="B54" s="438"/>
      <c r="C54" s="94"/>
      <c r="D54" s="1492" t="s">
        <v>639</v>
      </c>
      <c r="E54" s="1493"/>
      <c r="F54" s="1493"/>
      <c r="G54" s="1493"/>
      <c r="H54" s="1493"/>
      <c r="I54" s="1493"/>
      <c r="J54" s="1493"/>
      <c r="K54" s="1493"/>
      <c r="L54" s="1518"/>
      <c r="N54" s="225"/>
      <c r="P54" s="1074"/>
      <c r="R54" s="1074"/>
      <c r="T54" s="1074"/>
    </row>
    <row r="55" spans="2:20" ht="15.75" thickBot="1">
      <c r="B55" s="38"/>
      <c r="C55" s="89"/>
      <c r="D55" s="6"/>
      <c r="E55" s="6"/>
      <c r="F55" s="6"/>
      <c r="G55" s="6"/>
      <c r="H55" s="6"/>
      <c r="I55" s="6"/>
      <c r="J55" s="6"/>
      <c r="K55" s="6"/>
    </row>
    <row r="56" spans="2:20" ht="72.75" thickBot="1">
      <c r="B56" s="53" t="s">
        <v>39</v>
      </c>
      <c r="C56" s="99"/>
      <c r="D56" s="44" t="s">
        <v>788</v>
      </c>
      <c r="E56" s="6"/>
      <c r="F56" s="6"/>
      <c r="G56" s="6"/>
      <c r="H56" s="6"/>
      <c r="I56" s="6"/>
      <c r="J56" s="6"/>
      <c r="K56" s="6"/>
    </row>
    <row r="57" spans="2:20" ht="60.75" thickBot="1">
      <c r="B57" s="53" t="s">
        <v>41</v>
      </c>
      <c r="C57" s="214"/>
      <c r="D57" s="53" t="s">
        <v>354</v>
      </c>
      <c r="E57" s="6"/>
      <c r="F57" s="6"/>
      <c r="G57" s="6"/>
      <c r="H57" s="6"/>
      <c r="I57" s="6"/>
      <c r="J57" s="6"/>
      <c r="K57" s="6"/>
    </row>
    <row r="58" spans="2:20" ht="15.75" thickBot="1">
      <c r="B58" s="2"/>
      <c r="C58" s="77"/>
      <c r="D58" s="6"/>
      <c r="E58" s="6"/>
      <c r="F58" s="6"/>
      <c r="G58" s="6"/>
      <c r="H58" s="6"/>
      <c r="I58" s="6"/>
      <c r="J58" s="6"/>
      <c r="K58" s="6"/>
    </row>
    <row r="59" spans="2:20" ht="24" customHeight="1" thickBot="1">
      <c r="B59" s="1450" t="s">
        <v>43</v>
      </c>
      <c r="C59" s="1451"/>
      <c r="D59" s="1451"/>
      <c r="E59" s="1452"/>
      <c r="F59" s="6"/>
      <c r="G59" s="6"/>
      <c r="H59" s="6"/>
      <c r="I59" s="6"/>
      <c r="J59" s="6"/>
      <c r="K59" s="6"/>
    </row>
    <row r="60" spans="2:20" ht="15.75" thickBot="1">
      <c r="B60" s="1447">
        <v>1</v>
      </c>
      <c r="C60" s="95"/>
      <c r="D60" s="49" t="s">
        <v>44</v>
      </c>
      <c r="E60" s="141" t="s">
        <v>1642</v>
      </c>
      <c r="F60" s="6"/>
      <c r="G60" s="6"/>
      <c r="H60" s="6"/>
      <c r="I60" s="6"/>
      <c r="J60" s="6"/>
      <c r="K60" s="6"/>
    </row>
    <row r="61" spans="2:20" ht="15.75" thickBot="1">
      <c r="B61" s="1448"/>
      <c r="C61" s="95"/>
      <c r="D61" s="41" t="s">
        <v>45</v>
      </c>
      <c r="E61" s="141" t="s">
        <v>1828</v>
      </c>
      <c r="F61" s="6"/>
      <c r="G61" s="6"/>
      <c r="H61" s="6"/>
      <c r="I61" s="6"/>
      <c r="J61" s="6"/>
      <c r="K61" s="6"/>
    </row>
    <row r="62" spans="2:20" ht="15.75" thickBot="1">
      <c r="B62" s="1448"/>
      <c r="C62" s="95"/>
      <c r="D62" s="41" t="s">
        <v>46</v>
      </c>
      <c r="E62" s="141" t="s">
        <v>1676</v>
      </c>
      <c r="F62" s="6"/>
      <c r="G62" s="6"/>
      <c r="H62" s="6"/>
      <c r="I62" s="6"/>
      <c r="J62" s="6"/>
      <c r="K62" s="6"/>
    </row>
    <row r="63" spans="2:20" ht="15.75" thickBot="1">
      <c r="B63" s="1448"/>
      <c r="C63" s="95"/>
      <c r="D63" s="41" t="s">
        <v>47</v>
      </c>
      <c r="E63" s="141" t="s">
        <v>1660</v>
      </c>
      <c r="F63" s="6"/>
      <c r="G63" s="6"/>
      <c r="H63" s="6"/>
      <c r="I63" s="6"/>
      <c r="J63" s="6"/>
      <c r="K63" s="6"/>
    </row>
    <row r="64" spans="2:20" ht="15.75" thickBot="1">
      <c r="B64" s="1448"/>
      <c r="C64" s="95"/>
      <c r="D64" s="41" t="s">
        <v>48</v>
      </c>
      <c r="E64" s="1072" t="s">
        <v>1813</v>
      </c>
      <c r="F64" s="6"/>
      <c r="G64" s="6"/>
      <c r="H64" s="6"/>
      <c r="I64" s="6"/>
      <c r="J64" s="6"/>
      <c r="K64" s="6"/>
    </row>
    <row r="65" spans="2:11" ht="15.75" thickBot="1">
      <c r="B65" s="1448"/>
      <c r="C65" s="95"/>
      <c r="D65" s="41" t="s">
        <v>49</v>
      </c>
      <c r="E65" s="141" t="s">
        <v>1829</v>
      </c>
      <c r="F65" s="6"/>
      <c r="G65" s="6"/>
      <c r="H65" s="6"/>
      <c r="I65" s="6"/>
      <c r="J65" s="6"/>
      <c r="K65" s="6"/>
    </row>
    <row r="66" spans="2:11" ht="15.75" thickBot="1">
      <c r="B66" s="1449"/>
      <c r="C66" s="3"/>
      <c r="D66" s="41" t="s">
        <v>50</v>
      </c>
      <c r="E66" s="141" t="s">
        <v>1629</v>
      </c>
      <c r="F66" s="6"/>
      <c r="G66" s="6"/>
      <c r="H66" s="6"/>
      <c r="I66" s="6"/>
      <c r="J66" s="6"/>
      <c r="K66" s="6"/>
    </row>
    <row r="67" spans="2:11" ht="15.75" thickBot="1">
      <c r="B67" s="2"/>
      <c r="C67" s="77"/>
      <c r="D67" s="6"/>
      <c r="E67" s="6"/>
      <c r="F67" s="6"/>
      <c r="G67" s="6"/>
      <c r="H67" s="6"/>
      <c r="I67" s="6"/>
      <c r="J67" s="6"/>
      <c r="K67" s="6"/>
    </row>
    <row r="68" spans="2:11" ht="15.75" thickBot="1">
      <c r="B68" s="1450" t="s">
        <v>51</v>
      </c>
      <c r="C68" s="1451"/>
      <c r="D68" s="1451"/>
      <c r="E68" s="1452"/>
      <c r="F68" s="6"/>
      <c r="G68" s="6"/>
      <c r="H68" s="6"/>
      <c r="I68" s="6"/>
      <c r="J68" s="6"/>
      <c r="K68" s="6"/>
    </row>
    <row r="69" spans="2:11" ht="15.75" thickBot="1">
      <c r="B69" s="1447">
        <v>1</v>
      </c>
      <c r="C69" s="95"/>
      <c r="D69" s="49" t="s">
        <v>44</v>
      </c>
      <c r="E69" s="132" t="s">
        <v>52</v>
      </c>
      <c r="F69" s="6"/>
      <c r="G69" s="6"/>
      <c r="H69" s="6"/>
      <c r="I69" s="6"/>
      <c r="J69" s="6"/>
      <c r="K69" s="6"/>
    </row>
    <row r="70" spans="2:11" ht="15.75" thickBot="1">
      <c r="B70" s="1448"/>
      <c r="C70" s="95"/>
      <c r="D70" s="41" t="s">
        <v>45</v>
      </c>
      <c r="E70" s="174" t="s">
        <v>166</v>
      </c>
      <c r="F70" s="6"/>
      <c r="G70" s="6"/>
      <c r="H70" s="6"/>
      <c r="I70" s="6"/>
      <c r="J70" s="6"/>
      <c r="K70" s="6"/>
    </row>
    <row r="71" spans="2:11" ht="15.75" thickBot="1">
      <c r="B71" s="1448"/>
      <c r="C71" s="95"/>
      <c r="D71" s="41" t="s">
        <v>46</v>
      </c>
      <c r="E71" s="175"/>
      <c r="F71" s="6"/>
      <c r="G71" s="6"/>
      <c r="H71" s="6"/>
      <c r="I71" s="6"/>
      <c r="J71" s="6"/>
      <c r="K71" s="6"/>
    </row>
    <row r="72" spans="2:11" ht="15.75" thickBot="1">
      <c r="B72" s="1448"/>
      <c r="C72" s="95"/>
      <c r="D72" s="41" t="s">
        <v>47</v>
      </c>
      <c r="E72" s="175"/>
      <c r="F72" s="6"/>
      <c r="G72" s="6"/>
      <c r="H72" s="6"/>
      <c r="I72" s="6"/>
      <c r="J72" s="6"/>
      <c r="K72" s="6"/>
    </row>
    <row r="73" spans="2:11" ht="15.75" thickBot="1">
      <c r="B73" s="1448"/>
      <c r="C73" s="95"/>
      <c r="D73" s="41" t="s">
        <v>48</v>
      </c>
      <c r="E73" s="175"/>
      <c r="F73" s="6"/>
      <c r="G73" s="6"/>
      <c r="H73" s="6"/>
      <c r="I73" s="6"/>
      <c r="J73" s="6"/>
      <c r="K73" s="6"/>
    </row>
    <row r="74" spans="2:11" ht="15.75" thickBot="1">
      <c r="B74" s="1448"/>
      <c r="C74" s="95"/>
      <c r="D74" s="41" t="s">
        <v>49</v>
      </c>
      <c r="E74" s="175"/>
      <c r="F74" s="6"/>
      <c r="G74" s="6"/>
      <c r="H74" s="6"/>
      <c r="I74" s="6"/>
      <c r="J74" s="6"/>
      <c r="K74" s="6"/>
    </row>
    <row r="75" spans="2:11" ht="15.75" thickBot="1">
      <c r="B75" s="1449"/>
      <c r="C75" s="3"/>
      <c r="D75" s="41" t="s">
        <v>50</v>
      </c>
      <c r="E75" s="175"/>
      <c r="F75" s="6"/>
      <c r="G75" s="6"/>
      <c r="H75" s="6"/>
      <c r="I75" s="6"/>
      <c r="J75" s="6"/>
      <c r="K75" s="6"/>
    </row>
    <row r="76" spans="2:11" ht="15.75" thickBot="1">
      <c r="B76" s="2"/>
      <c r="C76" s="77"/>
      <c r="D76" s="6"/>
      <c r="E76" s="6"/>
      <c r="F76" s="6"/>
      <c r="G76" s="6"/>
      <c r="H76" s="6"/>
      <c r="I76" s="6"/>
      <c r="J76" s="6"/>
      <c r="K76" s="6"/>
    </row>
    <row r="77" spans="2:11" ht="15" customHeight="1" thickBot="1">
      <c r="B77" s="125" t="s">
        <v>54</v>
      </c>
      <c r="C77" s="126"/>
      <c r="D77" s="126"/>
      <c r="E77" s="127"/>
      <c r="G77" s="6"/>
      <c r="H77" s="6"/>
      <c r="I77" s="6"/>
      <c r="J77" s="6"/>
      <c r="K77" s="6"/>
    </row>
    <row r="78" spans="2:11" ht="24.75" thickBot="1">
      <c r="B78" s="48" t="s">
        <v>55</v>
      </c>
      <c r="C78" s="41" t="s">
        <v>56</v>
      </c>
      <c r="D78" s="41" t="s">
        <v>57</v>
      </c>
      <c r="E78" s="41" t="s">
        <v>58</v>
      </c>
      <c r="F78" s="6"/>
      <c r="G78" s="6"/>
      <c r="H78" s="6"/>
      <c r="I78" s="6"/>
      <c r="J78" s="6"/>
    </row>
    <row r="79" spans="2:11" ht="72.75" thickBot="1">
      <c r="B79" s="50">
        <v>42401</v>
      </c>
      <c r="C79" s="41">
        <v>1</v>
      </c>
      <c r="D79" s="41" t="s">
        <v>789</v>
      </c>
      <c r="E79" s="41"/>
      <c r="F79" s="6"/>
      <c r="G79" s="6"/>
      <c r="H79" s="6"/>
      <c r="I79" s="6"/>
      <c r="J79" s="6"/>
    </row>
    <row r="80" spans="2:11" ht="15.75" thickBot="1">
      <c r="B80" s="4"/>
      <c r="C80" s="96"/>
      <c r="D80" s="6"/>
      <c r="E80" s="6"/>
      <c r="F80" s="6"/>
      <c r="G80" s="6"/>
      <c r="H80" s="6"/>
      <c r="I80" s="6"/>
      <c r="J80" s="6"/>
      <c r="K80" s="6"/>
    </row>
    <row r="81" spans="2:11" ht="15.75" thickBot="1">
      <c r="B81" s="195" t="s">
        <v>60</v>
      </c>
      <c r="C81" s="97"/>
      <c r="D81" s="6"/>
      <c r="E81" s="6"/>
      <c r="F81" s="6"/>
      <c r="G81" s="6"/>
      <c r="H81" s="6"/>
      <c r="I81" s="6"/>
      <c r="J81" s="6"/>
      <c r="K81" s="6"/>
    </row>
    <row r="82" spans="2:11">
      <c r="B82" s="1590"/>
      <c r="C82" s="1591"/>
      <c r="D82" s="1591"/>
      <c r="E82" s="1592"/>
      <c r="F82" s="6"/>
      <c r="G82" s="6"/>
      <c r="H82" s="6"/>
      <c r="I82" s="6"/>
      <c r="J82" s="6"/>
      <c r="K82" s="6"/>
    </row>
    <row r="83" spans="2:11" ht="15.75" thickBot="1">
      <c r="B83" s="1593"/>
      <c r="C83" s="1594"/>
      <c r="D83" s="1594"/>
      <c r="E83" s="1595"/>
      <c r="F83" s="6"/>
      <c r="G83" s="6"/>
      <c r="H83" s="6"/>
      <c r="I83" s="6"/>
      <c r="J83" s="6"/>
      <c r="K83" s="6"/>
    </row>
    <row r="84" spans="2:11" ht="15.75" thickBot="1">
      <c r="B84" s="6"/>
      <c r="D84" s="6"/>
      <c r="E84" s="6"/>
      <c r="F84" s="6"/>
      <c r="G84" s="6"/>
      <c r="H84" s="6"/>
      <c r="I84" s="6"/>
      <c r="J84" s="6"/>
      <c r="K84" s="6"/>
    </row>
    <row r="85" spans="2:11" ht="15.75" thickBot="1">
      <c r="B85" s="1450" t="s">
        <v>61</v>
      </c>
      <c r="C85" s="1451"/>
      <c r="D85" s="1452"/>
      <c r="E85" s="6"/>
      <c r="F85" s="6"/>
      <c r="G85" s="6"/>
      <c r="H85" s="6"/>
      <c r="I85" s="6"/>
      <c r="J85" s="6"/>
      <c r="K85" s="6"/>
    </row>
    <row r="86" spans="2:11" ht="60.75" thickBot="1">
      <c r="B86" s="48" t="s">
        <v>62</v>
      </c>
      <c r="C86" s="3"/>
      <c r="D86" s="41" t="s">
        <v>718</v>
      </c>
      <c r="E86" s="6"/>
      <c r="F86" s="6"/>
      <c r="G86" s="6"/>
      <c r="H86" s="6"/>
      <c r="I86" s="6"/>
      <c r="J86" s="6"/>
      <c r="K86" s="6"/>
    </row>
    <row r="87" spans="2:11">
      <c r="B87" s="1447" t="s">
        <v>64</v>
      </c>
      <c r="C87" s="95"/>
      <c r="D87" s="54" t="s">
        <v>65</v>
      </c>
      <c r="E87" s="6"/>
      <c r="F87" s="6"/>
      <c r="G87" s="6"/>
      <c r="H87" s="6"/>
      <c r="I87" s="6"/>
      <c r="J87" s="6"/>
      <c r="K87" s="6"/>
    </row>
    <row r="88" spans="2:11" ht="96">
      <c r="B88" s="1448"/>
      <c r="C88" s="95"/>
      <c r="D88" s="47" t="s">
        <v>719</v>
      </c>
      <c r="E88" s="6"/>
      <c r="F88" s="6"/>
      <c r="G88" s="6"/>
      <c r="H88" s="6"/>
      <c r="I88" s="6"/>
      <c r="J88" s="6"/>
      <c r="K88" s="6"/>
    </row>
    <row r="89" spans="2:11">
      <c r="B89" s="1448"/>
      <c r="C89" s="95"/>
      <c r="D89" s="54" t="s">
        <v>68</v>
      </c>
      <c r="E89" s="6"/>
      <c r="F89" s="6"/>
      <c r="G89" s="6"/>
      <c r="H89" s="6"/>
      <c r="I89" s="6"/>
      <c r="J89" s="6"/>
      <c r="K89" s="6"/>
    </row>
    <row r="90" spans="2:11">
      <c r="B90" s="1448"/>
      <c r="C90" s="95"/>
      <c r="D90" s="47" t="s">
        <v>69</v>
      </c>
      <c r="E90" s="6"/>
      <c r="F90" s="6"/>
      <c r="G90" s="6"/>
      <c r="H90" s="6"/>
      <c r="I90" s="6"/>
      <c r="J90" s="6"/>
      <c r="K90" s="6"/>
    </row>
    <row r="91" spans="2:11">
      <c r="B91" s="1448"/>
      <c r="C91" s="95"/>
      <c r="D91" s="47" t="s">
        <v>720</v>
      </c>
      <c r="E91" s="6"/>
      <c r="F91" s="6"/>
      <c r="G91" s="6"/>
      <c r="H91" s="6"/>
      <c r="I91" s="6"/>
      <c r="J91" s="6"/>
      <c r="K91" s="6"/>
    </row>
    <row r="92" spans="2:11">
      <c r="B92" s="1448"/>
      <c r="C92" s="95"/>
      <c r="D92" s="47" t="s">
        <v>70</v>
      </c>
      <c r="E92" s="6"/>
      <c r="F92" s="6"/>
      <c r="G92" s="6"/>
      <c r="H92" s="6"/>
      <c r="I92" s="6"/>
      <c r="J92" s="6"/>
      <c r="K92" s="6"/>
    </row>
    <row r="93" spans="2:11">
      <c r="B93" s="1448"/>
      <c r="C93" s="95"/>
      <c r="D93" s="47" t="s">
        <v>721</v>
      </c>
      <c r="E93" s="6"/>
      <c r="F93" s="6"/>
      <c r="G93" s="6"/>
      <c r="H93" s="6"/>
      <c r="I93" s="6"/>
      <c r="J93" s="6"/>
      <c r="K93" s="6"/>
    </row>
    <row r="94" spans="2:11" ht="24">
      <c r="B94" s="1448"/>
      <c r="C94" s="95"/>
      <c r="D94" s="47" t="s">
        <v>722</v>
      </c>
      <c r="E94" s="6"/>
      <c r="F94" s="6"/>
      <c r="G94" s="6"/>
      <c r="H94" s="6"/>
      <c r="I94" s="6"/>
      <c r="J94" s="6"/>
      <c r="K94" s="6"/>
    </row>
    <row r="95" spans="2:11">
      <c r="B95" s="1448"/>
      <c r="C95" s="95"/>
      <c r="D95" s="54" t="s">
        <v>296</v>
      </c>
      <c r="E95" s="6"/>
      <c r="F95" s="6"/>
      <c r="G95" s="6"/>
      <c r="H95" s="6"/>
      <c r="I95" s="6"/>
      <c r="J95" s="6"/>
      <c r="K95" s="6"/>
    </row>
    <row r="96" spans="2:11">
      <c r="B96" s="1448"/>
      <c r="C96" s="95"/>
      <c r="D96" s="47" t="s">
        <v>363</v>
      </c>
      <c r="E96" s="6"/>
      <c r="F96" s="6"/>
      <c r="G96" s="6"/>
      <c r="H96" s="6"/>
      <c r="I96" s="6"/>
      <c r="J96" s="6"/>
      <c r="K96" s="6"/>
    </row>
    <row r="97" spans="2:11">
      <c r="B97" s="1448"/>
      <c r="C97" s="95"/>
      <c r="D97" s="47" t="s">
        <v>723</v>
      </c>
      <c r="E97" s="6"/>
      <c r="F97" s="6"/>
      <c r="G97" s="6"/>
      <c r="H97" s="6"/>
      <c r="I97" s="6"/>
      <c r="J97" s="6"/>
      <c r="K97" s="6"/>
    </row>
    <row r="98" spans="2:11" ht="24">
      <c r="B98" s="1448"/>
      <c r="C98" s="95"/>
      <c r="D98" s="47" t="s">
        <v>724</v>
      </c>
      <c r="E98" s="6"/>
      <c r="F98" s="6"/>
      <c r="G98" s="6"/>
      <c r="H98" s="6"/>
      <c r="I98" s="6"/>
      <c r="J98" s="6"/>
      <c r="K98" s="6"/>
    </row>
    <row r="99" spans="2:11" ht="24">
      <c r="B99" s="1448"/>
      <c r="C99" s="95"/>
      <c r="D99" s="47" t="s">
        <v>725</v>
      </c>
      <c r="E99" s="6"/>
      <c r="F99" s="6"/>
      <c r="G99" s="6"/>
      <c r="H99" s="6"/>
      <c r="I99" s="6"/>
      <c r="J99" s="6"/>
      <c r="K99" s="6"/>
    </row>
    <row r="100" spans="2:11" ht="36">
      <c r="B100" s="1448"/>
      <c r="C100" s="95"/>
      <c r="D100" s="47" t="s">
        <v>726</v>
      </c>
      <c r="E100" s="6"/>
      <c r="F100" s="6"/>
      <c r="G100" s="6"/>
      <c r="H100" s="6"/>
      <c r="I100" s="6"/>
      <c r="J100" s="6"/>
      <c r="K100" s="6"/>
    </row>
    <row r="101" spans="2:11">
      <c r="B101" s="1448"/>
      <c r="C101" s="95"/>
      <c r="D101" s="47" t="s">
        <v>727</v>
      </c>
      <c r="E101" s="6"/>
      <c r="F101" s="6"/>
      <c r="G101" s="6"/>
      <c r="H101" s="6"/>
      <c r="I101" s="6"/>
      <c r="J101" s="6"/>
      <c r="K101" s="6"/>
    </row>
    <row r="102" spans="2:11">
      <c r="B102" s="1448"/>
      <c r="C102" s="95"/>
      <c r="D102" s="47" t="s">
        <v>728</v>
      </c>
      <c r="E102" s="6"/>
      <c r="F102" s="6"/>
      <c r="G102" s="6"/>
      <c r="H102" s="6"/>
      <c r="I102" s="6"/>
      <c r="J102" s="6"/>
      <c r="K102" s="6"/>
    </row>
    <row r="103" spans="2:11" ht="15.75" thickBot="1">
      <c r="B103" s="1449"/>
      <c r="C103" s="3"/>
      <c r="D103" s="41" t="s">
        <v>729</v>
      </c>
      <c r="E103" s="6"/>
      <c r="F103" s="6"/>
      <c r="G103" s="6"/>
      <c r="H103" s="6"/>
      <c r="I103" s="6"/>
      <c r="J103" s="6"/>
      <c r="K103" s="6"/>
    </row>
    <row r="104" spans="2:11" ht="24.75" thickBot="1">
      <c r="B104" s="48" t="s">
        <v>77</v>
      </c>
      <c r="C104" s="3"/>
      <c r="D104" s="41"/>
      <c r="E104" s="6"/>
      <c r="F104" s="6"/>
      <c r="G104" s="6"/>
      <c r="H104" s="6"/>
      <c r="I104" s="6"/>
      <c r="J104" s="6"/>
      <c r="K104" s="6"/>
    </row>
    <row r="105" spans="2:11" ht="252">
      <c r="B105" s="1447" t="s">
        <v>78</v>
      </c>
      <c r="C105" s="95"/>
      <c r="D105" s="47" t="s">
        <v>730</v>
      </c>
      <c r="E105" s="6"/>
      <c r="F105" s="6"/>
      <c r="G105" s="6"/>
      <c r="H105" s="6"/>
      <c r="I105" s="6"/>
      <c r="J105" s="6"/>
      <c r="K105" s="6"/>
    </row>
    <row r="106" spans="2:11" ht="24">
      <c r="B106" s="1448"/>
      <c r="C106" s="95"/>
      <c r="D106" s="47" t="s">
        <v>731</v>
      </c>
      <c r="E106" s="6"/>
      <c r="F106" s="6"/>
      <c r="G106" s="6"/>
      <c r="H106" s="6"/>
      <c r="I106" s="6"/>
      <c r="J106" s="6"/>
      <c r="K106" s="6"/>
    </row>
    <row r="107" spans="2:11" ht="108">
      <c r="B107" s="1448"/>
      <c r="C107" s="95"/>
      <c r="D107" s="47" t="s">
        <v>732</v>
      </c>
      <c r="E107" s="6"/>
      <c r="F107" s="6"/>
      <c r="G107" s="6"/>
      <c r="H107" s="6"/>
      <c r="I107" s="6"/>
      <c r="J107" s="6"/>
      <c r="K107" s="6"/>
    </row>
    <row r="108" spans="2:11" ht="384">
      <c r="B108" s="1448"/>
      <c r="C108" s="95"/>
      <c r="D108" s="47" t="s">
        <v>733</v>
      </c>
      <c r="E108" s="6"/>
      <c r="F108" s="6"/>
      <c r="G108" s="6"/>
      <c r="H108" s="6"/>
      <c r="I108" s="6"/>
      <c r="J108" s="6"/>
      <c r="K108" s="6"/>
    </row>
    <row r="109" spans="2:11" ht="192">
      <c r="B109" s="1448"/>
      <c r="C109" s="95"/>
      <c r="D109" s="47" t="s">
        <v>734</v>
      </c>
      <c r="E109" s="6"/>
      <c r="F109" s="6"/>
      <c r="G109" s="6"/>
      <c r="H109" s="6"/>
      <c r="I109" s="6"/>
      <c r="J109" s="6"/>
      <c r="K109" s="6"/>
    </row>
    <row r="110" spans="2:11" ht="72">
      <c r="B110" s="1448"/>
      <c r="C110" s="95"/>
      <c r="D110" s="47" t="s">
        <v>735</v>
      </c>
      <c r="E110" s="6"/>
      <c r="F110" s="6"/>
      <c r="G110" s="6"/>
      <c r="H110" s="6"/>
      <c r="I110" s="6"/>
      <c r="J110" s="6"/>
      <c r="K110" s="6"/>
    </row>
    <row r="111" spans="2:11" ht="24">
      <c r="B111" s="1448"/>
      <c r="C111" s="95"/>
      <c r="D111" s="47" t="s">
        <v>736</v>
      </c>
      <c r="E111" s="6"/>
      <c r="F111" s="6"/>
      <c r="G111" s="6"/>
      <c r="H111" s="6"/>
      <c r="I111" s="6"/>
      <c r="J111" s="6"/>
      <c r="K111" s="6"/>
    </row>
    <row r="112" spans="2:11" ht="24">
      <c r="B112" s="1448"/>
      <c r="C112" s="95"/>
      <c r="D112" s="47" t="s">
        <v>737</v>
      </c>
      <c r="E112" s="6"/>
      <c r="F112" s="6"/>
      <c r="G112" s="6"/>
      <c r="H112" s="6"/>
      <c r="I112" s="6"/>
      <c r="J112" s="6"/>
      <c r="K112" s="6"/>
    </row>
    <row r="113" spans="2:11" ht="24">
      <c r="B113" s="1448"/>
      <c r="C113" s="95"/>
      <c r="D113" s="47" t="s">
        <v>738</v>
      </c>
      <c r="E113" s="6"/>
      <c r="F113" s="6"/>
      <c r="G113" s="6"/>
      <c r="H113" s="6"/>
      <c r="I113" s="6"/>
      <c r="J113" s="6"/>
      <c r="K113" s="6"/>
    </row>
    <row r="114" spans="2:11" ht="84">
      <c r="B114" s="1448"/>
      <c r="C114" s="95"/>
      <c r="D114" s="47" t="s">
        <v>739</v>
      </c>
      <c r="E114" s="6"/>
      <c r="F114" s="6"/>
      <c r="G114" s="6"/>
      <c r="H114" s="6"/>
      <c r="I114" s="6"/>
      <c r="J114" s="6"/>
      <c r="K114" s="6"/>
    </row>
    <row r="115" spans="2:11" ht="24">
      <c r="B115" s="1448"/>
      <c r="C115" s="95"/>
      <c r="D115" s="47" t="s">
        <v>740</v>
      </c>
      <c r="E115" s="6"/>
      <c r="F115" s="6"/>
      <c r="G115" s="6"/>
      <c r="H115" s="6"/>
      <c r="I115" s="6"/>
      <c r="J115" s="6"/>
      <c r="K115" s="6"/>
    </row>
    <row r="116" spans="2:11" ht="24">
      <c r="B116" s="1448"/>
      <c r="C116" s="95"/>
      <c r="D116" s="47" t="s">
        <v>741</v>
      </c>
      <c r="E116" s="6"/>
      <c r="F116" s="6"/>
      <c r="G116" s="6"/>
      <c r="H116" s="6"/>
      <c r="I116" s="6"/>
      <c r="J116" s="6"/>
      <c r="K116" s="6"/>
    </row>
    <row r="117" spans="2:11">
      <c r="B117" s="1448"/>
      <c r="C117" s="95"/>
      <c r="D117" s="47" t="s">
        <v>742</v>
      </c>
      <c r="E117" s="6"/>
      <c r="F117" s="6"/>
      <c r="G117" s="6"/>
      <c r="H117" s="6"/>
      <c r="I117" s="6"/>
      <c r="J117" s="6"/>
      <c r="K117" s="6"/>
    </row>
    <row r="118" spans="2:11" ht="24">
      <c r="B118" s="1448"/>
      <c r="C118" s="95"/>
      <c r="D118" s="47" t="s">
        <v>743</v>
      </c>
      <c r="E118" s="6"/>
      <c r="F118" s="6"/>
      <c r="G118" s="6"/>
      <c r="H118" s="6"/>
      <c r="I118" s="6"/>
      <c r="J118" s="6"/>
      <c r="K118" s="6"/>
    </row>
    <row r="119" spans="2:11" ht="36">
      <c r="B119" s="1448"/>
      <c r="C119" s="95"/>
      <c r="D119" s="47" t="s">
        <v>744</v>
      </c>
      <c r="E119" s="6"/>
      <c r="F119" s="6"/>
      <c r="G119" s="6"/>
      <c r="H119" s="6"/>
      <c r="I119" s="6"/>
      <c r="J119" s="6"/>
      <c r="K119" s="6"/>
    </row>
    <row r="120" spans="2:11" ht="24">
      <c r="B120" s="1448"/>
      <c r="C120" s="95"/>
      <c r="D120" s="47" t="s">
        <v>745</v>
      </c>
      <c r="E120" s="6"/>
      <c r="F120" s="6"/>
      <c r="G120" s="6"/>
      <c r="H120" s="6"/>
      <c r="I120" s="6"/>
      <c r="J120" s="6"/>
      <c r="K120" s="6"/>
    </row>
    <row r="121" spans="2:11" ht="24">
      <c r="B121" s="1448"/>
      <c r="C121" s="95"/>
      <c r="D121" s="47" t="s">
        <v>746</v>
      </c>
      <c r="E121" s="6"/>
      <c r="F121" s="6"/>
      <c r="G121" s="6"/>
      <c r="H121" s="6"/>
      <c r="I121" s="6"/>
      <c r="J121" s="6"/>
      <c r="K121" s="6"/>
    </row>
    <row r="122" spans="2:11" ht="72">
      <c r="B122" s="1448"/>
      <c r="C122" s="95"/>
      <c r="D122" s="47" t="s">
        <v>747</v>
      </c>
      <c r="E122" s="6"/>
      <c r="F122" s="6"/>
      <c r="G122" s="6"/>
      <c r="H122" s="6"/>
      <c r="I122" s="6"/>
      <c r="J122" s="6"/>
      <c r="K122" s="6"/>
    </row>
    <row r="123" spans="2:11" ht="48">
      <c r="B123" s="1448"/>
      <c r="C123" s="95"/>
      <c r="D123" s="47" t="s">
        <v>748</v>
      </c>
      <c r="E123" s="6"/>
      <c r="F123" s="6"/>
      <c r="G123" s="6"/>
      <c r="H123" s="6"/>
      <c r="I123" s="6"/>
      <c r="J123" s="6"/>
      <c r="K123" s="6"/>
    </row>
    <row r="124" spans="2:11" ht="48">
      <c r="B124" s="1448"/>
      <c r="C124" s="95"/>
      <c r="D124" s="47" t="s">
        <v>749</v>
      </c>
      <c r="E124" s="6"/>
      <c r="F124" s="6"/>
      <c r="G124" s="6"/>
      <c r="H124" s="6"/>
      <c r="I124" s="6"/>
      <c r="J124" s="6"/>
      <c r="K124" s="6"/>
    </row>
    <row r="125" spans="2:11" ht="36">
      <c r="B125" s="1448"/>
      <c r="C125" s="95"/>
      <c r="D125" s="47" t="s">
        <v>750</v>
      </c>
      <c r="E125" s="6"/>
      <c r="F125" s="6"/>
      <c r="G125" s="6"/>
      <c r="H125" s="6"/>
      <c r="I125" s="6"/>
      <c r="J125" s="6"/>
      <c r="K125" s="6"/>
    </row>
    <row r="126" spans="2:11" ht="24">
      <c r="B126" s="1448"/>
      <c r="C126" s="95"/>
      <c r="D126" s="47" t="s">
        <v>751</v>
      </c>
      <c r="E126" s="6"/>
      <c r="F126" s="6"/>
      <c r="G126" s="6"/>
      <c r="H126" s="6"/>
      <c r="I126" s="6"/>
      <c r="J126" s="6"/>
      <c r="K126" s="6"/>
    </row>
    <row r="127" spans="2:11" ht="36">
      <c r="B127" s="1448"/>
      <c r="C127" s="95"/>
      <c r="D127" s="47" t="s">
        <v>752</v>
      </c>
      <c r="E127" s="6"/>
      <c r="F127" s="6"/>
      <c r="G127" s="6"/>
      <c r="H127" s="6"/>
      <c r="I127" s="6"/>
      <c r="J127" s="6"/>
      <c r="K127" s="6"/>
    </row>
    <row r="128" spans="2:11" ht="24">
      <c r="B128" s="1448"/>
      <c r="C128" s="95"/>
      <c r="D128" s="47" t="s">
        <v>753</v>
      </c>
      <c r="E128" s="6"/>
      <c r="F128" s="6"/>
      <c r="G128" s="6"/>
      <c r="H128" s="6"/>
      <c r="I128" s="6"/>
      <c r="J128" s="6"/>
      <c r="K128" s="6"/>
    </row>
    <row r="129" spans="2:11" ht="36">
      <c r="B129" s="1448"/>
      <c r="C129" s="95"/>
      <c r="D129" s="47" t="s">
        <v>754</v>
      </c>
      <c r="E129" s="6"/>
      <c r="F129" s="6"/>
      <c r="G129" s="6"/>
      <c r="H129" s="6"/>
      <c r="I129" s="6"/>
      <c r="J129" s="6"/>
      <c r="K129" s="6"/>
    </row>
    <row r="130" spans="2:11" ht="36">
      <c r="B130" s="1448"/>
      <c r="C130" s="95"/>
      <c r="D130" s="47" t="s">
        <v>755</v>
      </c>
      <c r="E130" s="6"/>
      <c r="F130" s="6"/>
      <c r="G130" s="6"/>
      <c r="H130" s="6"/>
      <c r="I130" s="6"/>
      <c r="J130" s="6"/>
      <c r="K130" s="6"/>
    </row>
    <row r="131" spans="2:11" ht="36">
      <c r="B131" s="1448"/>
      <c r="C131" s="95"/>
      <c r="D131" s="47" t="s">
        <v>756</v>
      </c>
      <c r="E131" s="6"/>
      <c r="F131" s="6"/>
      <c r="G131" s="6"/>
      <c r="H131" s="6"/>
      <c r="I131" s="6"/>
      <c r="J131" s="6"/>
      <c r="K131" s="6"/>
    </row>
    <row r="132" spans="2:11" ht="60">
      <c r="B132" s="1448"/>
      <c r="C132" s="95"/>
      <c r="D132" s="47" t="s">
        <v>757</v>
      </c>
      <c r="E132" s="6"/>
      <c r="F132" s="6"/>
      <c r="G132" s="6"/>
      <c r="H132" s="6"/>
      <c r="I132" s="6"/>
      <c r="J132" s="6"/>
      <c r="K132" s="6"/>
    </row>
    <row r="133" spans="2:11" ht="48">
      <c r="B133" s="1448"/>
      <c r="C133" s="95"/>
      <c r="D133" s="47" t="s">
        <v>758</v>
      </c>
      <c r="E133" s="6"/>
      <c r="F133" s="6"/>
      <c r="G133" s="6"/>
      <c r="H133" s="6"/>
      <c r="I133" s="6"/>
      <c r="J133" s="6"/>
      <c r="K133" s="6"/>
    </row>
    <row r="134" spans="2:11" ht="24">
      <c r="B134" s="1448"/>
      <c r="C134" s="95"/>
      <c r="D134" s="47" t="s">
        <v>759</v>
      </c>
      <c r="E134" s="6"/>
      <c r="F134" s="6"/>
      <c r="G134" s="6"/>
      <c r="H134" s="6"/>
      <c r="I134" s="6"/>
      <c r="J134" s="6"/>
      <c r="K134" s="6"/>
    </row>
    <row r="135" spans="2:11" ht="24">
      <c r="B135" s="1448"/>
      <c r="C135" s="95"/>
      <c r="D135" s="47" t="s">
        <v>760</v>
      </c>
      <c r="E135" s="6"/>
      <c r="F135" s="6"/>
      <c r="G135" s="6"/>
      <c r="H135" s="6"/>
      <c r="I135" s="6"/>
      <c r="J135" s="6"/>
      <c r="K135" s="6"/>
    </row>
    <row r="136" spans="2:11" ht="24">
      <c r="B136" s="1448"/>
      <c r="C136" s="95"/>
      <c r="D136" s="47" t="s">
        <v>761</v>
      </c>
      <c r="E136" s="6"/>
      <c r="F136" s="6"/>
      <c r="G136" s="6"/>
      <c r="H136" s="6"/>
      <c r="I136" s="6"/>
      <c r="J136" s="6"/>
      <c r="K136" s="6"/>
    </row>
    <row r="137" spans="2:11" ht="24">
      <c r="B137" s="1448"/>
      <c r="C137" s="95"/>
      <c r="D137" s="47" t="s">
        <v>762</v>
      </c>
      <c r="E137" s="6"/>
      <c r="F137" s="6"/>
      <c r="G137" s="6"/>
      <c r="H137" s="6"/>
      <c r="I137" s="6"/>
      <c r="J137" s="6"/>
      <c r="K137" s="6"/>
    </row>
    <row r="138" spans="2:11" ht="48">
      <c r="B138" s="1448"/>
      <c r="C138" s="95"/>
      <c r="D138" s="47" t="s">
        <v>763</v>
      </c>
      <c r="E138" s="6"/>
      <c r="F138" s="6"/>
      <c r="G138" s="6"/>
      <c r="H138" s="6"/>
      <c r="I138" s="6"/>
      <c r="J138" s="6"/>
      <c r="K138" s="6"/>
    </row>
    <row r="139" spans="2:11" ht="24">
      <c r="B139" s="1448"/>
      <c r="C139" s="95"/>
      <c r="D139" s="47" t="s">
        <v>764</v>
      </c>
      <c r="E139" s="6"/>
      <c r="F139" s="6"/>
      <c r="G139" s="6"/>
      <c r="H139" s="6"/>
      <c r="I139" s="6"/>
      <c r="J139" s="6"/>
      <c r="K139" s="6"/>
    </row>
    <row r="140" spans="2:11" ht="36.75" thickBot="1">
      <c r="B140" s="1449"/>
      <c r="C140" s="3"/>
      <c r="D140" s="41" t="s">
        <v>765</v>
      </c>
      <c r="E140" s="6"/>
      <c r="F140" s="6"/>
      <c r="G140" s="6"/>
      <c r="H140" s="6"/>
      <c r="I140" s="6"/>
      <c r="J140" s="6"/>
      <c r="K140" s="6"/>
    </row>
    <row r="141" spans="2:11" ht="24">
      <c r="B141" s="1447" t="s">
        <v>95</v>
      </c>
      <c r="C141" s="95"/>
      <c r="D141" s="54" t="s">
        <v>766</v>
      </c>
      <c r="E141" s="6"/>
      <c r="F141" s="6"/>
      <c r="G141" s="6"/>
      <c r="H141" s="6"/>
      <c r="I141" s="6"/>
      <c r="J141" s="6"/>
      <c r="K141" s="6"/>
    </row>
    <row r="142" spans="2:11" ht="25.35" customHeight="1">
      <c r="B142" s="1448"/>
      <c r="C142" s="95"/>
      <c r="D142" s="47" t="s">
        <v>256</v>
      </c>
      <c r="E142" s="6"/>
      <c r="F142" s="6"/>
      <c r="G142" s="6"/>
      <c r="H142" s="6"/>
      <c r="I142" s="6"/>
      <c r="J142" s="6"/>
      <c r="K142" s="6"/>
    </row>
    <row r="143" spans="2:11">
      <c r="B143" s="1448"/>
      <c r="C143" s="95"/>
      <c r="D143" s="47" t="s">
        <v>96</v>
      </c>
      <c r="E143" s="6"/>
      <c r="F143" s="6"/>
      <c r="G143" s="6"/>
      <c r="H143" s="6"/>
      <c r="I143" s="6"/>
      <c r="J143" s="6"/>
      <c r="K143" s="6"/>
    </row>
    <row r="144" spans="2:11" ht="37.5">
      <c r="B144" s="1448"/>
      <c r="C144" s="95"/>
      <c r="D144" s="47" t="s">
        <v>767</v>
      </c>
      <c r="E144" s="6"/>
      <c r="F144" s="6"/>
      <c r="G144" s="6"/>
      <c r="H144" s="6"/>
      <c r="I144" s="6"/>
      <c r="J144" s="6"/>
      <c r="K144" s="6"/>
    </row>
    <row r="145" spans="2:11" ht="37.5">
      <c r="B145" s="1448"/>
      <c r="C145" s="95"/>
      <c r="D145" s="47" t="s">
        <v>768</v>
      </c>
      <c r="E145" s="6"/>
      <c r="F145" s="6"/>
      <c r="G145" s="6"/>
      <c r="H145" s="6"/>
      <c r="I145" s="6"/>
      <c r="J145" s="6"/>
      <c r="K145" s="6"/>
    </row>
    <row r="146" spans="2:11" ht="37.5">
      <c r="B146" s="1448"/>
      <c r="C146" s="95"/>
      <c r="D146" s="47" t="s">
        <v>769</v>
      </c>
      <c r="E146" s="6"/>
      <c r="F146" s="6"/>
      <c r="G146" s="6"/>
      <c r="H146" s="6"/>
      <c r="I146" s="6"/>
      <c r="J146" s="6"/>
      <c r="K146" s="6"/>
    </row>
    <row r="147" spans="2:11" ht="37.5">
      <c r="B147" s="1448"/>
      <c r="C147" s="95"/>
      <c r="D147" s="47" t="s">
        <v>770</v>
      </c>
      <c r="E147" s="6"/>
      <c r="F147" s="6"/>
      <c r="G147" s="6"/>
      <c r="H147" s="6"/>
      <c r="I147" s="6"/>
      <c r="J147" s="6"/>
      <c r="K147" s="6"/>
    </row>
    <row r="148" spans="2:11">
      <c r="B148" s="1448"/>
      <c r="C148" s="95"/>
      <c r="D148" s="47" t="s">
        <v>771</v>
      </c>
      <c r="E148" s="6"/>
      <c r="F148" s="6"/>
      <c r="G148" s="6"/>
      <c r="H148" s="6"/>
      <c r="I148" s="6"/>
      <c r="J148" s="6"/>
      <c r="K148" s="6"/>
    </row>
    <row r="149" spans="2:11">
      <c r="B149" s="1448"/>
      <c r="C149" s="95"/>
      <c r="D149" s="47" t="s">
        <v>772</v>
      </c>
      <c r="E149" s="6"/>
      <c r="F149" s="6"/>
      <c r="G149" s="6"/>
      <c r="H149" s="6"/>
      <c r="I149" s="6"/>
      <c r="J149" s="6"/>
      <c r="K149" s="6"/>
    </row>
    <row r="150" spans="2:11">
      <c r="B150" s="1448"/>
      <c r="C150" s="95"/>
      <c r="D150" s="47" t="s">
        <v>773</v>
      </c>
      <c r="E150" s="6"/>
      <c r="F150" s="6"/>
      <c r="G150" s="6"/>
      <c r="H150" s="6"/>
      <c r="I150" s="6"/>
      <c r="J150" s="6"/>
      <c r="K150" s="6"/>
    </row>
    <row r="151" spans="2:11">
      <c r="B151" s="1448"/>
      <c r="C151" s="95"/>
      <c r="D151" s="47" t="s">
        <v>774</v>
      </c>
      <c r="E151" s="6"/>
      <c r="F151" s="6"/>
      <c r="G151" s="6"/>
      <c r="H151" s="6"/>
      <c r="I151" s="6"/>
      <c r="J151" s="6"/>
      <c r="K151" s="6"/>
    </row>
    <row r="152" spans="2:11" ht="84">
      <c r="B152" s="1448"/>
      <c r="C152" s="95"/>
      <c r="D152" s="55" t="s">
        <v>243</v>
      </c>
      <c r="E152" s="6"/>
      <c r="F152" s="6"/>
      <c r="G152" s="6"/>
      <c r="H152" s="6"/>
      <c r="I152" s="6"/>
      <c r="J152" s="6"/>
      <c r="K152" s="6"/>
    </row>
    <row r="153" spans="2:11">
      <c r="B153" s="1448"/>
      <c r="C153" s="95"/>
      <c r="D153" s="58" t="s">
        <v>254</v>
      </c>
      <c r="E153" s="6"/>
      <c r="F153" s="6"/>
      <c r="G153" s="6"/>
      <c r="H153" s="6"/>
      <c r="I153" s="6"/>
      <c r="J153" s="6"/>
      <c r="K153" s="6"/>
    </row>
    <row r="154" spans="2:11" ht="24">
      <c r="B154" s="1448"/>
      <c r="C154" s="95"/>
      <c r="D154" s="54" t="s">
        <v>775</v>
      </c>
      <c r="E154" s="6"/>
      <c r="F154" s="6"/>
      <c r="G154" s="6"/>
      <c r="H154" s="6"/>
      <c r="I154" s="6"/>
      <c r="J154" s="6"/>
      <c r="K154" s="6"/>
    </row>
    <row r="155" spans="2:11" ht="23.1" customHeight="1">
      <c r="B155" s="1448"/>
      <c r="C155" s="95"/>
      <c r="D155" s="47" t="s">
        <v>256</v>
      </c>
      <c r="E155" s="6"/>
      <c r="F155" s="6"/>
      <c r="G155" s="6"/>
      <c r="H155" s="6"/>
      <c r="I155" s="6"/>
      <c r="J155" s="6"/>
      <c r="K155" s="6"/>
    </row>
    <row r="156" spans="2:11">
      <c r="B156" s="1448"/>
      <c r="C156" s="95"/>
      <c r="D156" s="47" t="s">
        <v>96</v>
      </c>
      <c r="E156" s="6"/>
      <c r="F156" s="6"/>
      <c r="G156" s="6"/>
      <c r="H156" s="6"/>
      <c r="I156" s="6"/>
      <c r="J156" s="6"/>
      <c r="K156" s="6"/>
    </row>
    <row r="157" spans="2:11" ht="37.5">
      <c r="B157" s="1448"/>
      <c r="C157" s="95"/>
      <c r="D157" s="47" t="s">
        <v>776</v>
      </c>
      <c r="E157" s="6"/>
      <c r="F157" s="6"/>
      <c r="G157" s="6"/>
      <c r="H157" s="6"/>
      <c r="I157" s="6"/>
      <c r="J157" s="6"/>
      <c r="K157" s="6"/>
    </row>
    <row r="158" spans="2:11" ht="37.5">
      <c r="B158" s="1448"/>
      <c r="C158" s="95"/>
      <c r="D158" s="47" t="s">
        <v>777</v>
      </c>
      <c r="E158" s="6"/>
      <c r="F158" s="6"/>
      <c r="G158" s="6"/>
      <c r="H158" s="6"/>
      <c r="I158" s="6"/>
      <c r="J158" s="6"/>
      <c r="K158" s="6"/>
    </row>
    <row r="159" spans="2:11" ht="38.25" thickBot="1">
      <c r="B159" s="1449"/>
      <c r="C159" s="3"/>
      <c r="D159" s="41" t="s">
        <v>778</v>
      </c>
      <c r="E159" s="6"/>
      <c r="F159" s="6"/>
      <c r="G159" s="6"/>
      <c r="H159" s="6"/>
      <c r="I159" s="6"/>
      <c r="J159" s="6"/>
      <c r="K159" s="6"/>
    </row>
    <row r="160" spans="2:11">
      <c r="B160" s="6"/>
      <c r="D160" s="6"/>
      <c r="E160" s="6"/>
      <c r="F160" s="6"/>
      <c r="G160" s="6"/>
      <c r="H160" s="6"/>
      <c r="I160" s="6"/>
      <c r="J160" s="6"/>
      <c r="K160" s="6"/>
    </row>
    <row r="161" spans="2:11">
      <c r="B161" s="6"/>
      <c r="D161" s="6"/>
      <c r="E161" s="6"/>
      <c r="F161" s="6"/>
      <c r="G161" s="6"/>
      <c r="H161" s="6"/>
      <c r="I161" s="6"/>
      <c r="J161" s="6"/>
      <c r="K161" s="6"/>
    </row>
    <row r="162" spans="2:11">
      <c r="B162" s="6"/>
      <c r="D162" s="6"/>
      <c r="E162" s="6"/>
      <c r="F162" s="6"/>
      <c r="G162" s="6"/>
      <c r="H162" s="6"/>
      <c r="I162" s="6"/>
      <c r="J162" s="6"/>
      <c r="K162" s="6"/>
    </row>
    <row r="163" spans="2:11">
      <c r="B163" s="6"/>
      <c r="D163" s="6"/>
      <c r="E163" s="6"/>
      <c r="F163" s="6"/>
      <c r="G163" s="6"/>
      <c r="H163" s="6"/>
      <c r="I163" s="6"/>
      <c r="J163" s="6"/>
      <c r="K163" s="6"/>
    </row>
    <row r="164" spans="2:11">
      <c r="B164" s="6"/>
      <c r="D164" s="6"/>
      <c r="E164" s="6"/>
      <c r="F164" s="6"/>
      <c r="G164" s="6"/>
      <c r="H164" s="6"/>
      <c r="I164" s="6"/>
      <c r="J164" s="6"/>
      <c r="K164" s="6"/>
    </row>
    <row r="165" spans="2:11">
      <c r="B165" s="6"/>
      <c r="D165" s="6"/>
      <c r="E165" s="6"/>
      <c r="F165" s="6"/>
      <c r="G165" s="6"/>
      <c r="H165" s="6"/>
      <c r="I165" s="6"/>
      <c r="J165" s="6"/>
      <c r="K165" s="6"/>
    </row>
    <row r="166" spans="2:11">
      <c r="B166" s="6"/>
      <c r="D166" s="6"/>
      <c r="E166" s="6"/>
      <c r="F166" s="6"/>
      <c r="G166" s="6"/>
      <c r="H166" s="6"/>
      <c r="I166" s="6"/>
      <c r="J166" s="6"/>
      <c r="K166" s="6"/>
    </row>
    <row r="167" spans="2:11">
      <c r="B167" s="6"/>
      <c r="D167" s="6"/>
      <c r="E167" s="6"/>
      <c r="F167" s="6"/>
      <c r="G167" s="6"/>
      <c r="H167" s="6"/>
      <c r="I167" s="6"/>
      <c r="J167" s="6"/>
      <c r="K167" s="6"/>
    </row>
    <row r="168" spans="2:11">
      <c r="B168" s="6"/>
      <c r="D168" s="6"/>
      <c r="E168" s="6"/>
      <c r="F168" s="6"/>
      <c r="G168" s="6"/>
      <c r="H168" s="6"/>
      <c r="I168" s="6"/>
      <c r="J168" s="6"/>
      <c r="K168" s="6"/>
    </row>
    <row r="169" spans="2:11">
      <c r="B169" s="6"/>
      <c r="D169" s="6"/>
      <c r="E169" s="6"/>
      <c r="F169" s="6"/>
      <c r="G169" s="6"/>
      <c r="H169" s="6"/>
      <c r="I169" s="6"/>
      <c r="J169" s="6"/>
      <c r="K169" s="6"/>
    </row>
    <row r="170" spans="2:11">
      <c r="B170" s="6"/>
      <c r="D170" s="6"/>
      <c r="E170" s="6"/>
      <c r="F170" s="6"/>
      <c r="G170" s="6"/>
      <c r="H170" s="6"/>
      <c r="I170" s="6"/>
      <c r="J170" s="6"/>
      <c r="K170" s="6"/>
    </row>
    <row r="171" spans="2:11">
      <c r="B171" s="6"/>
      <c r="D171" s="6"/>
      <c r="E171" s="6"/>
      <c r="F171" s="6"/>
      <c r="G171" s="6"/>
      <c r="H171" s="6"/>
      <c r="I171" s="6"/>
      <c r="J171" s="6"/>
      <c r="K171" s="6"/>
    </row>
    <row r="172" spans="2:11">
      <c r="B172" s="6"/>
      <c r="D172" s="6"/>
      <c r="E172" s="6"/>
      <c r="F172" s="6"/>
      <c r="G172" s="6"/>
      <c r="H172" s="6"/>
      <c r="I172" s="6"/>
      <c r="J172" s="6"/>
      <c r="K172" s="6"/>
    </row>
    <row r="173" spans="2:11">
      <c r="B173" s="6"/>
      <c r="D173" s="6"/>
      <c r="E173" s="6"/>
      <c r="F173" s="6"/>
      <c r="G173" s="6"/>
      <c r="H173" s="6"/>
      <c r="I173" s="6"/>
      <c r="J173" s="6"/>
      <c r="K173" s="6"/>
    </row>
    <row r="174" spans="2:11">
      <c r="B174" s="6"/>
      <c r="D174" s="6"/>
      <c r="E174" s="6"/>
      <c r="F174" s="6"/>
      <c r="G174" s="6"/>
      <c r="H174" s="6"/>
      <c r="I174" s="6"/>
      <c r="J174" s="6"/>
      <c r="K174" s="6"/>
    </row>
    <row r="175" spans="2:11">
      <c r="B175" s="6"/>
      <c r="D175" s="6"/>
      <c r="E175" s="6"/>
      <c r="F175" s="6"/>
      <c r="G175" s="6"/>
      <c r="H175" s="6"/>
      <c r="I175" s="6"/>
      <c r="J175" s="6"/>
      <c r="K175" s="6"/>
    </row>
    <row r="176" spans="2:11">
      <c r="B176" s="6"/>
      <c r="D176" s="6"/>
      <c r="E176" s="6"/>
      <c r="F176" s="6"/>
      <c r="G176" s="6"/>
      <c r="H176" s="6"/>
      <c r="I176" s="6"/>
      <c r="J176" s="6"/>
      <c r="K176" s="6"/>
    </row>
    <row r="177" spans="2:11">
      <c r="B177" s="6"/>
      <c r="D177" s="6"/>
      <c r="E177" s="6"/>
      <c r="F177" s="6"/>
      <c r="G177" s="6"/>
      <c r="H177" s="6"/>
      <c r="I177" s="6"/>
      <c r="J177" s="6"/>
      <c r="K177" s="6"/>
    </row>
    <row r="178" spans="2:11">
      <c r="B178" s="6"/>
      <c r="D178" s="6"/>
      <c r="E178" s="6"/>
      <c r="F178" s="6"/>
      <c r="G178" s="6"/>
      <c r="H178" s="6"/>
      <c r="I178" s="6"/>
      <c r="J178" s="6"/>
      <c r="K178" s="6"/>
    </row>
    <row r="179" spans="2:11">
      <c r="B179" s="6"/>
      <c r="D179" s="6"/>
      <c r="E179" s="6"/>
      <c r="F179" s="6"/>
      <c r="G179" s="6"/>
      <c r="H179" s="6"/>
      <c r="I179" s="6"/>
      <c r="J179" s="6"/>
      <c r="K179" s="6"/>
    </row>
    <row r="180" spans="2:11">
      <c r="B180" s="6"/>
      <c r="D180" s="6"/>
      <c r="E180" s="6"/>
      <c r="F180" s="6"/>
      <c r="G180" s="6"/>
      <c r="H180" s="6"/>
      <c r="I180" s="6"/>
      <c r="J180" s="6"/>
      <c r="K180" s="6"/>
    </row>
    <row r="181" spans="2:11">
      <c r="B181" s="6"/>
      <c r="D181" s="6"/>
      <c r="E181" s="6"/>
      <c r="F181" s="6"/>
      <c r="G181" s="6"/>
      <c r="H181" s="6"/>
      <c r="I181" s="6"/>
      <c r="J181" s="6"/>
      <c r="K181" s="6"/>
    </row>
    <row r="182" spans="2:11">
      <c r="B182" s="6"/>
      <c r="D182" s="6"/>
      <c r="E182" s="6"/>
      <c r="F182" s="6"/>
      <c r="G182" s="6"/>
      <c r="H182" s="6"/>
      <c r="I182" s="6"/>
      <c r="J182" s="6"/>
      <c r="K182" s="6"/>
    </row>
    <row r="183" spans="2:11">
      <c r="B183" s="6"/>
      <c r="D183" s="6"/>
      <c r="E183" s="6"/>
      <c r="F183" s="6"/>
      <c r="G183" s="6"/>
      <c r="H183" s="6"/>
      <c r="I183" s="6"/>
      <c r="J183" s="6"/>
      <c r="K183" s="6"/>
    </row>
    <row r="184" spans="2:11">
      <c r="B184" s="6"/>
      <c r="D184" s="6"/>
      <c r="E184" s="6"/>
      <c r="F184" s="6"/>
      <c r="G184" s="6"/>
      <c r="H184" s="6"/>
      <c r="I184" s="6"/>
      <c r="J184" s="6"/>
      <c r="K184" s="6"/>
    </row>
    <row r="185" spans="2:11">
      <c r="B185" s="6"/>
      <c r="D185" s="6"/>
      <c r="E185" s="6"/>
      <c r="F185" s="6"/>
      <c r="G185" s="6"/>
      <c r="H185" s="6"/>
      <c r="I185" s="6"/>
      <c r="J185" s="6"/>
      <c r="K185" s="6"/>
    </row>
    <row r="186" spans="2:11">
      <c r="B186" s="6"/>
      <c r="D186" s="6"/>
      <c r="E186" s="6"/>
      <c r="F186" s="6"/>
      <c r="G186" s="6"/>
      <c r="H186" s="6"/>
      <c r="I186" s="6"/>
      <c r="J186" s="6"/>
      <c r="K186" s="6"/>
    </row>
    <row r="187" spans="2:11">
      <c r="B187" s="6"/>
      <c r="D187" s="6"/>
      <c r="E187" s="6"/>
      <c r="F187" s="6"/>
      <c r="G187" s="6"/>
      <c r="H187" s="6"/>
      <c r="I187" s="6"/>
      <c r="J187" s="6"/>
      <c r="K187" s="6"/>
    </row>
    <row r="188" spans="2:11">
      <c r="B188" s="6"/>
      <c r="D188" s="6"/>
      <c r="E188" s="6"/>
      <c r="F188" s="6"/>
      <c r="G188" s="6"/>
      <c r="H188" s="6"/>
      <c r="I188" s="6"/>
      <c r="J188" s="6"/>
      <c r="K188" s="6"/>
    </row>
  </sheetData>
  <sheetProtection insertColumns="0" insertRows="0"/>
  <mergeCells count="36">
    <mergeCell ref="A1:P1"/>
    <mergeCell ref="A2:P2"/>
    <mergeCell ref="A3:P3"/>
    <mergeCell ref="A4:D4"/>
    <mergeCell ref="A5:P5"/>
    <mergeCell ref="B15:B19"/>
    <mergeCell ref="B59:E59"/>
    <mergeCell ref="B60:B66"/>
    <mergeCell ref="B68:E68"/>
    <mergeCell ref="B69:B75"/>
    <mergeCell ref="D15:L15"/>
    <mergeCell ref="D16:L16"/>
    <mergeCell ref="D19:L19"/>
    <mergeCell ref="D20:L20"/>
    <mergeCell ref="D36:L36"/>
    <mergeCell ref="D37:L37"/>
    <mergeCell ref="D38:L38"/>
    <mergeCell ref="D54:L54"/>
    <mergeCell ref="E21:E22"/>
    <mergeCell ref="F21:J21"/>
    <mergeCell ref="C39:C40"/>
    <mergeCell ref="D39:D40"/>
    <mergeCell ref="E39:E40"/>
    <mergeCell ref="F39:K39"/>
    <mergeCell ref="C21:C22"/>
    <mergeCell ref="D21:D22"/>
    <mergeCell ref="B82:E83"/>
    <mergeCell ref="B85:D85"/>
    <mergeCell ref="B87:B103"/>
    <mergeCell ref="B105:B140"/>
    <mergeCell ref="B141:B159"/>
    <mergeCell ref="B10:D10"/>
    <mergeCell ref="F10:S10"/>
    <mergeCell ref="F11:S11"/>
    <mergeCell ref="E12:R12"/>
    <mergeCell ref="E13:R13"/>
  </mergeCells>
  <conditionalFormatting sqref="H35">
    <cfRule type="containsText" dxfId="52" priority="5" operator="containsText" text="ERROR">
      <formula>NOT(ISERROR(SEARCH("ERROR",H35)))</formula>
    </cfRule>
  </conditionalFormatting>
  <conditionalFormatting sqref="F10">
    <cfRule type="notContainsBlanks" dxfId="51" priority="4">
      <formula>LEN(TRIM(F10))&gt;0</formula>
    </cfRule>
  </conditionalFormatting>
  <conditionalFormatting sqref="F11:S11">
    <cfRule type="expression" dxfId="50" priority="2">
      <formula>E11="NO SE REPORTA"</formula>
    </cfRule>
    <cfRule type="expression" dxfId="49" priority="3">
      <formula>E10="NO APLICA"</formula>
    </cfRule>
  </conditionalFormatting>
  <conditionalFormatting sqref="E12:R12">
    <cfRule type="expression" dxfId="48" priority="1">
      <formula>E11="SI SE REPORTA"</formula>
    </cfRule>
  </conditionalFormatting>
  <dataValidations count="6">
    <dataValidation type="whole" operator="greaterThanOrEqual" allowBlank="1" showErrorMessage="1" errorTitle="ERROR" error="Escriba un número igual o mayor que 0" promptTitle="ERROR" prompt="Escriba un número igual o mayor que 0" sqref="E18:H18">
      <formula1>0</formula1>
    </dataValidation>
    <dataValidation type="whole" operator="greaterThanOrEqual" allowBlank="1" showInputMessage="1" showErrorMessage="1" errorTitle="ERROR" error="Valor en PESOS (sin centavos)" sqref="F41:I52">
      <formula1>0</formula1>
    </dataValidation>
    <dataValidation type="decimal" allowBlank="1" showInputMessage="1" showErrorMessage="1" errorTitle="ERROR" error="Escriba un valor entre 0% y 100%" sqref="F23:H34">
      <formula1>0</formula1>
      <formula2>1</formula2>
    </dataValidation>
    <dataValidation allowBlank="1" showInputMessage="1" showErrorMessage="1" sqref="G53:I53 I23:I35 H35 J41:K53"/>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 ref="E64" r:id="rId1"/>
  </hyperlinks>
  <pageMargins left="0.25" right="0.25" top="0.75" bottom="0.75" header="0.3" footer="0.3"/>
  <pageSetup paperSize="178" orientation="landscape" horizontalDpi="1200" verticalDpi="1200"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80"/>
  <sheetViews>
    <sheetView showGridLines="0" topLeftCell="A4" zoomScale="98" zoomScaleNormal="98" workbookViewId="0">
      <selection activeCell="A4" sqref="A1:XFD1048576"/>
    </sheetView>
  </sheetViews>
  <sheetFormatPr baseColWidth="10" defaultRowHeight="15"/>
  <cols>
    <col min="1" max="1" width="1.85546875" customWidth="1"/>
    <col min="2" max="2" width="10.85546875" customWidth="1"/>
    <col min="3" max="3" width="5" style="88" bestFit="1" customWidth="1"/>
    <col min="4" max="4" width="34.85546875" customWidth="1"/>
    <col min="5" max="5" width="18.140625" customWidth="1"/>
    <col min="11" max="11" width="12" bestFit="1" customWidth="1"/>
    <col min="16" max="16" width="16.85546875" bestFit="1" customWidth="1"/>
    <col min="17" max="17" width="14.140625" bestFit="1" customWidth="1"/>
  </cols>
  <sheetData>
    <row r="1" spans="1:21" s="551" customFormat="1" ht="100.5" customHeight="1" thickBot="1">
      <c r="A1" s="1344"/>
      <c r="B1" s="1345"/>
      <c r="C1" s="1345"/>
      <c r="D1" s="1345"/>
      <c r="E1" s="1345"/>
      <c r="F1" s="1345"/>
      <c r="G1" s="1345"/>
      <c r="H1" s="1345"/>
      <c r="I1" s="1345"/>
      <c r="J1" s="1345"/>
      <c r="K1" s="1345"/>
      <c r="L1" s="1345"/>
      <c r="M1" s="1345"/>
      <c r="N1" s="1345"/>
      <c r="O1" s="1345"/>
      <c r="P1" s="1346"/>
      <c r="Q1" s="413"/>
      <c r="R1" s="413"/>
    </row>
    <row r="2" spans="1:21" s="552" customFormat="1" ht="16.5" thickBot="1">
      <c r="A2" s="1352" t="str">
        <f>'Datos Generales'!C5</f>
        <v>Corporación Autónoma Regional de La Guajira – CORPOGUAJIRA</v>
      </c>
      <c r="B2" s="1353"/>
      <c r="C2" s="1353"/>
      <c r="D2" s="1353"/>
      <c r="E2" s="1353"/>
      <c r="F2" s="1353"/>
      <c r="G2" s="1353"/>
      <c r="H2" s="1353"/>
      <c r="I2" s="1353"/>
      <c r="J2" s="1353"/>
      <c r="K2" s="1353"/>
      <c r="L2" s="1353"/>
      <c r="M2" s="1353"/>
      <c r="N2" s="1353"/>
      <c r="O2" s="1353"/>
      <c r="P2" s="1354"/>
      <c r="Q2" s="413"/>
      <c r="R2" s="413"/>
    </row>
    <row r="3" spans="1:21" s="552" customFormat="1" ht="16.5" thickBot="1">
      <c r="A3" s="1347" t="s">
        <v>1419</v>
      </c>
      <c r="B3" s="1348"/>
      <c r="C3" s="1348"/>
      <c r="D3" s="1348"/>
      <c r="E3" s="1348"/>
      <c r="F3" s="1348"/>
      <c r="G3" s="1348"/>
      <c r="H3" s="1348"/>
      <c r="I3" s="1348"/>
      <c r="J3" s="1348"/>
      <c r="K3" s="1348"/>
      <c r="L3" s="1348"/>
      <c r="M3" s="1348"/>
      <c r="N3" s="1348"/>
      <c r="O3" s="1348"/>
      <c r="P3" s="1349"/>
      <c r="Q3" s="413"/>
      <c r="R3" s="413"/>
    </row>
    <row r="4" spans="1:21" s="552" customFormat="1" ht="16.5" thickBot="1">
      <c r="A4" s="1350" t="s">
        <v>1418</v>
      </c>
      <c r="B4" s="1351"/>
      <c r="C4" s="1351"/>
      <c r="D4" s="1351"/>
      <c r="E4" s="571" t="str">
        <f>'Datos Generales'!C6</f>
        <v>2016-II</v>
      </c>
      <c r="F4" s="571"/>
      <c r="G4" s="571"/>
      <c r="H4" s="571"/>
      <c r="I4" s="571"/>
      <c r="J4" s="571"/>
      <c r="K4" s="571"/>
      <c r="L4" s="572"/>
      <c r="M4" s="572"/>
      <c r="N4" s="572"/>
      <c r="O4" s="572"/>
      <c r="P4" s="573"/>
      <c r="Q4" s="413"/>
      <c r="R4" s="413"/>
    </row>
    <row r="5" spans="1:21" s="245" customFormat="1" ht="16.5" customHeight="1" thickBot="1">
      <c r="A5" s="1347" t="s">
        <v>790</v>
      </c>
      <c r="B5" s="1348"/>
      <c r="C5" s="1348"/>
      <c r="D5" s="1348"/>
      <c r="E5" s="1348"/>
      <c r="F5" s="1348"/>
      <c r="G5" s="1348"/>
      <c r="H5" s="1348"/>
      <c r="I5" s="1348"/>
      <c r="J5" s="1348"/>
      <c r="K5" s="1348"/>
      <c r="L5" s="1348"/>
      <c r="M5" s="1348"/>
      <c r="N5" s="1348"/>
      <c r="O5" s="1348"/>
      <c r="P5" s="1349"/>
    </row>
    <row r="6" spans="1:21">
      <c r="B6" s="2" t="s">
        <v>1</v>
      </c>
      <c r="C6" s="77"/>
      <c r="D6" s="6"/>
      <c r="E6" s="75"/>
      <c r="F6" s="6" t="s">
        <v>133</v>
      </c>
      <c r="G6" s="6"/>
      <c r="H6" s="6"/>
      <c r="I6" s="6"/>
      <c r="J6" s="6"/>
      <c r="K6" s="6"/>
    </row>
    <row r="7" spans="1:21" ht="15.75" thickBot="1">
      <c r="B7" s="76"/>
      <c r="C7" s="78"/>
      <c r="D7" s="6"/>
      <c r="E7" s="18"/>
      <c r="F7" s="6" t="s">
        <v>134</v>
      </c>
      <c r="G7" s="6"/>
      <c r="H7" s="6"/>
      <c r="I7" s="6"/>
      <c r="J7" s="6"/>
      <c r="K7" s="6"/>
    </row>
    <row r="8" spans="1:21" ht="15.75" thickBot="1">
      <c r="B8" s="177" t="s">
        <v>1204</v>
      </c>
      <c r="C8" s="222">
        <v>2017</v>
      </c>
      <c r="D8" s="226">
        <f>IF(E10="NO APLICA","NO APLICA",IF(E11="NO SE REPORTA","SIN INFORMACION",+E42))</f>
        <v>0.16500000000000001</v>
      </c>
      <c r="E8" s="223"/>
      <c r="F8" s="6" t="s">
        <v>135</v>
      </c>
      <c r="G8" s="6"/>
      <c r="H8" s="6"/>
      <c r="I8" s="6"/>
      <c r="J8" s="6"/>
      <c r="K8" s="6"/>
    </row>
    <row r="9" spans="1:21">
      <c r="B9" s="507" t="s">
        <v>1205</v>
      </c>
      <c r="D9" s="6"/>
      <c r="E9" s="6"/>
      <c r="F9" s="6"/>
      <c r="G9" s="6"/>
      <c r="H9" s="6"/>
      <c r="I9" s="6"/>
      <c r="J9" s="6"/>
      <c r="K9" s="6"/>
    </row>
    <row r="10" spans="1:21" s="413" customFormat="1">
      <c r="A10" s="245"/>
      <c r="B10" s="1412" t="s">
        <v>1265</v>
      </c>
      <c r="C10" s="1412"/>
      <c r="D10" s="1412"/>
      <c r="E10" s="513" t="s">
        <v>1262</v>
      </c>
      <c r="F10" s="1419"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420"/>
      <c r="H10" s="1420"/>
      <c r="I10" s="1420"/>
      <c r="J10" s="1420"/>
      <c r="K10" s="1420"/>
      <c r="L10" s="1420"/>
      <c r="M10" s="1420"/>
      <c r="N10" s="1420"/>
      <c r="O10" s="1420"/>
      <c r="P10" s="1420"/>
      <c r="Q10" s="1420"/>
      <c r="R10" s="1420"/>
      <c r="S10" s="1420"/>
      <c r="T10" s="509"/>
      <c r="U10" s="509"/>
    </row>
    <row r="11" spans="1:21" s="413" customFormat="1" ht="14.45" customHeight="1">
      <c r="A11" s="245"/>
      <c r="B11" s="510"/>
      <c r="C11" s="511"/>
      <c r="D11" s="512" t="str">
        <f>IF(E10="SI APLICA","¿El indicador no se reporta por limitaciones de información disponible? ","")</f>
        <v xml:space="preserve">¿El indicador no se reporta por limitaciones de información disponible? </v>
      </c>
      <c r="E11" s="514" t="s">
        <v>1264</v>
      </c>
      <c r="F11" s="1413"/>
      <c r="G11" s="1414"/>
      <c r="H11" s="1414"/>
      <c r="I11" s="1414"/>
      <c r="J11" s="1414"/>
      <c r="K11" s="1414"/>
      <c r="L11" s="1414"/>
      <c r="M11" s="1414"/>
      <c r="N11" s="1414"/>
      <c r="O11" s="1414"/>
      <c r="P11" s="1414"/>
      <c r="Q11" s="1414"/>
      <c r="R11" s="1414"/>
      <c r="S11" s="1414"/>
    </row>
    <row r="12" spans="1:21" s="413" customFormat="1" ht="23.45" customHeight="1">
      <c r="A12" s="245"/>
      <c r="B12" s="507"/>
      <c r="C12" s="304"/>
      <c r="D12" s="512" t="str">
        <f>IF(E11="SI SE REPORTA","¿Qué programas o proyectos del Plan de Acción están asociados al indicador? ","")</f>
        <v xml:space="preserve">¿Qué programas o proyectos del Plan de Acción están asociados al indicador? </v>
      </c>
      <c r="E12" s="1415" t="str">
        <f>'Anexo 1 Matriz Inf Gestión'!E67:H67</f>
        <v>Proyecto No 3.3. Negocios verdes y sostenibles (8).</v>
      </c>
      <c r="F12" s="1415"/>
      <c r="G12" s="1415"/>
      <c r="H12" s="1415"/>
      <c r="I12" s="1415"/>
      <c r="J12" s="1415"/>
      <c r="K12" s="1415"/>
      <c r="L12" s="1415"/>
      <c r="M12" s="1415"/>
      <c r="N12" s="1415"/>
      <c r="O12" s="1415"/>
      <c r="P12" s="1415"/>
      <c r="Q12" s="1415"/>
      <c r="R12" s="1415"/>
    </row>
    <row r="13" spans="1:21" s="413" customFormat="1" ht="21.95" customHeight="1">
      <c r="A13" s="245"/>
      <c r="B13" s="507"/>
      <c r="C13" s="304"/>
      <c r="D13" s="512" t="s">
        <v>1267</v>
      </c>
      <c r="E13" s="1416"/>
      <c r="F13" s="1417"/>
      <c r="G13" s="1417"/>
      <c r="H13" s="1417"/>
      <c r="I13" s="1417"/>
      <c r="J13" s="1417"/>
      <c r="K13" s="1417"/>
      <c r="L13" s="1417"/>
      <c r="M13" s="1417"/>
      <c r="N13" s="1417"/>
      <c r="O13" s="1417"/>
      <c r="P13" s="1417"/>
      <c r="Q13" s="1417"/>
      <c r="R13" s="1418"/>
    </row>
    <row r="14" spans="1:21" s="413" customFormat="1" ht="6.95" customHeight="1" thickBot="1">
      <c r="B14" s="507"/>
      <c r="C14" s="88"/>
      <c r="D14" s="6"/>
      <c r="E14" s="6"/>
      <c r="F14" s="6"/>
      <c r="G14" s="6"/>
      <c r="H14" s="6"/>
      <c r="I14" s="6"/>
      <c r="J14" s="6"/>
      <c r="K14" s="6"/>
    </row>
    <row r="15" spans="1:21" ht="15.6" customHeight="1" thickTop="1" thickBot="1">
      <c r="B15" s="1503" t="s">
        <v>2</v>
      </c>
      <c r="C15" s="90"/>
      <c r="D15" s="1458" t="s">
        <v>344</v>
      </c>
      <c r="E15" s="1459"/>
      <c r="F15" s="1459"/>
      <c r="G15" s="1459"/>
      <c r="H15" s="1459"/>
      <c r="I15" s="1459"/>
      <c r="J15" s="1459"/>
      <c r="K15" s="1459"/>
      <c r="L15" s="1509"/>
    </row>
    <row r="16" spans="1:21" ht="15.75" thickBot="1">
      <c r="B16" s="1504"/>
      <c r="C16" s="91" t="s">
        <v>24</v>
      </c>
      <c r="D16" s="39" t="s">
        <v>261</v>
      </c>
      <c r="E16" s="39" t="s">
        <v>25</v>
      </c>
      <c r="F16" s="39" t="s">
        <v>26</v>
      </c>
      <c r="G16" s="39" t="s">
        <v>27</v>
      </c>
      <c r="H16" s="39" t="s">
        <v>28</v>
      </c>
      <c r="I16" s="39" t="s">
        <v>262</v>
      </c>
      <c r="J16" s="6"/>
      <c r="L16" s="22"/>
    </row>
    <row r="17" spans="2:17" ht="48.75" thickBot="1">
      <c r="B17" s="1504"/>
      <c r="C17" s="92" t="s">
        <v>158</v>
      </c>
      <c r="D17" s="41" t="s">
        <v>841</v>
      </c>
      <c r="E17" s="7">
        <v>3</v>
      </c>
      <c r="F17" s="7">
        <v>3</v>
      </c>
      <c r="G17" s="7">
        <v>3</v>
      </c>
      <c r="H17" s="7">
        <v>3</v>
      </c>
      <c r="I17" s="43">
        <f>SUM(E17:H17)/4</f>
        <v>3</v>
      </c>
      <c r="J17" s="6"/>
      <c r="L17" s="22"/>
    </row>
    <row r="18" spans="2:17" ht="15.75" thickBot="1">
      <c r="B18" s="1504"/>
      <c r="C18" s="92" t="s">
        <v>160</v>
      </c>
      <c r="D18" s="41" t="s">
        <v>785</v>
      </c>
      <c r="E18" s="197">
        <v>113192540</v>
      </c>
      <c r="F18" s="197">
        <f>84830493</f>
        <v>84830493</v>
      </c>
      <c r="G18" s="197"/>
      <c r="H18" s="197"/>
      <c r="I18" s="142">
        <f t="shared" ref="I18:I19" si="0">SUM(E18:H18)</f>
        <v>198023033</v>
      </c>
      <c r="J18" s="6"/>
      <c r="L18" s="22"/>
    </row>
    <row r="19" spans="2:17" ht="15.75" thickBot="1">
      <c r="B19" s="1504"/>
      <c r="C19" s="92" t="s">
        <v>162</v>
      </c>
      <c r="D19" s="41" t="s">
        <v>842</v>
      </c>
      <c r="E19" s="197">
        <v>2185857152</v>
      </c>
      <c r="F19" s="197">
        <f>84830493-32000000</f>
        <v>52830493</v>
      </c>
      <c r="G19" s="197"/>
      <c r="H19" s="197"/>
      <c r="I19" s="142">
        <f t="shared" si="0"/>
        <v>2238687645</v>
      </c>
      <c r="J19" s="6"/>
      <c r="L19" s="22"/>
    </row>
    <row r="20" spans="2:17">
      <c r="B20" s="437"/>
      <c r="C20" s="93"/>
      <c r="D20" s="1464"/>
      <c r="E20" s="1465"/>
      <c r="F20" s="1465"/>
      <c r="G20" s="1465"/>
      <c r="H20" s="1465"/>
      <c r="I20" s="1465"/>
      <c r="J20" s="1465"/>
      <c r="K20" s="1465"/>
      <c r="L20" s="1516"/>
    </row>
    <row r="21" spans="2:17" ht="15.75" thickBot="1">
      <c r="B21" s="437"/>
      <c r="C21" s="93"/>
      <c r="D21" s="1492" t="s">
        <v>843</v>
      </c>
      <c r="E21" s="1493"/>
      <c r="F21" s="1493"/>
      <c r="G21" s="1493"/>
      <c r="H21" s="1493"/>
      <c r="I21" s="1493"/>
      <c r="J21" s="1493"/>
      <c r="K21" s="1493"/>
      <c r="L21" s="1518"/>
    </row>
    <row r="22" spans="2:17" ht="15" customHeight="1" thickBot="1">
      <c r="B22" s="437"/>
      <c r="C22" s="1520" t="s">
        <v>24</v>
      </c>
      <c r="D22" s="1447" t="s">
        <v>278</v>
      </c>
      <c r="E22" s="1447" t="s">
        <v>628</v>
      </c>
      <c r="F22" s="1453" t="s">
        <v>629</v>
      </c>
      <c r="G22" s="1455"/>
      <c r="H22" s="1453" t="s">
        <v>702</v>
      </c>
      <c r="I22" s="1454"/>
      <c r="J22" s="1454"/>
      <c r="K22" s="1455"/>
      <c r="L22" s="120"/>
    </row>
    <row r="23" spans="2:17" ht="34.5" thickBot="1">
      <c r="B23" s="437"/>
      <c r="C23" s="1521"/>
      <c r="D23" s="1449"/>
      <c r="E23" s="1449"/>
      <c r="F23" s="66" t="s">
        <v>630</v>
      </c>
      <c r="G23" s="67" t="s">
        <v>631</v>
      </c>
      <c r="H23" s="66" t="s">
        <v>785</v>
      </c>
      <c r="I23" s="66" t="s">
        <v>352</v>
      </c>
      <c r="J23" s="66" t="s">
        <v>282</v>
      </c>
      <c r="K23" s="66" t="s">
        <v>283</v>
      </c>
      <c r="L23" s="12"/>
    </row>
    <row r="24" spans="2:17" ht="24.75" thickBot="1">
      <c r="B24" s="437"/>
      <c r="C24" s="379">
        <v>1</v>
      </c>
      <c r="D24" s="31" t="s">
        <v>1215</v>
      </c>
      <c r="E24" s="30" t="s">
        <v>844</v>
      </c>
      <c r="F24" s="32"/>
      <c r="G24" s="32"/>
      <c r="H24" s="197"/>
      <c r="I24" s="197"/>
      <c r="J24" s="197"/>
      <c r="K24" s="197"/>
      <c r="L24" s="12"/>
    </row>
    <row r="25" spans="2:17" ht="72.75" thickBot="1">
      <c r="B25" s="437"/>
      <c r="C25" s="379">
        <v>2</v>
      </c>
      <c r="D25" s="31" t="s">
        <v>1756</v>
      </c>
      <c r="E25" s="30" t="s">
        <v>845</v>
      </c>
      <c r="F25" s="1102">
        <v>1</v>
      </c>
      <c r="G25" s="1102">
        <v>0.16500000000000001</v>
      </c>
      <c r="H25" s="1101">
        <v>17545356</v>
      </c>
      <c r="I25" s="1101">
        <v>17545356</v>
      </c>
      <c r="J25" s="1101">
        <v>3346071</v>
      </c>
      <c r="K25" s="1103">
        <v>3297671</v>
      </c>
      <c r="L25" s="12"/>
      <c r="P25" s="1104"/>
    </row>
    <row r="26" spans="2:17" ht="36.75" thickBot="1">
      <c r="B26" s="437"/>
      <c r="C26" s="379">
        <v>3</v>
      </c>
      <c r="D26" s="31" t="s">
        <v>1755</v>
      </c>
      <c r="E26" s="30" t="s">
        <v>846</v>
      </c>
      <c r="F26" s="1102">
        <v>1</v>
      </c>
      <c r="G26" s="1102">
        <v>0.16500000000000001</v>
      </c>
      <c r="H26" s="1101">
        <v>49739781</v>
      </c>
      <c r="I26" s="1101">
        <v>17545356</v>
      </c>
      <c r="J26" s="1101">
        <v>9894901</v>
      </c>
      <c r="K26" s="1103">
        <v>7887036</v>
      </c>
      <c r="L26" s="12"/>
      <c r="P26" s="1074"/>
    </row>
    <row r="27" spans="2:17" ht="48.75" thickBot="1">
      <c r="B27" s="437"/>
      <c r="C27" s="379">
        <v>4</v>
      </c>
      <c r="D27" s="31" t="s">
        <v>1754</v>
      </c>
      <c r="E27" s="30" t="s">
        <v>847</v>
      </c>
      <c r="F27" s="1102">
        <v>1</v>
      </c>
      <c r="G27" s="1102">
        <v>0.16500000000000001</v>
      </c>
      <c r="H27" s="1101">
        <v>17545356</v>
      </c>
      <c r="I27" s="1101">
        <v>17739781</v>
      </c>
      <c r="J27" s="1101">
        <v>9894902</v>
      </c>
      <c r="K27" s="1103">
        <v>7887036</v>
      </c>
      <c r="L27" s="12"/>
      <c r="P27" s="1105"/>
      <c r="Q27" s="1074"/>
    </row>
    <row r="28" spans="2:17" ht="15.75" thickBot="1">
      <c r="B28" s="437"/>
      <c r="C28" s="379">
        <v>5</v>
      </c>
      <c r="D28" s="31"/>
      <c r="E28" s="30"/>
      <c r="F28" s="32"/>
      <c r="G28" s="32"/>
      <c r="H28" s="197"/>
      <c r="I28" s="197"/>
      <c r="J28" s="197"/>
      <c r="K28" s="197"/>
      <c r="L28" s="12"/>
    </row>
    <row r="29" spans="2:17" ht="24.75" thickBot="1">
      <c r="B29" s="437"/>
      <c r="C29" s="379">
        <v>6</v>
      </c>
      <c r="D29" s="31" t="s">
        <v>1216</v>
      </c>
      <c r="E29" s="30" t="s">
        <v>848</v>
      </c>
      <c r="F29" s="32"/>
      <c r="G29" s="32"/>
      <c r="H29" s="197"/>
      <c r="I29" s="197"/>
      <c r="J29" s="197"/>
      <c r="K29" s="197"/>
      <c r="L29" s="12"/>
      <c r="P29" s="1074"/>
    </row>
    <row r="30" spans="2:17" ht="15.75" thickBot="1">
      <c r="B30" s="437"/>
      <c r="C30" s="77"/>
      <c r="D30" s="46" t="s">
        <v>157</v>
      </c>
      <c r="E30" s="132"/>
      <c r="F30" s="133"/>
      <c r="G30" s="134"/>
      <c r="H30" s="143">
        <f>SUM(H24:H29)</f>
        <v>84830493</v>
      </c>
      <c r="I30" s="143">
        <f t="shared" ref="I30:K30" si="1">SUM(I24:I29)</f>
        <v>52830493</v>
      </c>
      <c r="J30" s="143">
        <f t="shared" si="1"/>
        <v>23135874</v>
      </c>
      <c r="K30" s="143">
        <f t="shared" si="1"/>
        <v>19071743</v>
      </c>
      <c r="L30" s="13"/>
    </row>
    <row r="31" spans="2:17">
      <c r="B31" s="437"/>
      <c r="C31" s="93"/>
      <c r="D31" s="1464" t="s">
        <v>849</v>
      </c>
      <c r="E31" s="1465"/>
      <c r="F31" s="1465"/>
      <c r="G31" s="1465"/>
      <c r="H31" s="1465"/>
      <c r="I31" s="1465"/>
      <c r="J31" s="1465"/>
      <c r="K31" s="1465"/>
      <c r="L31" s="1516"/>
      <c r="P31" s="1106"/>
    </row>
    <row r="32" spans="2:17" ht="24" customHeight="1" thickBot="1">
      <c r="B32" s="437"/>
      <c r="C32" s="93"/>
      <c r="D32" s="1464" t="s">
        <v>850</v>
      </c>
      <c r="E32" s="1465"/>
      <c r="F32" s="1465"/>
      <c r="G32" s="1465"/>
      <c r="H32" s="1465"/>
      <c r="I32" s="1465"/>
      <c r="J32" s="1465"/>
      <c r="K32" s="1465"/>
      <c r="L32" s="1516"/>
      <c r="P32" s="1074"/>
    </row>
    <row r="33" spans="2:16" ht="15.75" thickBot="1">
      <c r="B33" s="437"/>
      <c r="C33" s="1607" t="s">
        <v>24</v>
      </c>
      <c r="D33" s="1572" t="s">
        <v>711</v>
      </c>
      <c r="E33" s="68" t="s">
        <v>851</v>
      </c>
      <c r="F33" s="1575" t="s">
        <v>712</v>
      </c>
      <c r="G33" s="1576"/>
      <c r="H33" s="1610" t="s">
        <v>60</v>
      </c>
      <c r="I33" s="6"/>
      <c r="J33" s="6"/>
      <c r="L33" s="22"/>
    </row>
    <row r="34" spans="2:16">
      <c r="B34" s="437"/>
      <c r="C34" s="1608"/>
      <c r="D34" s="1573"/>
      <c r="E34" s="1447" t="s">
        <v>852</v>
      </c>
      <c r="F34" s="1447" t="s">
        <v>713</v>
      </c>
      <c r="G34" s="47" t="s">
        <v>714</v>
      </c>
      <c r="H34" s="1611"/>
      <c r="I34" s="6"/>
      <c r="J34" s="6"/>
      <c r="L34" s="22"/>
      <c r="P34" s="1074"/>
    </row>
    <row r="35" spans="2:16" ht="24.75" thickBot="1">
      <c r="B35" s="437"/>
      <c r="C35" s="1609"/>
      <c r="D35" s="1574"/>
      <c r="E35" s="1449"/>
      <c r="F35" s="1449"/>
      <c r="G35" s="41" t="s">
        <v>704</v>
      </c>
      <c r="H35" s="1612"/>
      <c r="I35" s="6"/>
      <c r="J35" s="6"/>
      <c r="L35" s="22"/>
    </row>
    <row r="36" spans="2:16" ht="15.75" thickBot="1">
      <c r="B36" s="437"/>
      <c r="C36" s="456">
        <v>1</v>
      </c>
      <c r="D36" s="487"/>
      <c r="E36" s="32">
        <f>+G24</f>
        <v>0</v>
      </c>
      <c r="F36" s="148">
        <f>IFERROR(J24/I24,0)</f>
        <v>0</v>
      </c>
      <c r="G36" s="148">
        <f t="shared" ref="G36:G41" si="2">IFERROR(K24/I24,0)</f>
        <v>0</v>
      </c>
      <c r="H36" s="31"/>
      <c r="I36" s="6"/>
      <c r="J36" s="6"/>
      <c r="L36" s="22"/>
    </row>
    <row r="37" spans="2:16" ht="15.75" thickBot="1">
      <c r="B37" s="437"/>
      <c r="C37" s="456">
        <v>2</v>
      </c>
      <c r="D37" s="487">
        <v>0.33</v>
      </c>
      <c r="E37" s="32">
        <f t="shared" ref="E37:E41" si="3">+G25</f>
        <v>0.16500000000000001</v>
      </c>
      <c r="F37" s="148">
        <f t="shared" ref="F37:F41" si="4">IFERROR(J25/I25,0)</f>
        <v>0.19070978098136054</v>
      </c>
      <c r="G37" s="148">
        <f t="shared" si="2"/>
        <v>0.18795121626486233</v>
      </c>
      <c r="H37" s="31"/>
      <c r="I37" s="6"/>
      <c r="J37" s="6"/>
      <c r="L37" s="22"/>
    </row>
    <row r="38" spans="2:16" ht="15.75" thickBot="1">
      <c r="B38" s="437"/>
      <c r="C38" s="456">
        <v>3</v>
      </c>
      <c r="D38" s="487">
        <v>0.33</v>
      </c>
      <c r="E38" s="32">
        <f t="shared" si="3"/>
        <v>0.16500000000000001</v>
      </c>
      <c r="F38" s="148">
        <f t="shared" si="4"/>
        <v>0.56396125561658594</v>
      </c>
      <c r="G38" s="148">
        <f t="shared" si="2"/>
        <v>0.44952271130890703</v>
      </c>
      <c r="H38" s="31"/>
      <c r="I38" s="6"/>
      <c r="J38" s="6"/>
      <c r="L38" s="22"/>
    </row>
    <row r="39" spans="2:16" ht="15.75" thickBot="1">
      <c r="B39" s="437"/>
      <c r="C39" s="456">
        <v>4</v>
      </c>
      <c r="D39" s="487">
        <v>0.34</v>
      </c>
      <c r="E39" s="32">
        <f t="shared" si="3"/>
        <v>0.16500000000000001</v>
      </c>
      <c r="F39" s="148">
        <f t="shared" si="4"/>
        <v>0.55778039199018292</v>
      </c>
      <c r="G39" s="148">
        <f t="shared" si="2"/>
        <v>0.44459601840631519</v>
      </c>
      <c r="H39" s="31"/>
      <c r="I39" s="6"/>
      <c r="J39" s="6"/>
      <c r="L39" s="22"/>
    </row>
    <row r="40" spans="2:16" ht="15.75" thickBot="1">
      <c r="B40" s="437"/>
      <c r="C40" s="456">
        <v>5</v>
      </c>
      <c r="D40" s="487"/>
      <c r="E40" s="32">
        <f t="shared" si="3"/>
        <v>0</v>
      </c>
      <c r="F40" s="148">
        <f t="shared" si="4"/>
        <v>0</v>
      </c>
      <c r="G40" s="148">
        <f t="shared" si="2"/>
        <v>0</v>
      </c>
      <c r="H40" s="31"/>
      <c r="I40" s="6"/>
      <c r="J40" s="6"/>
      <c r="L40" s="22"/>
    </row>
    <row r="41" spans="2:16" ht="15.75" thickBot="1">
      <c r="B41" s="437"/>
      <c r="C41" s="456">
        <v>6</v>
      </c>
      <c r="D41" s="487"/>
      <c r="E41" s="32">
        <f t="shared" si="3"/>
        <v>0</v>
      </c>
      <c r="F41" s="148">
        <f t="shared" si="4"/>
        <v>0</v>
      </c>
      <c r="G41" s="148">
        <f t="shared" si="2"/>
        <v>0</v>
      </c>
      <c r="H41" s="31"/>
      <c r="I41" s="6"/>
      <c r="J41" s="6"/>
      <c r="L41" s="22"/>
    </row>
    <row r="42" spans="2:16" ht="15.75" thickBot="1">
      <c r="B42" s="438"/>
      <c r="C42" s="107"/>
      <c r="D42" s="207">
        <f>Formulas!$D$24</f>
        <v>1</v>
      </c>
      <c r="E42" s="215">
        <f>+D36*E36+D37*E37+D38*E38+D39*E39+D40*E40+D41*E41</f>
        <v>0.16500000000000001</v>
      </c>
      <c r="F42" s="215">
        <f>+D36*F36+D37*F37+D38*F38+D39*F39+D40*F40+D41*F41</f>
        <v>0.43868677535398459</v>
      </c>
      <c r="G42" s="148">
        <f>Formulas!F24</f>
        <v>0.82433639636868705</v>
      </c>
      <c r="H42" s="31"/>
      <c r="I42" s="23"/>
      <c r="J42" s="23"/>
      <c r="K42" s="23"/>
      <c r="L42" s="24"/>
      <c r="N42" t="s">
        <v>1214</v>
      </c>
    </row>
    <row r="43" spans="2:16" ht="15.75" thickBot="1">
      <c r="B43" s="38"/>
      <c r="C43" s="89"/>
      <c r="D43" s="6"/>
      <c r="E43" s="6"/>
      <c r="F43" s="6"/>
      <c r="G43" s="6"/>
      <c r="H43" s="6"/>
      <c r="I43" s="6"/>
      <c r="J43" s="6"/>
      <c r="K43" s="6"/>
    </row>
    <row r="44" spans="2:16" ht="108.75" thickBot="1">
      <c r="B44" s="53" t="s">
        <v>39</v>
      </c>
      <c r="C44" s="99"/>
      <c r="D44" s="44" t="s">
        <v>853</v>
      </c>
      <c r="E44" s="6"/>
      <c r="F44" s="6"/>
      <c r="G44" s="6"/>
      <c r="H44" s="6"/>
      <c r="I44" s="6"/>
      <c r="J44" s="6"/>
      <c r="K44" s="6"/>
    </row>
    <row r="45" spans="2:16" ht="48.6" customHeight="1" thickBot="1">
      <c r="B45" s="48" t="s">
        <v>41</v>
      </c>
      <c r="C45" s="3"/>
      <c r="D45" s="41" t="s">
        <v>354</v>
      </c>
      <c r="E45" s="6"/>
      <c r="F45" s="6"/>
      <c r="G45" s="6"/>
      <c r="H45" s="6"/>
      <c r="I45" s="6"/>
      <c r="J45" s="6"/>
      <c r="K45" s="6"/>
    </row>
    <row r="46" spans="2:16" ht="15.75" thickBot="1">
      <c r="B46" s="2"/>
      <c r="C46" s="77"/>
      <c r="D46" s="6"/>
      <c r="E46" s="6"/>
      <c r="F46" s="6"/>
      <c r="G46" s="6"/>
      <c r="H46" s="6"/>
      <c r="I46" s="6"/>
      <c r="J46" s="6"/>
      <c r="K46" s="6"/>
    </row>
    <row r="47" spans="2:16" ht="24" customHeight="1" thickBot="1">
      <c r="B47" s="1450" t="s">
        <v>43</v>
      </c>
      <c r="C47" s="1451"/>
      <c r="D47" s="1451"/>
      <c r="E47" s="1452"/>
      <c r="F47" s="6"/>
      <c r="G47" s="6"/>
      <c r="H47" s="6"/>
      <c r="I47" s="6"/>
      <c r="J47" s="6"/>
      <c r="K47" s="6"/>
    </row>
    <row r="48" spans="2:16" ht="15.75" thickBot="1">
      <c r="B48" s="1447">
        <v>1</v>
      </c>
      <c r="C48" s="95"/>
      <c r="D48" s="49" t="s">
        <v>44</v>
      </c>
      <c r="E48" s="167" t="s">
        <v>1642</v>
      </c>
      <c r="F48" s="6"/>
      <c r="G48" s="6"/>
      <c r="H48" s="6"/>
      <c r="I48" s="6"/>
      <c r="J48" s="6"/>
      <c r="K48" s="6"/>
    </row>
    <row r="49" spans="2:11" ht="15.75" thickBot="1">
      <c r="B49" s="1448"/>
      <c r="C49" s="95"/>
      <c r="D49" s="41" t="s">
        <v>45</v>
      </c>
      <c r="E49" s="167" t="s">
        <v>1757</v>
      </c>
      <c r="F49" s="6"/>
      <c r="G49" s="6"/>
      <c r="H49" s="6"/>
      <c r="I49" s="6"/>
      <c r="J49" s="6"/>
      <c r="K49" s="6"/>
    </row>
    <row r="50" spans="2:11" ht="15.75" thickBot="1">
      <c r="B50" s="1448"/>
      <c r="C50" s="95"/>
      <c r="D50" s="41" t="s">
        <v>46</v>
      </c>
      <c r="E50" s="167" t="s">
        <v>1758</v>
      </c>
      <c r="F50" s="6"/>
      <c r="G50" s="6"/>
      <c r="H50" s="6"/>
      <c r="I50" s="6"/>
      <c r="J50" s="6"/>
      <c r="K50" s="6"/>
    </row>
    <row r="51" spans="2:11" ht="15.75" thickBot="1">
      <c r="B51" s="1448"/>
      <c r="C51" s="95"/>
      <c r="D51" s="41" t="s">
        <v>47</v>
      </c>
      <c r="E51" s="167" t="s">
        <v>1660</v>
      </c>
      <c r="F51" s="6"/>
      <c r="G51" s="6"/>
      <c r="H51" s="6"/>
      <c r="I51" s="6"/>
      <c r="J51" s="6"/>
      <c r="K51" s="6"/>
    </row>
    <row r="52" spans="2:11" ht="15.75" thickBot="1">
      <c r="B52" s="1448"/>
      <c r="C52" s="95"/>
      <c r="D52" s="41" t="s">
        <v>48</v>
      </c>
      <c r="E52" s="1049" t="s">
        <v>1731</v>
      </c>
      <c r="F52" s="6"/>
      <c r="G52" s="6"/>
      <c r="H52" s="6"/>
      <c r="I52" s="6"/>
      <c r="J52" s="6"/>
      <c r="K52" s="6"/>
    </row>
    <row r="53" spans="2:11" ht="15.75" thickBot="1">
      <c r="B53" s="1448"/>
      <c r="C53" s="95"/>
      <c r="D53" s="41" t="s">
        <v>49</v>
      </c>
      <c r="E53" s="167" t="s">
        <v>1759</v>
      </c>
      <c r="F53" s="6"/>
      <c r="G53" s="6"/>
      <c r="H53" s="6"/>
      <c r="I53" s="6"/>
      <c r="J53" s="6"/>
      <c r="K53" s="6"/>
    </row>
    <row r="54" spans="2:11" ht="15.75" thickBot="1">
      <c r="B54" s="1449"/>
      <c r="C54" s="3"/>
      <c r="D54" s="41" t="s">
        <v>50</v>
      </c>
      <c r="E54" s="167" t="s">
        <v>1733</v>
      </c>
      <c r="F54" s="6"/>
      <c r="G54" s="6"/>
      <c r="H54" s="6"/>
      <c r="I54" s="6"/>
      <c r="J54" s="6"/>
      <c r="K54" s="6"/>
    </row>
    <row r="55" spans="2:11" ht="15.75" thickBot="1">
      <c r="B55" s="2"/>
      <c r="C55" s="77"/>
      <c r="D55" s="6"/>
      <c r="E55" s="6"/>
      <c r="F55" s="6"/>
      <c r="G55" s="6"/>
      <c r="H55" s="6"/>
      <c r="I55" s="6"/>
      <c r="J55" s="6"/>
      <c r="K55" s="6"/>
    </row>
    <row r="56" spans="2:11" ht="15.75" thickBot="1">
      <c r="B56" s="1450" t="s">
        <v>51</v>
      </c>
      <c r="C56" s="1451"/>
      <c r="D56" s="1451"/>
      <c r="E56" s="1452"/>
      <c r="F56" s="6"/>
      <c r="G56" s="6"/>
      <c r="H56" s="6"/>
      <c r="I56" s="6"/>
      <c r="J56" s="6"/>
      <c r="K56" s="6"/>
    </row>
    <row r="57" spans="2:11" ht="15.75" thickBot="1">
      <c r="B57" s="1447">
        <v>1</v>
      </c>
      <c r="C57" s="95"/>
      <c r="D57" s="49" t="s">
        <v>44</v>
      </c>
      <c r="E57" s="445" t="s">
        <v>52</v>
      </c>
      <c r="F57" s="6"/>
      <c r="G57" s="6"/>
      <c r="H57" s="6"/>
      <c r="I57" s="6"/>
      <c r="J57" s="6"/>
      <c r="K57" s="6"/>
    </row>
    <row r="58" spans="2:11" ht="15.75" thickBot="1">
      <c r="B58" s="1448"/>
      <c r="C58" s="95"/>
      <c r="D58" s="41" t="s">
        <v>45</v>
      </c>
      <c r="E58" s="445" t="s">
        <v>166</v>
      </c>
      <c r="F58" s="6"/>
      <c r="G58" s="6"/>
      <c r="H58" s="6"/>
      <c r="I58" s="6"/>
      <c r="J58" s="6"/>
      <c r="K58" s="6"/>
    </row>
    <row r="59" spans="2:11" ht="15.75" thickBot="1">
      <c r="B59" s="1448"/>
      <c r="C59" s="95"/>
      <c r="D59" s="41" t="s">
        <v>46</v>
      </c>
      <c r="E59" s="172"/>
      <c r="F59" s="6"/>
      <c r="G59" s="6"/>
      <c r="H59" s="6"/>
      <c r="I59" s="6"/>
      <c r="J59" s="6"/>
      <c r="K59" s="6"/>
    </row>
    <row r="60" spans="2:11" ht="15.75" thickBot="1">
      <c r="B60" s="1448"/>
      <c r="C60" s="95"/>
      <c r="D60" s="41" t="s">
        <v>47</v>
      </c>
      <c r="E60" s="172"/>
      <c r="F60" s="6"/>
      <c r="G60" s="6"/>
      <c r="H60" s="6"/>
      <c r="I60" s="6"/>
      <c r="J60" s="6"/>
      <c r="K60" s="6"/>
    </row>
    <row r="61" spans="2:11" ht="15.75" thickBot="1">
      <c r="B61" s="1448"/>
      <c r="C61" s="95"/>
      <c r="D61" s="41" t="s">
        <v>48</v>
      </c>
      <c r="E61" s="172"/>
      <c r="F61" s="6"/>
      <c r="G61" s="6"/>
      <c r="H61" s="6"/>
      <c r="I61" s="6"/>
      <c r="J61" s="6"/>
      <c r="K61" s="6"/>
    </row>
    <row r="62" spans="2:11" ht="15.75" thickBot="1">
      <c r="B62" s="1448"/>
      <c r="C62" s="95"/>
      <c r="D62" s="41" t="s">
        <v>49</v>
      </c>
      <c r="E62" s="172"/>
      <c r="F62" s="6"/>
      <c r="G62" s="6"/>
      <c r="H62" s="6"/>
      <c r="I62" s="6"/>
      <c r="J62" s="6"/>
      <c r="K62" s="6"/>
    </row>
    <row r="63" spans="2:11" ht="15.75" thickBot="1">
      <c r="B63" s="1449"/>
      <c r="C63" s="3"/>
      <c r="D63" s="41" t="s">
        <v>50</v>
      </c>
      <c r="E63" s="172"/>
      <c r="F63" s="6"/>
      <c r="G63" s="6"/>
      <c r="H63" s="6"/>
      <c r="I63" s="6"/>
      <c r="J63" s="6"/>
      <c r="K63" s="6"/>
    </row>
    <row r="64" spans="2:11" ht="15.75" thickBot="1">
      <c r="B64" s="2"/>
      <c r="C64" s="77"/>
      <c r="D64" s="6"/>
      <c r="E64" s="6"/>
      <c r="F64" s="6"/>
      <c r="G64" s="6"/>
      <c r="H64" s="6"/>
      <c r="I64" s="6"/>
      <c r="J64" s="6"/>
      <c r="K64" s="6"/>
    </row>
    <row r="65" spans="2:11" ht="15" customHeight="1" thickBot="1">
      <c r="B65" s="125" t="s">
        <v>54</v>
      </c>
      <c r="C65" s="126"/>
      <c r="D65" s="126"/>
      <c r="E65" s="127"/>
      <c r="G65" s="6"/>
      <c r="H65" s="6"/>
      <c r="I65" s="6"/>
      <c r="J65" s="6"/>
      <c r="K65" s="6"/>
    </row>
    <row r="66" spans="2:11" ht="24.75" thickBot="1">
      <c r="B66" s="48" t="s">
        <v>55</v>
      </c>
      <c r="C66" s="41" t="s">
        <v>56</v>
      </c>
      <c r="D66" s="41" t="s">
        <v>57</v>
      </c>
      <c r="E66" s="41" t="s">
        <v>58</v>
      </c>
      <c r="F66" s="6"/>
      <c r="G66" s="6"/>
      <c r="H66" s="6"/>
      <c r="I66" s="6"/>
      <c r="J66" s="6"/>
    </row>
    <row r="67" spans="2:11" ht="72.75" thickBot="1">
      <c r="B67" s="50">
        <v>42401</v>
      </c>
      <c r="C67" s="41">
        <v>0.01</v>
      </c>
      <c r="D67" s="51" t="s">
        <v>854</v>
      </c>
      <c r="E67" s="41"/>
      <c r="F67" s="6"/>
      <c r="G67" s="6"/>
      <c r="H67" s="6"/>
      <c r="I67" s="6"/>
      <c r="J67" s="6"/>
    </row>
    <row r="68" spans="2:11" ht="15.75" thickBot="1">
      <c r="B68" s="4"/>
      <c r="C68" s="96"/>
      <c r="D68" s="6"/>
      <c r="E68" s="6"/>
      <c r="F68" s="6"/>
      <c r="G68" s="6"/>
      <c r="H68" s="6"/>
      <c r="I68" s="6"/>
      <c r="J68" s="6"/>
      <c r="K68" s="6"/>
    </row>
    <row r="69" spans="2:11" ht="15.75" thickBot="1">
      <c r="B69" s="488" t="s">
        <v>60</v>
      </c>
      <c r="C69" s="97"/>
      <c r="D69" s="6"/>
      <c r="E69" s="6"/>
      <c r="F69" s="6"/>
      <c r="G69" s="6"/>
      <c r="H69" s="6"/>
      <c r="I69" s="6"/>
      <c r="J69" s="6"/>
      <c r="K69" s="6"/>
    </row>
    <row r="70" spans="2:11">
      <c r="B70" s="1601"/>
      <c r="C70" s="1602"/>
      <c r="D70" s="1602"/>
      <c r="E70" s="1603"/>
      <c r="F70" s="6"/>
      <c r="G70" s="6"/>
      <c r="H70" s="6"/>
      <c r="I70" s="6"/>
      <c r="J70" s="6"/>
      <c r="K70" s="6"/>
    </row>
    <row r="71" spans="2:11" ht="15.75" thickBot="1">
      <c r="B71" s="1604"/>
      <c r="C71" s="1605"/>
      <c r="D71" s="1605"/>
      <c r="E71" s="1606"/>
      <c r="F71" s="6"/>
      <c r="G71" s="6"/>
      <c r="H71" s="6"/>
      <c r="I71" s="6"/>
      <c r="J71" s="6"/>
      <c r="K71" s="6"/>
    </row>
    <row r="72" spans="2:11">
      <c r="B72" s="2"/>
      <c r="C72" s="77"/>
      <c r="D72" s="6"/>
      <c r="E72" s="6"/>
      <c r="F72" s="6"/>
      <c r="G72" s="6"/>
      <c r="H72" s="6"/>
      <c r="I72" s="6"/>
      <c r="J72" s="6"/>
      <c r="K72" s="6"/>
    </row>
    <row r="73" spans="2:11" ht="15.75" thickBot="1">
      <c r="B73" s="6"/>
      <c r="D73" s="6"/>
      <c r="E73" s="6"/>
      <c r="F73" s="6"/>
      <c r="G73" s="6"/>
      <c r="H73" s="6"/>
      <c r="I73" s="6"/>
      <c r="J73" s="6"/>
      <c r="K73" s="6"/>
    </row>
    <row r="74" spans="2:11" ht="24.75" thickBot="1">
      <c r="B74" s="52" t="s">
        <v>61</v>
      </c>
      <c r="C74" s="98"/>
      <c r="D74" s="6"/>
      <c r="E74" s="6"/>
      <c r="F74" s="6"/>
      <c r="G74" s="6"/>
      <c r="H74" s="6"/>
      <c r="I74" s="6"/>
      <c r="J74" s="6"/>
      <c r="K74" s="6"/>
    </row>
    <row r="75" spans="2:11" ht="15.75" thickBot="1">
      <c r="B75" s="38"/>
      <c r="C75" s="89"/>
      <c r="D75" s="6"/>
      <c r="E75" s="6"/>
      <c r="F75" s="6"/>
      <c r="G75" s="6"/>
      <c r="H75" s="6"/>
      <c r="I75" s="6"/>
      <c r="J75" s="6"/>
      <c r="K75" s="6"/>
    </row>
    <row r="76" spans="2:11" ht="48.75" thickBot="1">
      <c r="B76" s="53" t="s">
        <v>62</v>
      </c>
      <c r="C76" s="99"/>
      <c r="D76" s="44" t="s">
        <v>791</v>
      </c>
      <c r="E76" s="6"/>
      <c r="F76" s="6"/>
      <c r="G76" s="6"/>
      <c r="H76" s="6"/>
      <c r="I76" s="6"/>
      <c r="J76" s="6"/>
      <c r="K76" s="6"/>
    </row>
    <row r="77" spans="2:11">
      <c r="B77" s="1447" t="s">
        <v>64</v>
      </c>
      <c r="C77" s="95"/>
      <c r="D77" s="54" t="s">
        <v>65</v>
      </c>
      <c r="E77" s="6"/>
      <c r="F77" s="6"/>
      <c r="G77" s="6"/>
      <c r="H77" s="6"/>
      <c r="I77" s="6"/>
      <c r="J77" s="6"/>
      <c r="K77" s="6"/>
    </row>
    <row r="78" spans="2:11" ht="108">
      <c r="B78" s="1448"/>
      <c r="C78" s="95"/>
      <c r="D78" s="47" t="s">
        <v>792</v>
      </c>
      <c r="E78" s="6"/>
      <c r="F78" s="6"/>
      <c r="G78" s="6"/>
      <c r="H78" s="6"/>
      <c r="I78" s="6"/>
      <c r="J78" s="6"/>
      <c r="K78" s="6"/>
    </row>
    <row r="79" spans="2:11">
      <c r="B79" s="1448"/>
      <c r="C79" s="95"/>
      <c r="D79" s="47" t="s">
        <v>793</v>
      </c>
      <c r="E79" s="6"/>
      <c r="F79" s="6"/>
      <c r="G79" s="6"/>
      <c r="H79" s="6"/>
      <c r="I79" s="6"/>
      <c r="J79" s="6"/>
      <c r="K79" s="6"/>
    </row>
    <row r="80" spans="2:11" ht="24">
      <c r="B80" s="1448"/>
      <c r="C80" s="95"/>
      <c r="D80" s="47" t="s">
        <v>794</v>
      </c>
      <c r="E80" s="6"/>
      <c r="F80" s="6"/>
      <c r="G80" s="6"/>
      <c r="H80" s="6"/>
      <c r="I80" s="6"/>
      <c r="J80" s="6"/>
      <c r="K80" s="6"/>
    </row>
    <row r="81" spans="2:11" ht="24">
      <c r="B81" s="1448"/>
      <c r="C81" s="95"/>
      <c r="D81" s="47" t="s">
        <v>795</v>
      </c>
      <c r="E81" s="6"/>
      <c r="F81" s="6"/>
      <c r="G81" s="6"/>
      <c r="H81" s="6"/>
      <c r="I81" s="6"/>
      <c r="J81" s="6"/>
      <c r="K81" s="6"/>
    </row>
    <row r="82" spans="2:11">
      <c r="B82" s="1448"/>
      <c r="C82" s="95"/>
      <c r="D82" s="54" t="s">
        <v>296</v>
      </c>
      <c r="E82" s="6"/>
      <c r="F82" s="6"/>
      <c r="G82" s="6"/>
      <c r="H82" s="6"/>
      <c r="I82" s="6"/>
      <c r="J82" s="6"/>
      <c r="K82" s="6"/>
    </row>
    <row r="83" spans="2:11" ht="24">
      <c r="B83" s="1448"/>
      <c r="C83" s="95"/>
      <c r="D83" s="47" t="s">
        <v>796</v>
      </c>
      <c r="E83" s="6"/>
      <c r="F83" s="6"/>
      <c r="G83" s="6"/>
      <c r="H83" s="6"/>
      <c r="I83" s="6"/>
      <c r="J83" s="6"/>
      <c r="K83" s="6"/>
    </row>
    <row r="84" spans="2:11">
      <c r="B84" s="1448"/>
      <c r="C84" s="95"/>
      <c r="D84" s="47" t="s">
        <v>797</v>
      </c>
      <c r="E84" s="6"/>
      <c r="F84" s="6"/>
      <c r="G84" s="6"/>
      <c r="H84" s="6"/>
      <c r="I84" s="6"/>
      <c r="J84" s="6"/>
      <c r="K84" s="6"/>
    </row>
    <row r="85" spans="2:11" ht="36">
      <c r="B85" s="1448"/>
      <c r="C85" s="95"/>
      <c r="D85" s="47" t="s">
        <v>798</v>
      </c>
      <c r="E85" s="6"/>
      <c r="F85" s="6"/>
      <c r="G85" s="6"/>
      <c r="H85" s="6"/>
      <c r="I85" s="6"/>
      <c r="J85" s="6"/>
      <c r="K85" s="6"/>
    </row>
    <row r="86" spans="2:11" ht="36">
      <c r="B86" s="1448"/>
      <c r="C86" s="95"/>
      <c r="D86" s="47" t="s">
        <v>799</v>
      </c>
      <c r="E86" s="6"/>
      <c r="F86" s="6"/>
      <c r="G86" s="6"/>
      <c r="H86" s="6"/>
      <c r="I86" s="6"/>
      <c r="J86" s="6"/>
      <c r="K86" s="6"/>
    </row>
    <row r="87" spans="2:11" ht="24">
      <c r="B87" s="1448"/>
      <c r="C87" s="95"/>
      <c r="D87" s="47" t="s">
        <v>800</v>
      </c>
      <c r="E87" s="6"/>
      <c r="F87" s="6"/>
      <c r="G87" s="6"/>
      <c r="H87" s="6"/>
      <c r="I87" s="6"/>
      <c r="J87" s="6"/>
      <c r="K87" s="6"/>
    </row>
    <row r="88" spans="2:11" ht="48">
      <c r="B88" s="1448"/>
      <c r="C88" s="95"/>
      <c r="D88" s="47" t="s">
        <v>801</v>
      </c>
      <c r="E88" s="6"/>
      <c r="F88" s="6"/>
      <c r="G88" s="6"/>
      <c r="H88" s="6"/>
      <c r="I88" s="6"/>
      <c r="J88" s="6"/>
      <c r="K88" s="6"/>
    </row>
    <row r="89" spans="2:11" ht="36">
      <c r="B89" s="1448"/>
      <c r="C89" s="95"/>
      <c r="D89" s="47" t="s">
        <v>802</v>
      </c>
      <c r="E89" s="6"/>
      <c r="F89" s="6"/>
      <c r="G89" s="6"/>
      <c r="H89" s="6"/>
      <c r="I89" s="6"/>
      <c r="J89" s="6"/>
      <c r="K89" s="6"/>
    </row>
    <row r="90" spans="2:11" ht="24">
      <c r="B90" s="1448"/>
      <c r="C90" s="95"/>
      <c r="D90" s="47" t="s">
        <v>803</v>
      </c>
      <c r="E90" s="6"/>
      <c r="F90" s="6"/>
      <c r="G90" s="6"/>
      <c r="H90" s="6"/>
      <c r="I90" s="6"/>
      <c r="J90" s="6"/>
      <c r="K90" s="6"/>
    </row>
    <row r="91" spans="2:11" ht="24">
      <c r="B91" s="1448"/>
      <c r="C91" s="95"/>
      <c r="D91" s="47" t="s">
        <v>804</v>
      </c>
      <c r="E91" s="6"/>
      <c r="F91" s="6"/>
      <c r="G91" s="6"/>
      <c r="H91" s="6"/>
      <c r="I91" s="6"/>
      <c r="J91" s="6"/>
      <c r="K91" s="6"/>
    </row>
    <row r="92" spans="2:11" ht="60.75" thickBot="1">
      <c r="B92" s="1449"/>
      <c r="C92" s="3"/>
      <c r="D92" s="57" t="s">
        <v>805</v>
      </c>
      <c r="E92" s="6"/>
      <c r="F92" s="6"/>
      <c r="G92" s="6"/>
      <c r="H92" s="6"/>
      <c r="I92" s="6"/>
      <c r="J92" s="6"/>
      <c r="K92" s="6"/>
    </row>
    <row r="93" spans="2:11">
      <c r="B93" s="1447" t="s">
        <v>77</v>
      </c>
      <c r="C93" s="100"/>
      <c r="D93" s="1447"/>
      <c r="E93" s="6"/>
      <c r="F93" s="6"/>
      <c r="G93" s="6"/>
      <c r="H93" s="6"/>
      <c r="I93" s="6"/>
      <c r="J93" s="6"/>
      <c r="K93" s="6"/>
    </row>
    <row r="94" spans="2:11" ht="15.75" thickBot="1">
      <c r="B94" s="1449"/>
      <c r="C94" s="101"/>
      <c r="D94" s="1449"/>
      <c r="E94" s="6"/>
      <c r="F94" s="6"/>
      <c r="G94" s="6"/>
      <c r="H94" s="6"/>
      <c r="I94" s="6"/>
      <c r="J94" s="6"/>
      <c r="K94" s="6"/>
    </row>
    <row r="95" spans="2:11" ht="144">
      <c r="B95" s="1447" t="s">
        <v>78</v>
      </c>
      <c r="C95" s="95"/>
      <c r="D95" s="47" t="s">
        <v>806</v>
      </c>
      <c r="E95" s="6"/>
      <c r="F95" s="6"/>
      <c r="G95" s="6"/>
      <c r="H95" s="6"/>
      <c r="I95" s="6"/>
      <c r="J95" s="6"/>
      <c r="K95" s="6"/>
    </row>
    <row r="96" spans="2:11" ht="192">
      <c r="B96" s="1448"/>
      <c r="C96" s="95"/>
      <c r="D96" s="47" t="s">
        <v>807</v>
      </c>
      <c r="E96" s="6"/>
      <c r="F96" s="6"/>
      <c r="G96" s="6"/>
      <c r="H96" s="6"/>
      <c r="I96" s="6"/>
      <c r="J96" s="6"/>
      <c r="K96" s="6"/>
    </row>
    <row r="97" spans="2:11" ht="36">
      <c r="B97" s="1448"/>
      <c r="C97" s="95"/>
      <c r="D97" s="47" t="s">
        <v>808</v>
      </c>
      <c r="E97" s="6"/>
      <c r="F97" s="6"/>
      <c r="G97" s="6"/>
      <c r="H97" s="6"/>
      <c r="I97" s="6"/>
      <c r="J97" s="6"/>
      <c r="K97" s="6"/>
    </row>
    <row r="98" spans="2:11" ht="36">
      <c r="B98" s="1448"/>
      <c r="C98" s="95"/>
      <c r="D98" s="47" t="s">
        <v>809</v>
      </c>
      <c r="E98" s="6"/>
      <c r="F98" s="6"/>
      <c r="G98" s="6"/>
      <c r="H98" s="6"/>
      <c r="I98" s="6"/>
      <c r="J98" s="6"/>
      <c r="K98" s="6"/>
    </row>
    <row r="99" spans="2:11" ht="36">
      <c r="B99" s="1448"/>
      <c r="C99" s="95"/>
      <c r="D99" s="47" t="s">
        <v>810</v>
      </c>
      <c r="E99" s="6"/>
      <c r="F99" s="6"/>
      <c r="G99" s="6"/>
      <c r="H99" s="6"/>
      <c r="I99" s="6"/>
      <c r="J99" s="6"/>
      <c r="K99" s="6"/>
    </row>
    <row r="100" spans="2:11" ht="48">
      <c r="B100" s="1448"/>
      <c r="C100" s="95"/>
      <c r="D100" s="47" t="s">
        <v>811</v>
      </c>
      <c r="E100" s="6"/>
      <c r="F100" s="6"/>
      <c r="G100" s="6"/>
      <c r="H100" s="6"/>
      <c r="I100" s="6"/>
      <c r="J100" s="6"/>
      <c r="K100" s="6"/>
    </row>
    <row r="101" spans="2:11" ht="48">
      <c r="B101" s="1448"/>
      <c r="C101" s="95"/>
      <c r="D101" s="47" t="s">
        <v>812</v>
      </c>
      <c r="E101" s="6"/>
      <c r="F101" s="6"/>
      <c r="G101" s="6"/>
      <c r="H101" s="6"/>
      <c r="I101" s="6"/>
      <c r="J101" s="6"/>
      <c r="K101" s="6"/>
    </row>
    <row r="102" spans="2:11" ht="36">
      <c r="B102" s="1448"/>
      <c r="C102" s="95"/>
      <c r="D102" s="26" t="s">
        <v>813</v>
      </c>
      <c r="E102" s="6"/>
      <c r="F102" s="6"/>
      <c r="G102" s="6"/>
      <c r="H102" s="6"/>
      <c r="I102" s="6"/>
      <c r="J102" s="6"/>
      <c r="K102" s="6"/>
    </row>
    <row r="103" spans="2:11" ht="36">
      <c r="B103" s="1448"/>
      <c r="C103" s="95"/>
      <c r="D103" s="26" t="s">
        <v>814</v>
      </c>
      <c r="E103" s="6"/>
      <c r="F103" s="6"/>
      <c r="G103" s="6"/>
      <c r="H103" s="6"/>
      <c r="I103" s="6"/>
      <c r="J103" s="6"/>
      <c r="K103" s="6"/>
    </row>
    <row r="104" spans="2:11" ht="24">
      <c r="B104" s="1448"/>
      <c r="C104" s="95"/>
      <c r="D104" s="26" t="s">
        <v>815</v>
      </c>
      <c r="E104" s="6"/>
      <c r="F104" s="6"/>
      <c r="G104" s="6"/>
      <c r="H104" s="6"/>
      <c r="I104" s="6"/>
      <c r="J104" s="6"/>
      <c r="K104" s="6"/>
    </row>
    <row r="105" spans="2:11" ht="24">
      <c r="B105" s="1448"/>
      <c r="C105" s="95"/>
      <c r="D105" s="26" t="s">
        <v>816</v>
      </c>
      <c r="E105" s="6"/>
      <c r="F105" s="6"/>
      <c r="G105" s="6"/>
      <c r="H105" s="6"/>
      <c r="I105" s="6"/>
      <c r="J105" s="6"/>
      <c r="K105" s="6"/>
    </row>
    <row r="106" spans="2:11" ht="60">
      <c r="B106" s="1448"/>
      <c r="C106" s="95"/>
      <c r="D106" s="26" t="s">
        <v>817</v>
      </c>
      <c r="E106" s="6"/>
      <c r="F106" s="6"/>
      <c r="G106" s="6"/>
      <c r="H106" s="6"/>
      <c r="I106" s="6"/>
      <c r="J106" s="6"/>
      <c r="K106" s="6"/>
    </row>
    <row r="107" spans="2:11" ht="36">
      <c r="B107" s="1448"/>
      <c r="C107" s="95"/>
      <c r="D107" s="26" t="s">
        <v>818</v>
      </c>
      <c r="E107" s="6"/>
      <c r="F107" s="6"/>
      <c r="G107" s="6"/>
      <c r="H107" s="6"/>
      <c r="I107" s="6"/>
      <c r="J107" s="6"/>
      <c r="K107" s="6"/>
    </row>
    <row r="108" spans="2:11" ht="36">
      <c r="B108" s="1448"/>
      <c r="C108" s="95"/>
      <c r="D108" s="26" t="s">
        <v>819</v>
      </c>
      <c r="E108" s="6"/>
      <c r="F108" s="6"/>
      <c r="G108" s="6"/>
      <c r="H108" s="6"/>
      <c r="I108" s="6"/>
      <c r="J108" s="6"/>
      <c r="K108" s="6"/>
    </row>
    <row r="109" spans="2:11" ht="60">
      <c r="B109" s="1448"/>
      <c r="C109" s="95"/>
      <c r="D109" s="26" t="s">
        <v>820</v>
      </c>
      <c r="E109" s="6"/>
      <c r="F109" s="6"/>
      <c r="G109" s="6"/>
      <c r="H109" s="6"/>
      <c r="I109" s="6"/>
      <c r="J109" s="6"/>
      <c r="K109" s="6"/>
    </row>
    <row r="110" spans="2:11" ht="24">
      <c r="B110" s="1448"/>
      <c r="C110" s="95"/>
      <c r="D110" s="26" t="s">
        <v>821</v>
      </c>
      <c r="E110" s="6"/>
      <c r="F110" s="6"/>
      <c r="G110" s="6"/>
      <c r="H110" s="6"/>
      <c r="I110" s="6"/>
      <c r="J110" s="6"/>
      <c r="K110" s="6"/>
    </row>
    <row r="111" spans="2:11" ht="24">
      <c r="B111" s="1448"/>
      <c r="C111" s="95"/>
      <c r="D111" s="26" t="s">
        <v>822</v>
      </c>
      <c r="E111" s="6"/>
      <c r="F111" s="6"/>
      <c r="G111" s="6"/>
      <c r="H111" s="6"/>
      <c r="I111" s="6"/>
      <c r="J111" s="6"/>
      <c r="K111" s="6"/>
    </row>
    <row r="112" spans="2:11">
      <c r="B112" s="1448"/>
      <c r="C112" s="95"/>
      <c r="D112" s="26" t="s">
        <v>823</v>
      </c>
      <c r="E112" s="6"/>
      <c r="F112" s="6"/>
      <c r="G112" s="6"/>
      <c r="H112" s="6"/>
      <c r="I112" s="6"/>
      <c r="J112" s="6"/>
      <c r="K112" s="6"/>
    </row>
    <row r="113" spans="2:11" ht="36">
      <c r="B113" s="1448"/>
      <c r="C113" s="95"/>
      <c r="D113" s="26" t="s">
        <v>824</v>
      </c>
      <c r="E113" s="6"/>
      <c r="F113" s="6"/>
      <c r="G113" s="6"/>
      <c r="H113" s="6"/>
      <c r="I113" s="6"/>
      <c r="J113" s="6"/>
      <c r="K113" s="6"/>
    </row>
    <row r="114" spans="2:11" ht="36">
      <c r="B114" s="1448"/>
      <c r="C114" s="95"/>
      <c r="D114" s="26" t="s">
        <v>825</v>
      </c>
      <c r="E114" s="6"/>
      <c r="F114" s="6"/>
      <c r="G114" s="6"/>
      <c r="H114" s="6"/>
      <c r="I114" s="6"/>
      <c r="J114" s="6"/>
      <c r="K114" s="6"/>
    </row>
    <row r="115" spans="2:11" ht="36">
      <c r="B115" s="1448"/>
      <c r="C115" s="95"/>
      <c r="D115" s="26" t="s">
        <v>826</v>
      </c>
      <c r="E115" s="6"/>
      <c r="F115" s="6"/>
      <c r="G115" s="6"/>
      <c r="H115" s="6"/>
      <c r="I115" s="6"/>
      <c r="J115" s="6"/>
      <c r="K115" s="6"/>
    </row>
    <row r="116" spans="2:11" ht="252">
      <c r="B116" s="1448"/>
      <c r="C116" s="95"/>
      <c r="D116" s="47" t="s">
        <v>827</v>
      </c>
      <c r="E116" s="6"/>
      <c r="F116" s="6"/>
      <c r="G116" s="6"/>
      <c r="H116" s="6"/>
      <c r="I116" s="6"/>
      <c r="J116" s="6"/>
      <c r="K116" s="6"/>
    </row>
    <row r="117" spans="2:11" ht="60.75" thickBot="1">
      <c r="B117" s="1449"/>
      <c r="C117" s="3"/>
      <c r="D117" s="41" t="s">
        <v>828</v>
      </c>
      <c r="E117" s="6"/>
      <c r="F117" s="6"/>
      <c r="G117" s="6"/>
      <c r="H117" s="6"/>
      <c r="I117" s="6"/>
      <c r="J117" s="6"/>
      <c r="K117" s="6"/>
    </row>
    <row r="118" spans="2:11" ht="24">
      <c r="B118" s="1447" t="s">
        <v>95</v>
      </c>
      <c r="C118" s="95"/>
      <c r="D118" s="54" t="s">
        <v>790</v>
      </c>
      <c r="E118" s="6"/>
      <c r="F118" s="6"/>
      <c r="G118" s="6"/>
      <c r="H118" s="6"/>
      <c r="I118" s="6"/>
      <c r="J118" s="6"/>
      <c r="K118" s="6"/>
    </row>
    <row r="119" spans="2:11" ht="20.45" customHeight="1">
      <c r="B119" s="1448"/>
      <c r="C119" s="95"/>
      <c r="D119" s="17"/>
      <c r="E119" s="6"/>
      <c r="F119" s="6"/>
      <c r="G119" s="6"/>
      <c r="H119" s="6"/>
      <c r="I119" s="6"/>
      <c r="J119" s="6"/>
      <c r="K119" s="6"/>
    </row>
    <row r="120" spans="2:11">
      <c r="B120" s="1448"/>
      <c r="C120" s="95"/>
      <c r="D120" s="47" t="s">
        <v>96</v>
      </c>
      <c r="E120" s="6"/>
      <c r="F120" s="6"/>
      <c r="G120" s="6"/>
      <c r="H120" s="6"/>
      <c r="I120" s="6"/>
      <c r="J120" s="6"/>
      <c r="K120" s="6"/>
    </row>
    <row r="121" spans="2:11" ht="37.5">
      <c r="B121" s="1448"/>
      <c r="C121" s="95"/>
      <c r="D121" s="47" t="s">
        <v>829</v>
      </c>
      <c r="E121" s="6"/>
      <c r="F121" s="6"/>
      <c r="G121" s="6"/>
      <c r="H121" s="6"/>
      <c r="I121" s="6"/>
      <c r="J121" s="6"/>
      <c r="K121" s="6"/>
    </row>
    <row r="122" spans="2:11" ht="37.5">
      <c r="B122" s="1448"/>
      <c r="C122" s="95"/>
      <c r="D122" s="47" t="s">
        <v>830</v>
      </c>
      <c r="E122" s="6"/>
      <c r="F122" s="6"/>
      <c r="G122" s="6"/>
      <c r="H122" s="6"/>
      <c r="I122" s="6"/>
      <c r="J122" s="6"/>
      <c r="K122" s="6"/>
    </row>
    <row r="123" spans="2:11" ht="37.5">
      <c r="B123" s="1448"/>
      <c r="C123" s="95"/>
      <c r="D123" s="47" t="s">
        <v>831</v>
      </c>
      <c r="E123" s="6"/>
      <c r="F123" s="6"/>
      <c r="G123" s="6"/>
      <c r="H123" s="6"/>
      <c r="I123" s="6"/>
      <c r="J123" s="6"/>
      <c r="K123" s="6"/>
    </row>
    <row r="124" spans="2:11" ht="37.5">
      <c r="B124" s="1448"/>
      <c r="C124" s="95"/>
      <c r="D124" s="47" t="s">
        <v>832</v>
      </c>
      <c r="E124" s="6"/>
      <c r="F124" s="6"/>
      <c r="G124" s="6"/>
      <c r="H124" s="6"/>
      <c r="I124" s="6"/>
      <c r="J124" s="6"/>
      <c r="K124" s="6"/>
    </row>
    <row r="125" spans="2:11">
      <c r="B125" s="1448"/>
      <c r="C125" s="95"/>
      <c r="D125" s="47" t="s">
        <v>833</v>
      </c>
      <c r="E125" s="6"/>
      <c r="F125" s="6"/>
      <c r="G125" s="6"/>
      <c r="H125" s="6"/>
      <c r="I125" s="6"/>
      <c r="J125" s="6"/>
      <c r="K125" s="6"/>
    </row>
    <row r="126" spans="2:11">
      <c r="B126" s="1448"/>
      <c r="C126" s="95"/>
      <c r="D126" s="47" t="s">
        <v>834</v>
      </c>
      <c r="E126" s="6"/>
      <c r="F126" s="6"/>
      <c r="G126" s="6"/>
      <c r="H126" s="6"/>
      <c r="I126" s="6"/>
      <c r="J126" s="6"/>
      <c r="K126" s="6"/>
    </row>
    <row r="127" spans="2:11">
      <c r="B127" s="1448"/>
      <c r="C127" s="95"/>
      <c r="D127" s="47" t="s">
        <v>835</v>
      </c>
      <c r="E127" s="6"/>
      <c r="F127" s="6"/>
      <c r="G127" s="6"/>
      <c r="H127" s="6"/>
      <c r="I127" s="6"/>
      <c r="J127" s="6"/>
      <c r="K127" s="6"/>
    </row>
    <row r="128" spans="2:11">
      <c r="B128" s="1448"/>
      <c r="C128" s="95"/>
      <c r="D128" s="47" t="s">
        <v>836</v>
      </c>
      <c r="E128" s="6"/>
      <c r="F128" s="6"/>
      <c r="G128" s="6"/>
      <c r="H128" s="6"/>
      <c r="I128" s="6"/>
      <c r="J128" s="6"/>
      <c r="K128" s="6"/>
    </row>
    <row r="129" spans="2:11" ht="84">
      <c r="B129" s="1448"/>
      <c r="C129" s="95"/>
      <c r="D129" s="55" t="s">
        <v>243</v>
      </c>
      <c r="E129" s="6"/>
      <c r="F129" s="6"/>
      <c r="G129" s="6"/>
      <c r="H129" s="6"/>
      <c r="I129" s="6"/>
      <c r="J129" s="6"/>
      <c r="K129" s="6"/>
    </row>
    <row r="130" spans="2:11">
      <c r="B130" s="1448"/>
      <c r="C130" s="95"/>
      <c r="D130" s="47" t="s">
        <v>254</v>
      </c>
      <c r="E130" s="6"/>
      <c r="F130" s="6"/>
      <c r="G130" s="6"/>
      <c r="H130" s="6"/>
      <c r="I130" s="6"/>
      <c r="J130" s="6"/>
      <c r="K130" s="6"/>
    </row>
    <row r="131" spans="2:11" ht="48">
      <c r="B131" s="1448"/>
      <c r="C131" s="95"/>
      <c r="D131" s="54" t="s">
        <v>837</v>
      </c>
      <c r="E131" s="6"/>
      <c r="F131" s="6"/>
      <c r="G131" s="6"/>
      <c r="H131" s="6"/>
      <c r="I131" s="6"/>
      <c r="J131" s="6"/>
      <c r="K131" s="6"/>
    </row>
    <row r="132" spans="2:11">
      <c r="B132" s="1448"/>
      <c r="C132" s="95"/>
      <c r="D132" s="17"/>
      <c r="E132" s="6"/>
      <c r="F132" s="6"/>
      <c r="G132" s="6"/>
      <c r="H132" s="6"/>
      <c r="I132" s="6"/>
      <c r="J132" s="6"/>
      <c r="K132" s="6"/>
    </row>
    <row r="133" spans="2:11">
      <c r="B133" s="1448"/>
      <c r="C133" s="95"/>
      <c r="D133" s="47" t="s">
        <v>96</v>
      </c>
      <c r="E133" s="6"/>
      <c r="F133" s="6"/>
      <c r="G133" s="6"/>
      <c r="H133" s="6"/>
      <c r="I133" s="6"/>
      <c r="J133" s="6"/>
      <c r="K133" s="6"/>
    </row>
    <row r="134" spans="2:11" ht="49.5">
      <c r="B134" s="1448"/>
      <c r="C134" s="95"/>
      <c r="D134" s="47" t="s">
        <v>838</v>
      </c>
      <c r="E134" s="6"/>
      <c r="F134" s="6"/>
      <c r="G134" s="6"/>
      <c r="H134" s="6"/>
      <c r="I134" s="6"/>
      <c r="J134" s="6"/>
      <c r="K134" s="6"/>
    </row>
    <row r="135" spans="2:11" ht="49.5">
      <c r="B135" s="1448"/>
      <c r="C135" s="95"/>
      <c r="D135" s="47" t="s">
        <v>839</v>
      </c>
      <c r="E135" s="6"/>
      <c r="F135" s="6"/>
      <c r="G135" s="6"/>
      <c r="H135" s="6"/>
      <c r="I135" s="6"/>
      <c r="J135" s="6"/>
      <c r="K135" s="6"/>
    </row>
    <row r="136" spans="2:11" ht="38.25" thickBot="1">
      <c r="B136" s="1449"/>
      <c r="C136" s="3"/>
      <c r="D136" s="41" t="s">
        <v>840</v>
      </c>
      <c r="E136" s="6"/>
      <c r="F136" s="6"/>
      <c r="G136" s="6"/>
      <c r="H136" s="6"/>
      <c r="I136" s="6"/>
      <c r="J136" s="6"/>
      <c r="K136" s="6"/>
    </row>
    <row r="137" spans="2:11">
      <c r="B137" s="6"/>
      <c r="D137" s="6"/>
      <c r="E137" s="6"/>
      <c r="F137" s="6"/>
      <c r="G137" s="6"/>
      <c r="H137" s="6"/>
      <c r="I137" s="6"/>
      <c r="J137" s="6"/>
      <c r="K137" s="6"/>
    </row>
    <row r="138" spans="2:11">
      <c r="B138" s="6"/>
      <c r="D138" s="6"/>
      <c r="E138" s="6"/>
      <c r="F138" s="6"/>
      <c r="G138" s="6"/>
      <c r="H138" s="6"/>
      <c r="I138" s="6"/>
      <c r="J138" s="6"/>
      <c r="K138" s="6"/>
    </row>
    <row r="139" spans="2:11">
      <c r="B139" s="6"/>
      <c r="D139" s="6"/>
      <c r="E139" s="6"/>
      <c r="F139" s="6"/>
      <c r="G139" s="6"/>
      <c r="H139" s="6"/>
      <c r="I139" s="6"/>
      <c r="J139" s="6"/>
      <c r="K139" s="6"/>
    </row>
    <row r="140" spans="2:11">
      <c r="B140" s="6"/>
      <c r="D140" s="6"/>
      <c r="E140" s="6"/>
      <c r="F140" s="6"/>
      <c r="G140" s="6"/>
      <c r="H140" s="6"/>
      <c r="I140" s="6"/>
      <c r="J140" s="6"/>
      <c r="K140" s="6"/>
    </row>
    <row r="141" spans="2:11">
      <c r="B141" s="6"/>
      <c r="D141" s="6"/>
      <c r="E141" s="6"/>
      <c r="F141" s="6"/>
      <c r="G141" s="6"/>
      <c r="H141" s="6"/>
      <c r="I141" s="6"/>
      <c r="J141" s="6"/>
      <c r="K141" s="6"/>
    </row>
    <row r="142" spans="2:11">
      <c r="B142" s="6"/>
      <c r="D142" s="6"/>
      <c r="E142" s="6"/>
      <c r="F142" s="6"/>
      <c r="G142" s="6"/>
      <c r="H142" s="6"/>
      <c r="I142" s="6"/>
      <c r="J142" s="6"/>
      <c r="K142" s="6"/>
    </row>
    <row r="143" spans="2:11">
      <c r="B143" s="6"/>
      <c r="D143" s="6"/>
      <c r="E143" s="6"/>
      <c r="F143" s="6"/>
      <c r="G143" s="6"/>
      <c r="H143" s="6"/>
      <c r="I143" s="6"/>
      <c r="J143" s="6"/>
      <c r="K143" s="6"/>
    </row>
    <row r="144" spans="2:11">
      <c r="B144" s="6"/>
      <c r="D144" s="6"/>
      <c r="E144" s="6"/>
      <c r="F144" s="6"/>
      <c r="G144" s="6"/>
      <c r="H144" s="6"/>
      <c r="I144" s="6"/>
      <c r="J144" s="6"/>
      <c r="K144" s="6"/>
    </row>
    <row r="145" spans="2:11">
      <c r="B145" s="6"/>
      <c r="D145" s="6"/>
      <c r="E145" s="6"/>
      <c r="F145" s="6"/>
      <c r="G145" s="6"/>
      <c r="H145" s="6"/>
      <c r="I145" s="6"/>
      <c r="J145" s="6"/>
      <c r="K145" s="6"/>
    </row>
    <row r="146" spans="2:11">
      <c r="B146" s="6"/>
      <c r="D146" s="6"/>
      <c r="E146" s="6"/>
      <c r="F146" s="6"/>
      <c r="G146" s="6"/>
      <c r="H146" s="6"/>
      <c r="I146" s="6"/>
      <c r="J146" s="6"/>
      <c r="K146" s="6"/>
    </row>
    <row r="147" spans="2:11">
      <c r="B147" s="6"/>
      <c r="D147" s="6"/>
      <c r="E147" s="6"/>
      <c r="F147" s="6"/>
      <c r="G147" s="6"/>
      <c r="H147" s="6"/>
      <c r="I147" s="6"/>
      <c r="J147" s="6"/>
      <c r="K147" s="6"/>
    </row>
    <row r="148" spans="2:11">
      <c r="B148" s="6"/>
      <c r="D148" s="6"/>
      <c r="E148" s="6"/>
      <c r="F148" s="6"/>
      <c r="G148" s="6"/>
      <c r="H148" s="6"/>
      <c r="I148" s="6"/>
      <c r="J148" s="6"/>
      <c r="K148" s="6"/>
    </row>
    <row r="149" spans="2:11">
      <c r="B149" s="6"/>
      <c r="D149" s="6"/>
      <c r="E149" s="6"/>
      <c r="F149" s="6"/>
      <c r="G149" s="6"/>
      <c r="H149" s="6"/>
      <c r="I149" s="6"/>
      <c r="J149" s="6"/>
      <c r="K149" s="6"/>
    </row>
    <row r="150" spans="2:11">
      <c r="B150" s="6"/>
      <c r="D150" s="6"/>
      <c r="E150" s="6"/>
      <c r="F150" s="6"/>
      <c r="G150" s="6"/>
      <c r="H150" s="6"/>
      <c r="I150" s="6"/>
      <c r="J150" s="6"/>
      <c r="K150" s="6"/>
    </row>
    <row r="151" spans="2:11">
      <c r="B151" s="6"/>
      <c r="D151" s="6"/>
      <c r="E151" s="6"/>
      <c r="F151" s="6"/>
      <c r="G151" s="6"/>
      <c r="H151" s="6"/>
      <c r="I151" s="6"/>
      <c r="J151" s="6"/>
      <c r="K151" s="6"/>
    </row>
    <row r="152" spans="2:11">
      <c r="B152" s="6"/>
      <c r="D152" s="6"/>
      <c r="E152" s="6"/>
      <c r="F152" s="6"/>
      <c r="G152" s="6"/>
      <c r="H152" s="6"/>
      <c r="I152" s="6"/>
      <c r="J152" s="6"/>
      <c r="K152" s="6"/>
    </row>
    <row r="153" spans="2:11">
      <c r="B153" s="6"/>
      <c r="D153" s="6"/>
      <c r="E153" s="6"/>
      <c r="F153" s="6"/>
      <c r="G153" s="6"/>
      <c r="H153" s="6"/>
      <c r="I153" s="6"/>
      <c r="J153" s="6"/>
      <c r="K153" s="6"/>
    </row>
    <row r="154" spans="2:11">
      <c r="B154" s="6"/>
      <c r="D154" s="6"/>
      <c r="E154" s="6"/>
      <c r="F154" s="6"/>
      <c r="G154" s="6"/>
      <c r="H154" s="6"/>
      <c r="I154" s="6"/>
      <c r="J154" s="6"/>
      <c r="K154" s="6"/>
    </row>
    <row r="155" spans="2:11">
      <c r="B155" s="6"/>
      <c r="D155" s="6"/>
      <c r="E155" s="6"/>
      <c r="F155" s="6"/>
      <c r="G155" s="6"/>
      <c r="H155" s="6"/>
      <c r="I155" s="6"/>
      <c r="J155" s="6"/>
      <c r="K155" s="6"/>
    </row>
    <row r="156" spans="2:11">
      <c r="B156" s="6"/>
      <c r="D156" s="6"/>
      <c r="E156" s="6"/>
      <c r="F156" s="6"/>
      <c r="G156" s="6"/>
      <c r="H156" s="6"/>
      <c r="I156" s="6"/>
      <c r="J156" s="6"/>
      <c r="K156" s="6"/>
    </row>
    <row r="157" spans="2:11">
      <c r="B157" s="6"/>
      <c r="D157" s="6"/>
      <c r="E157" s="6"/>
      <c r="F157" s="6"/>
      <c r="G157" s="6"/>
      <c r="H157" s="6"/>
      <c r="I157" s="6"/>
      <c r="J157" s="6"/>
      <c r="K157" s="6"/>
    </row>
    <row r="158" spans="2:11">
      <c r="B158" s="6"/>
      <c r="D158" s="6"/>
      <c r="E158" s="6"/>
      <c r="F158" s="6"/>
      <c r="G158" s="6"/>
      <c r="H158" s="6"/>
      <c r="I158" s="6"/>
      <c r="J158" s="6"/>
      <c r="K158" s="6"/>
    </row>
    <row r="159" spans="2:11">
      <c r="B159" s="6"/>
      <c r="D159" s="6"/>
      <c r="E159" s="6"/>
      <c r="F159" s="6"/>
      <c r="G159" s="6"/>
      <c r="H159" s="6"/>
      <c r="I159" s="6"/>
      <c r="J159" s="6"/>
      <c r="K159" s="6"/>
    </row>
    <row r="160" spans="2:11">
      <c r="B160" s="6"/>
      <c r="D160" s="6"/>
      <c r="E160" s="6"/>
      <c r="F160" s="6"/>
      <c r="G160" s="6"/>
      <c r="H160" s="6"/>
      <c r="I160" s="6"/>
      <c r="J160" s="6"/>
      <c r="K160" s="6"/>
    </row>
    <row r="161" spans="2:11">
      <c r="B161" s="6"/>
      <c r="D161" s="6"/>
      <c r="E161" s="6"/>
      <c r="F161" s="6"/>
      <c r="G161" s="6"/>
      <c r="H161" s="6"/>
      <c r="I161" s="6"/>
      <c r="J161" s="6"/>
      <c r="K161" s="6"/>
    </row>
    <row r="162" spans="2:11">
      <c r="B162" s="6"/>
      <c r="D162" s="6"/>
      <c r="E162" s="6"/>
      <c r="F162" s="6"/>
      <c r="G162" s="6"/>
      <c r="H162" s="6"/>
      <c r="I162" s="6"/>
      <c r="J162" s="6"/>
      <c r="K162" s="6"/>
    </row>
    <row r="163" spans="2:11">
      <c r="B163" s="6"/>
      <c r="D163" s="6"/>
      <c r="E163" s="6"/>
      <c r="F163" s="6"/>
      <c r="G163" s="6"/>
      <c r="H163" s="6"/>
      <c r="I163" s="6"/>
      <c r="J163" s="6"/>
      <c r="K163" s="6"/>
    </row>
    <row r="164" spans="2:11">
      <c r="B164" s="6"/>
      <c r="D164" s="6"/>
      <c r="E164" s="6"/>
      <c r="F164" s="6"/>
      <c r="G164" s="6"/>
      <c r="H164" s="6"/>
      <c r="I164" s="6"/>
      <c r="J164" s="6"/>
      <c r="K164" s="6"/>
    </row>
    <row r="165" spans="2:11">
      <c r="B165" s="6"/>
      <c r="D165" s="6"/>
      <c r="E165" s="6"/>
      <c r="F165" s="6"/>
      <c r="G165" s="6"/>
      <c r="H165" s="6"/>
      <c r="I165" s="6"/>
      <c r="J165" s="6"/>
      <c r="K165" s="6"/>
    </row>
    <row r="166" spans="2:11">
      <c r="B166" s="6"/>
      <c r="D166" s="6"/>
      <c r="E166" s="6"/>
      <c r="F166" s="6"/>
      <c r="G166" s="6"/>
      <c r="H166" s="6"/>
      <c r="I166" s="6"/>
      <c r="J166" s="6"/>
      <c r="K166" s="6"/>
    </row>
    <row r="167" spans="2:11">
      <c r="B167" s="6"/>
      <c r="D167" s="6"/>
      <c r="E167" s="6"/>
      <c r="F167" s="6"/>
      <c r="G167" s="6"/>
      <c r="H167" s="6"/>
      <c r="I167" s="6"/>
      <c r="J167" s="6"/>
      <c r="K167" s="6"/>
    </row>
    <row r="168" spans="2:11">
      <c r="B168" s="6"/>
      <c r="D168" s="6"/>
      <c r="E168" s="6"/>
      <c r="F168" s="6"/>
      <c r="G168" s="6"/>
      <c r="H168" s="6"/>
      <c r="I168" s="6"/>
      <c r="J168" s="6"/>
      <c r="K168" s="6"/>
    </row>
    <row r="169" spans="2:11">
      <c r="B169" s="6"/>
      <c r="D169" s="6"/>
      <c r="E169" s="6"/>
      <c r="F169" s="6"/>
      <c r="G169" s="6"/>
      <c r="H169" s="6"/>
      <c r="I169" s="6"/>
      <c r="J169" s="6"/>
      <c r="K169" s="6"/>
    </row>
    <row r="170" spans="2:11">
      <c r="B170" s="6"/>
      <c r="D170" s="6"/>
      <c r="E170" s="6"/>
      <c r="F170" s="6"/>
      <c r="G170" s="6"/>
      <c r="H170" s="6"/>
      <c r="I170" s="6"/>
      <c r="J170" s="6"/>
      <c r="K170" s="6"/>
    </row>
    <row r="171" spans="2:11">
      <c r="B171" s="6"/>
      <c r="D171" s="6"/>
      <c r="E171" s="6"/>
      <c r="F171" s="6"/>
      <c r="G171" s="6"/>
      <c r="H171" s="6"/>
      <c r="I171" s="6"/>
      <c r="J171" s="6"/>
      <c r="K171" s="6"/>
    </row>
    <row r="172" spans="2:11">
      <c r="B172" s="6"/>
      <c r="D172" s="6"/>
      <c r="E172" s="6"/>
      <c r="F172" s="6"/>
      <c r="G172" s="6"/>
      <c r="H172" s="6"/>
      <c r="I172" s="6"/>
      <c r="J172" s="6"/>
      <c r="K172" s="6"/>
    </row>
    <row r="173" spans="2:11">
      <c r="B173" s="6"/>
      <c r="D173" s="6"/>
      <c r="E173" s="6"/>
      <c r="F173" s="6"/>
      <c r="G173" s="6"/>
      <c r="H173" s="6"/>
      <c r="I173" s="6"/>
      <c r="J173" s="6"/>
      <c r="K173" s="6"/>
    </row>
    <row r="174" spans="2:11">
      <c r="B174" s="6"/>
      <c r="D174" s="6"/>
      <c r="E174" s="6"/>
      <c r="F174" s="6"/>
      <c r="G174" s="6"/>
      <c r="H174" s="6"/>
      <c r="I174" s="6"/>
      <c r="J174" s="6"/>
      <c r="K174" s="6"/>
    </row>
    <row r="175" spans="2:11">
      <c r="B175" s="6"/>
      <c r="D175" s="6"/>
      <c r="E175" s="6"/>
      <c r="F175" s="6"/>
      <c r="G175" s="6"/>
      <c r="H175" s="6"/>
      <c r="I175" s="6"/>
      <c r="J175" s="6"/>
      <c r="K175" s="6"/>
    </row>
    <row r="176" spans="2:11">
      <c r="B176" s="6"/>
      <c r="D176" s="6"/>
      <c r="E176" s="6"/>
      <c r="F176" s="6"/>
      <c r="G176" s="6"/>
      <c r="H176" s="6"/>
      <c r="I176" s="6"/>
      <c r="J176" s="6"/>
      <c r="K176" s="6"/>
    </row>
    <row r="177" spans="2:11">
      <c r="B177" s="6"/>
      <c r="D177" s="6"/>
      <c r="E177" s="6"/>
      <c r="F177" s="6"/>
      <c r="G177" s="6"/>
      <c r="H177" s="6"/>
      <c r="I177" s="6"/>
      <c r="J177" s="6"/>
      <c r="K177" s="6"/>
    </row>
    <row r="178" spans="2:11">
      <c r="B178" s="6"/>
      <c r="D178" s="6"/>
      <c r="E178" s="6"/>
      <c r="F178" s="6"/>
      <c r="G178" s="6"/>
      <c r="H178" s="6"/>
      <c r="I178" s="6"/>
      <c r="J178" s="6"/>
      <c r="K178" s="6"/>
    </row>
    <row r="179" spans="2:11">
      <c r="B179" s="6"/>
      <c r="D179" s="6"/>
      <c r="E179" s="6"/>
      <c r="F179" s="6"/>
      <c r="G179" s="6"/>
      <c r="H179" s="6"/>
      <c r="I179" s="6"/>
      <c r="J179" s="6"/>
      <c r="K179" s="6"/>
    </row>
    <row r="180" spans="2:11">
      <c r="B180" s="6"/>
      <c r="D180" s="6"/>
      <c r="E180" s="6"/>
      <c r="F180" s="6"/>
      <c r="G180" s="6"/>
      <c r="H180" s="6"/>
      <c r="I180" s="6"/>
      <c r="J180" s="6"/>
      <c r="K180" s="6"/>
    </row>
  </sheetData>
  <sheetProtection sheet="1" objects="1" scenarios="1"/>
  <mergeCells count="37">
    <mergeCell ref="A1:P1"/>
    <mergeCell ref="A2:P2"/>
    <mergeCell ref="A3:P3"/>
    <mergeCell ref="A4:D4"/>
    <mergeCell ref="A5:P5"/>
    <mergeCell ref="B15:B19"/>
    <mergeCell ref="D21:L21"/>
    <mergeCell ref="D22:D23"/>
    <mergeCell ref="E22:E23"/>
    <mergeCell ref="F22:G22"/>
    <mergeCell ref="H22:K22"/>
    <mergeCell ref="D15:L15"/>
    <mergeCell ref="D20:L20"/>
    <mergeCell ref="F33:G33"/>
    <mergeCell ref="H33:H35"/>
    <mergeCell ref="E34:E35"/>
    <mergeCell ref="F34:F35"/>
    <mergeCell ref="D31:L31"/>
    <mergeCell ref="D32:L32"/>
    <mergeCell ref="B118:B136"/>
    <mergeCell ref="B70:E71"/>
    <mergeCell ref="C22:C23"/>
    <mergeCell ref="B77:B92"/>
    <mergeCell ref="B93:B94"/>
    <mergeCell ref="D93:D94"/>
    <mergeCell ref="B95:B117"/>
    <mergeCell ref="C33:C35"/>
    <mergeCell ref="D33:D35"/>
    <mergeCell ref="B47:E47"/>
    <mergeCell ref="B48:B54"/>
    <mergeCell ref="B56:E56"/>
    <mergeCell ref="B57:B63"/>
    <mergeCell ref="B10:D10"/>
    <mergeCell ref="F10:S10"/>
    <mergeCell ref="F11:S11"/>
    <mergeCell ref="E12:R12"/>
    <mergeCell ref="E13:R13"/>
  </mergeCells>
  <conditionalFormatting sqref="D42">
    <cfRule type="containsText" dxfId="47" priority="5" operator="containsText" text="ERROR">
      <formula>NOT(ISERROR(SEARCH("ERROR",D42)))</formula>
    </cfRule>
  </conditionalFormatting>
  <conditionalFormatting sqref="F10">
    <cfRule type="notContainsBlanks" dxfId="46" priority="4">
      <formula>LEN(TRIM(F10))&gt;0</formula>
    </cfRule>
  </conditionalFormatting>
  <conditionalFormatting sqref="F11:S11">
    <cfRule type="expression" dxfId="45" priority="2">
      <formula>E11="NO SE REPORTA"</formula>
    </cfRule>
    <cfRule type="expression" dxfId="44" priority="3">
      <formula>E10="NO APLICA"</formula>
    </cfRule>
  </conditionalFormatting>
  <conditionalFormatting sqref="E12:R12">
    <cfRule type="expression" dxfId="43" priority="1">
      <formula>E11="SI SE REPORTA"</formula>
    </cfRule>
  </conditionalFormatting>
  <dataValidations count="6">
    <dataValidation type="whole" operator="greaterThanOrEqual" allowBlank="1" showErrorMessage="1" errorTitle="ERROR" error="Escriba un número igual o mayor que 0" promptTitle="ERROR" prompt="Escriba un número igual o mayor que 0" sqref="E17:H17">
      <formula1>0</formula1>
    </dataValidation>
    <dataValidation type="whole" operator="greaterThanOrEqual" allowBlank="1" showInputMessage="1" showErrorMessage="1" errorTitle="ERROR" error="Valor en PESOS (sin centavos)" sqref="E18:H19 H24:K29">
      <formula1>0</formula1>
    </dataValidation>
    <dataValidation type="decimal" allowBlank="1" showInputMessage="1" showErrorMessage="1" errorTitle="ERROR" error="Escriba un valor entre 0% y 100%" sqref="F24:G29 E36:E41">
      <formula1>0</formula1>
      <formula2>1</formula2>
    </dataValidation>
    <dataValidation allowBlank="1" showInputMessage="1" showErrorMessage="1" sqref="H30:K30 F36:G42 D42:E42"/>
    <dataValidation type="list" allowBlank="1" showInputMessage="1" showErrorMessage="1" sqref="E11">
      <formula1>REPORTE</formula1>
    </dataValidation>
    <dataValidation type="list" allowBlank="1" showInputMessage="1" showErrorMessage="1" sqref="E10">
      <formula1>SI</formula1>
    </dataValidation>
  </dataValidations>
  <hyperlinks>
    <hyperlink ref="D92" r:id="rId1"/>
    <hyperlink ref="B9" location="'ANEXO 3'!A1" display="VOLVER AL INDICE"/>
    <hyperlink ref="E52" r:id="rId2"/>
  </hyperlinks>
  <pageMargins left="0.25" right="0.25" top="0.75" bottom="0.75" header="0.3" footer="0.3"/>
  <pageSetup paperSize="178" orientation="landscape" horizontalDpi="1200" verticalDpi="1200" r:id="rId3"/>
  <drawing r:id="rId4"/>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89"/>
  <sheetViews>
    <sheetView showGridLines="0" topLeftCell="A34" zoomScale="98" zoomScaleNormal="98" workbookViewId="0">
      <selection activeCell="J47" sqref="J47"/>
    </sheetView>
  </sheetViews>
  <sheetFormatPr baseColWidth="10" defaultRowHeight="15"/>
  <cols>
    <col min="1" max="1" width="1.85546875" customWidth="1"/>
    <col min="2" max="2" width="12.85546875" customWidth="1"/>
    <col min="3" max="3" width="5" style="88" bestFit="1" customWidth="1"/>
    <col min="4" max="4" width="34.85546875" customWidth="1"/>
    <col min="5" max="5" width="12.140625" customWidth="1"/>
    <col min="9" max="9" width="11.5703125" style="140"/>
  </cols>
  <sheetData>
    <row r="1" spans="1:21" s="551" customFormat="1" ht="100.5" customHeight="1" thickBot="1">
      <c r="A1" s="1344"/>
      <c r="B1" s="1345"/>
      <c r="C1" s="1345"/>
      <c r="D1" s="1345"/>
      <c r="E1" s="1345"/>
      <c r="F1" s="1345"/>
      <c r="G1" s="1345"/>
      <c r="H1" s="1345"/>
      <c r="I1" s="1345"/>
      <c r="J1" s="1345"/>
      <c r="K1" s="1345"/>
      <c r="L1" s="1345"/>
      <c r="M1" s="1345"/>
      <c r="N1" s="1345"/>
      <c r="O1" s="1345"/>
      <c r="P1" s="1346"/>
      <c r="Q1" s="413"/>
      <c r="R1" s="413"/>
    </row>
    <row r="2" spans="1:21" s="552" customFormat="1" ht="16.5" thickBot="1">
      <c r="A2" s="1352" t="str">
        <f>'Datos Generales'!C5</f>
        <v>Corporación Autónoma Regional de La Guajira – CORPOGUAJIRA</v>
      </c>
      <c r="B2" s="1353"/>
      <c r="C2" s="1353"/>
      <c r="D2" s="1353"/>
      <c r="E2" s="1353"/>
      <c r="F2" s="1353"/>
      <c r="G2" s="1353"/>
      <c r="H2" s="1353"/>
      <c r="I2" s="1353"/>
      <c r="J2" s="1353"/>
      <c r="K2" s="1353"/>
      <c r="L2" s="1353"/>
      <c r="M2" s="1353"/>
      <c r="N2" s="1353"/>
      <c r="O2" s="1353"/>
      <c r="P2" s="1354"/>
      <c r="Q2" s="413"/>
      <c r="R2" s="413"/>
    </row>
    <row r="3" spans="1:21" s="552" customFormat="1" ht="16.5" thickBot="1">
      <c r="A3" s="1347" t="s">
        <v>1419</v>
      </c>
      <c r="B3" s="1348"/>
      <c r="C3" s="1348"/>
      <c r="D3" s="1348"/>
      <c r="E3" s="1348"/>
      <c r="F3" s="1348"/>
      <c r="G3" s="1348"/>
      <c r="H3" s="1348"/>
      <c r="I3" s="1348"/>
      <c r="J3" s="1348"/>
      <c r="K3" s="1348"/>
      <c r="L3" s="1348"/>
      <c r="M3" s="1348"/>
      <c r="N3" s="1348"/>
      <c r="O3" s="1348"/>
      <c r="P3" s="1349"/>
      <c r="Q3" s="413"/>
      <c r="R3" s="413"/>
    </row>
    <row r="4" spans="1:21" s="552" customFormat="1" ht="16.5" thickBot="1">
      <c r="A4" s="1350" t="s">
        <v>1418</v>
      </c>
      <c r="B4" s="1351"/>
      <c r="C4" s="1351"/>
      <c r="D4" s="1351"/>
      <c r="E4" s="571" t="str">
        <f>'Datos Generales'!C6</f>
        <v>2016-II</v>
      </c>
      <c r="F4" s="571"/>
      <c r="G4" s="571"/>
      <c r="H4" s="571"/>
      <c r="I4" s="571"/>
      <c r="J4" s="571"/>
      <c r="K4" s="571"/>
      <c r="L4" s="572"/>
      <c r="M4" s="572"/>
      <c r="N4" s="572"/>
      <c r="O4" s="572"/>
      <c r="P4" s="573"/>
      <c r="Q4" s="413"/>
      <c r="R4" s="413"/>
    </row>
    <row r="5" spans="1:21" s="245" customFormat="1" ht="16.5" customHeight="1" thickBot="1">
      <c r="A5" s="1347" t="s">
        <v>855</v>
      </c>
      <c r="B5" s="1348"/>
      <c r="C5" s="1348"/>
      <c r="D5" s="1348"/>
      <c r="E5" s="1348"/>
      <c r="F5" s="1348"/>
      <c r="G5" s="1348"/>
      <c r="H5" s="1348"/>
      <c r="I5" s="1348"/>
      <c r="J5" s="1348"/>
      <c r="K5" s="1348"/>
      <c r="L5" s="1348"/>
      <c r="M5" s="1348"/>
      <c r="N5" s="1348"/>
      <c r="O5" s="1348"/>
      <c r="P5" s="1349"/>
    </row>
    <row r="6" spans="1:21">
      <c r="B6" s="4" t="s">
        <v>1</v>
      </c>
      <c r="C6" s="96"/>
      <c r="D6" s="6"/>
      <c r="E6" s="75"/>
      <c r="F6" s="6" t="s">
        <v>133</v>
      </c>
      <c r="G6" s="6"/>
      <c r="H6" s="6"/>
      <c r="I6" s="88"/>
      <c r="J6" s="6"/>
      <c r="K6" s="6"/>
    </row>
    <row r="7" spans="1:21" ht="15.75" thickBot="1">
      <c r="B7" s="76"/>
      <c r="C7" s="78"/>
      <c r="D7" s="6"/>
      <c r="E7" s="18"/>
      <c r="F7" s="6" t="s">
        <v>134</v>
      </c>
      <c r="G7" s="6"/>
      <c r="H7" s="6"/>
      <c r="I7" s="88"/>
      <c r="J7" s="6"/>
      <c r="K7" s="6"/>
    </row>
    <row r="8" spans="1:21" ht="15.75" thickBot="1">
      <c r="B8" s="178" t="s">
        <v>1204</v>
      </c>
      <c r="C8" s="222">
        <v>2017</v>
      </c>
      <c r="D8" s="226">
        <f>IF(E10="NO APLICA","NO APLICA",IF(E11="NO SE REPORTA","SIN INFORMACION",+G57))</f>
        <v>0.73281680645807956</v>
      </c>
      <c r="E8" s="223"/>
      <c r="F8" s="6" t="s">
        <v>135</v>
      </c>
      <c r="G8" s="6"/>
      <c r="H8" s="6"/>
      <c r="I8" s="88"/>
      <c r="J8" s="6"/>
      <c r="K8" s="6"/>
    </row>
    <row r="9" spans="1:21">
      <c r="B9" s="507" t="s">
        <v>1205</v>
      </c>
      <c r="D9" s="6"/>
      <c r="E9" s="6"/>
      <c r="F9" s="6"/>
      <c r="G9" s="6"/>
      <c r="H9" s="6"/>
      <c r="I9" s="88"/>
      <c r="J9" s="6"/>
      <c r="K9" s="6"/>
    </row>
    <row r="10" spans="1:21" s="413" customFormat="1">
      <c r="A10" s="245"/>
      <c r="B10" s="1412" t="s">
        <v>1265</v>
      </c>
      <c r="C10" s="1412"/>
      <c r="D10" s="1412"/>
      <c r="E10" s="513" t="s">
        <v>1262</v>
      </c>
      <c r="F10" s="1419"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420"/>
      <c r="H10" s="1420"/>
      <c r="I10" s="1420"/>
      <c r="J10" s="1420"/>
      <c r="K10" s="1420"/>
      <c r="L10" s="1420"/>
      <c r="M10" s="1420"/>
      <c r="N10" s="1420"/>
      <c r="O10" s="1420"/>
      <c r="P10" s="1420"/>
      <c r="Q10" s="1420"/>
      <c r="R10" s="1420"/>
      <c r="S10" s="1420"/>
      <c r="T10" s="509"/>
      <c r="U10" s="509"/>
    </row>
    <row r="11" spans="1:21" s="413" customFormat="1" ht="14.45" customHeight="1">
      <c r="A11" s="245"/>
      <c r="B11" s="510"/>
      <c r="C11" s="511"/>
      <c r="D11" s="512" t="str">
        <f>IF(E10="SI APLICA","¿El indicador no se reporta por limitaciones de información disponible? ","")</f>
        <v xml:space="preserve">¿El indicador no se reporta por limitaciones de información disponible? </v>
      </c>
      <c r="E11" s="514" t="s">
        <v>1264</v>
      </c>
      <c r="F11" s="1413"/>
      <c r="G11" s="1414"/>
      <c r="H11" s="1414"/>
      <c r="I11" s="1414"/>
      <c r="J11" s="1414"/>
      <c r="K11" s="1414"/>
      <c r="L11" s="1414"/>
      <c r="M11" s="1414"/>
      <c r="N11" s="1414"/>
      <c r="O11" s="1414"/>
      <c r="P11" s="1414"/>
      <c r="Q11" s="1414"/>
      <c r="R11" s="1414"/>
      <c r="S11" s="1414"/>
    </row>
    <row r="12" spans="1:21" s="413" customFormat="1" ht="23.45" customHeight="1">
      <c r="A12" s="245"/>
      <c r="B12" s="507"/>
      <c r="C12" s="304"/>
      <c r="D12" s="512" t="str">
        <f>IF(E11="SI SE REPORTA","¿Qué programas o proyectos del Plan de Acción están asociados al indicador? ","")</f>
        <v xml:space="preserve">¿Qué programas o proyectos del Plan de Acción están asociados al indicador? </v>
      </c>
      <c r="E12" s="1415" t="str">
        <f>'Anexo 1 Matriz Inf Gestión'!E9:H9</f>
        <v>Proyecto No 1.1.Planificación, Ordenamiento e Información Ambiental Territorial (1)</v>
      </c>
      <c r="F12" s="1415"/>
      <c r="G12" s="1415"/>
      <c r="H12" s="1415"/>
      <c r="I12" s="1415"/>
      <c r="J12" s="1415"/>
      <c r="K12" s="1415"/>
      <c r="L12" s="1415"/>
      <c r="M12" s="1415"/>
      <c r="N12" s="1415"/>
      <c r="O12" s="1415"/>
      <c r="P12" s="1415"/>
      <c r="Q12" s="1415"/>
      <c r="R12" s="1415"/>
    </row>
    <row r="13" spans="1:21" s="413" customFormat="1" ht="21.95" customHeight="1">
      <c r="A13" s="245"/>
      <c r="B13" s="507"/>
      <c r="C13" s="304"/>
      <c r="D13" s="512" t="s">
        <v>1267</v>
      </c>
      <c r="E13" s="1416"/>
      <c r="F13" s="1417"/>
      <c r="G13" s="1417"/>
      <c r="H13" s="1417"/>
      <c r="I13" s="1417"/>
      <c r="J13" s="1417"/>
      <c r="K13" s="1417"/>
      <c r="L13" s="1417"/>
      <c r="M13" s="1417"/>
      <c r="N13" s="1417"/>
      <c r="O13" s="1417"/>
      <c r="P13" s="1417"/>
      <c r="Q13" s="1417"/>
      <c r="R13" s="1418"/>
    </row>
    <row r="14" spans="1:21" s="413" customFormat="1" ht="6.95" customHeight="1" thickBot="1">
      <c r="B14" s="507"/>
      <c r="C14" s="88"/>
      <c r="D14" s="6"/>
      <c r="E14" s="6"/>
      <c r="F14" s="6"/>
      <c r="G14" s="6"/>
      <c r="H14" s="6"/>
      <c r="I14" s="88"/>
      <c r="J14" s="6"/>
      <c r="K14" s="6"/>
    </row>
    <row r="15" spans="1:21">
      <c r="B15" s="1447" t="s">
        <v>2</v>
      </c>
      <c r="C15" s="90"/>
      <c r="D15" s="1458" t="s">
        <v>3</v>
      </c>
      <c r="E15" s="1459"/>
      <c r="F15" s="1459"/>
      <c r="G15" s="1459"/>
      <c r="H15" s="1459"/>
      <c r="I15" s="1460"/>
      <c r="J15" s="6"/>
      <c r="K15" s="6"/>
    </row>
    <row r="16" spans="1:21">
      <c r="B16" s="1448"/>
      <c r="C16" s="93"/>
      <c r="D16" s="1566" t="s">
        <v>882</v>
      </c>
      <c r="E16" s="1567"/>
      <c r="F16" s="1567"/>
      <c r="G16" s="1567"/>
      <c r="H16" s="1567"/>
      <c r="I16" s="1568"/>
      <c r="J16" s="6"/>
      <c r="K16" s="6"/>
    </row>
    <row r="17" spans="2:11" ht="15.75" thickBot="1">
      <c r="B17" s="1448"/>
      <c r="C17" s="93"/>
      <c r="D17" s="1492"/>
      <c r="E17" s="1493"/>
      <c r="F17" s="1493"/>
      <c r="G17" s="1493"/>
      <c r="H17" s="1493"/>
      <c r="I17" s="1494"/>
      <c r="J17" s="6"/>
      <c r="K17" s="6"/>
    </row>
    <row r="18" spans="2:11" ht="15.75" thickBot="1">
      <c r="B18" s="1448"/>
      <c r="C18" s="95"/>
      <c r="D18" s="44" t="s">
        <v>156</v>
      </c>
      <c r="E18" s="39" t="s">
        <v>25</v>
      </c>
      <c r="F18" s="39" t="s">
        <v>26</v>
      </c>
      <c r="G18" s="39" t="s">
        <v>27</v>
      </c>
      <c r="H18" s="39" t="s">
        <v>28</v>
      </c>
      <c r="I18" s="91" t="s">
        <v>157</v>
      </c>
      <c r="J18" s="6"/>
      <c r="K18" s="6"/>
    </row>
    <row r="19" spans="2:11" ht="36.75" thickBot="1">
      <c r="B19" s="1448"/>
      <c r="C19" s="95"/>
      <c r="D19" s="129" t="s">
        <v>883</v>
      </c>
      <c r="E19" s="7">
        <v>850</v>
      </c>
      <c r="F19" s="7">
        <v>304</v>
      </c>
      <c r="G19" s="7"/>
      <c r="H19" s="7"/>
      <c r="I19" s="151">
        <f t="shared" ref="I19:I20" si="0">SUM(E19:H19)</f>
        <v>1154</v>
      </c>
      <c r="J19" s="6"/>
      <c r="K19" s="6"/>
    </row>
    <row r="20" spans="2:11" ht="24.75" thickBot="1">
      <c r="B20" s="1448"/>
      <c r="C20" s="95"/>
      <c r="D20" s="129" t="s">
        <v>1840</v>
      </c>
      <c r="E20" s="7">
        <v>4</v>
      </c>
      <c r="F20" s="7">
        <v>1</v>
      </c>
      <c r="G20" s="7"/>
      <c r="H20" s="7"/>
      <c r="I20" s="151">
        <f t="shared" si="0"/>
        <v>5</v>
      </c>
      <c r="J20" s="6"/>
      <c r="K20" s="6"/>
    </row>
    <row r="21" spans="2:11" ht="36.75" thickBot="1">
      <c r="B21" s="1448"/>
      <c r="C21" s="95"/>
      <c r="D21" s="129" t="s">
        <v>884</v>
      </c>
      <c r="E21" s="152">
        <f>+E19/E20</f>
        <v>212.5</v>
      </c>
      <c r="F21" s="152">
        <f t="shared" ref="F21:I21" si="1">+F19/F20</f>
        <v>304</v>
      </c>
      <c r="G21" s="152" t="e">
        <f t="shared" si="1"/>
        <v>#DIV/0!</v>
      </c>
      <c r="H21" s="152" t="e">
        <f t="shared" si="1"/>
        <v>#DIV/0!</v>
      </c>
      <c r="I21" s="152">
        <f t="shared" si="1"/>
        <v>230.8</v>
      </c>
      <c r="J21" s="6"/>
      <c r="K21" s="6"/>
    </row>
    <row r="22" spans="2:11">
      <c r="B22" s="1448"/>
      <c r="C22" s="93"/>
      <c r="D22" s="1458"/>
      <c r="E22" s="1459"/>
      <c r="F22" s="1459"/>
      <c r="G22" s="1459"/>
      <c r="H22" s="1459"/>
      <c r="I22" s="1460"/>
      <c r="J22" s="6"/>
      <c r="K22" s="6"/>
    </row>
    <row r="23" spans="2:11">
      <c r="B23" s="1448"/>
      <c r="C23" s="93"/>
      <c r="D23" s="1566" t="s">
        <v>885</v>
      </c>
      <c r="E23" s="1567"/>
      <c r="F23" s="1567"/>
      <c r="G23" s="1567"/>
      <c r="H23" s="1567"/>
      <c r="I23" s="1568"/>
      <c r="J23" s="6"/>
      <c r="K23" s="6"/>
    </row>
    <row r="24" spans="2:11" ht="15.75" thickBot="1">
      <c r="B24" s="1448"/>
      <c r="C24" s="93"/>
      <c r="D24" s="1467"/>
      <c r="E24" s="1468"/>
      <c r="F24" s="1468"/>
      <c r="G24" s="1468"/>
      <c r="H24" s="1468"/>
      <c r="I24" s="1469"/>
      <c r="J24" s="6"/>
      <c r="K24" s="6"/>
    </row>
    <row r="25" spans="2:11" ht="15.75" thickBot="1">
      <c r="B25" s="1448"/>
      <c r="C25" s="95"/>
      <c r="D25" s="44" t="s">
        <v>156</v>
      </c>
      <c r="E25" s="39" t="s">
        <v>25</v>
      </c>
      <c r="F25" s="39" t="s">
        <v>26</v>
      </c>
      <c r="G25" s="39" t="s">
        <v>27</v>
      </c>
      <c r="H25" s="39" t="s">
        <v>28</v>
      </c>
      <c r="I25" s="91" t="s">
        <v>157</v>
      </c>
      <c r="J25" s="6"/>
      <c r="K25" s="6"/>
    </row>
    <row r="26" spans="2:11" ht="36.75" thickBot="1">
      <c r="B26" s="1448"/>
      <c r="C26" s="95"/>
      <c r="D26" s="129" t="s">
        <v>1864</v>
      </c>
      <c r="E26" s="7">
        <v>2302</v>
      </c>
      <c r="F26" s="7">
        <v>0</v>
      </c>
      <c r="G26" s="7"/>
      <c r="H26" s="7"/>
      <c r="I26" s="151">
        <f t="shared" ref="I26:I27" si="2">SUM(E26:H26)</f>
        <v>2302</v>
      </c>
      <c r="J26" s="6"/>
      <c r="K26" s="6"/>
    </row>
    <row r="27" spans="2:11" ht="36.75" thickBot="1">
      <c r="B27" s="1448"/>
      <c r="C27" s="95"/>
      <c r="D27" s="129" t="s">
        <v>1860</v>
      </c>
      <c r="E27" s="7">
        <v>20</v>
      </c>
      <c r="F27" s="7">
        <v>0</v>
      </c>
      <c r="G27" s="7"/>
      <c r="H27" s="7"/>
      <c r="I27" s="151">
        <f t="shared" si="2"/>
        <v>20</v>
      </c>
      <c r="J27" s="6"/>
      <c r="K27" s="6"/>
    </row>
    <row r="28" spans="2:11" ht="36.75" thickBot="1">
      <c r="B28" s="1448"/>
      <c r="C28" s="95"/>
      <c r="D28" s="129" t="s">
        <v>886</v>
      </c>
      <c r="E28" s="152">
        <f t="shared" ref="E28:I28" si="3">+E26/E27</f>
        <v>115.1</v>
      </c>
      <c r="F28" s="152" t="e">
        <f t="shared" si="3"/>
        <v>#DIV/0!</v>
      </c>
      <c r="G28" s="152" t="e">
        <f t="shared" si="3"/>
        <v>#DIV/0!</v>
      </c>
      <c r="H28" s="152" t="e">
        <f t="shared" si="3"/>
        <v>#DIV/0!</v>
      </c>
      <c r="I28" s="152">
        <f t="shared" si="3"/>
        <v>115.1</v>
      </c>
      <c r="J28" s="6"/>
      <c r="K28" s="6"/>
    </row>
    <row r="29" spans="2:11">
      <c r="B29" s="1448"/>
      <c r="C29" s="93"/>
      <c r="D29" s="1458"/>
      <c r="E29" s="1459"/>
      <c r="F29" s="1459"/>
      <c r="G29" s="1459"/>
      <c r="H29" s="1459"/>
      <c r="I29" s="1460"/>
      <c r="J29" s="6"/>
      <c r="K29" s="6"/>
    </row>
    <row r="30" spans="2:11">
      <c r="B30" s="1448"/>
      <c r="C30" s="93"/>
      <c r="D30" s="1566" t="s">
        <v>887</v>
      </c>
      <c r="E30" s="1567"/>
      <c r="F30" s="1567"/>
      <c r="G30" s="1567"/>
      <c r="H30" s="1567"/>
      <c r="I30" s="1568"/>
      <c r="J30" s="6"/>
      <c r="K30" s="6"/>
    </row>
    <row r="31" spans="2:11" ht="15.75" thickBot="1">
      <c r="B31" s="1448"/>
      <c r="C31" s="93"/>
      <c r="D31" s="1492"/>
      <c r="E31" s="1493"/>
      <c r="F31" s="1493"/>
      <c r="G31" s="1493"/>
      <c r="H31" s="1493"/>
      <c r="I31" s="1494"/>
      <c r="J31" s="6"/>
      <c r="K31" s="6"/>
    </row>
    <row r="32" spans="2:11" ht="15.75" thickBot="1">
      <c r="B32" s="1448"/>
      <c r="C32" s="95"/>
      <c r="D32" s="44" t="s">
        <v>156</v>
      </c>
      <c r="E32" s="39" t="s">
        <v>25</v>
      </c>
      <c r="F32" s="39" t="s">
        <v>26</v>
      </c>
      <c r="G32" s="39" t="s">
        <v>27</v>
      </c>
      <c r="H32" s="39" t="s">
        <v>28</v>
      </c>
      <c r="I32" s="91" t="s">
        <v>157</v>
      </c>
      <c r="J32" s="6"/>
      <c r="K32" s="6"/>
    </row>
    <row r="33" spans="2:11" ht="36.75" thickBot="1">
      <c r="B33" s="1448"/>
      <c r="C33" s="95"/>
      <c r="D33" s="129" t="s">
        <v>888</v>
      </c>
      <c r="E33" s="7">
        <v>475</v>
      </c>
      <c r="F33" s="7">
        <v>1831</v>
      </c>
      <c r="G33" s="7"/>
      <c r="H33" s="7"/>
      <c r="I33" s="151">
        <f t="shared" ref="I33:I34" si="4">SUM(E33:H33)</f>
        <v>2306</v>
      </c>
      <c r="J33" s="6"/>
      <c r="K33" s="6"/>
    </row>
    <row r="34" spans="2:11" ht="24.75" thickBot="1">
      <c r="B34" s="1448"/>
      <c r="C34" s="95"/>
      <c r="D34" s="129" t="s">
        <v>1861</v>
      </c>
      <c r="E34" s="7">
        <v>6</v>
      </c>
      <c r="F34" s="7">
        <v>19</v>
      </c>
      <c r="G34" s="7"/>
      <c r="H34" s="7"/>
      <c r="I34" s="151">
        <f t="shared" si="4"/>
        <v>25</v>
      </c>
      <c r="J34" s="6"/>
      <c r="K34" s="6"/>
    </row>
    <row r="35" spans="2:11" ht="36.75" thickBot="1">
      <c r="B35" s="1448"/>
      <c r="C35" s="95"/>
      <c r="D35" s="129" t="s">
        <v>889</v>
      </c>
      <c r="E35" s="152">
        <f t="shared" ref="E35" si="5">+E33/E34</f>
        <v>79.166666666666671</v>
      </c>
      <c r="F35" s="152">
        <f t="shared" ref="F35" si="6">+F33/F34</f>
        <v>96.368421052631575</v>
      </c>
      <c r="G35" s="152" t="e">
        <f t="shared" ref="G35" si="7">+G33/G34</f>
        <v>#DIV/0!</v>
      </c>
      <c r="H35" s="152" t="e">
        <f t="shared" ref="H35" si="8">+H33/H34</f>
        <v>#DIV/0!</v>
      </c>
      <c r="I35" s="152">
        <f t="shared" ref="I35" si="9">+I33/I34</f>
        <v>92.24</v>
      </c>
      <c r="J35" s="6"/>
      <c r="K35" s="6"/>
    </row>
    <row r="36" spans="2:11">
      <c r="B36" s="1448"/>
      <c r="C36" s="93"/>
      <c r="D36" s="1458"/>
      <c r="E36" s="1459"/>
      <c r="F36" s="1459"/>
      <c r="G36" s="1459"/>
      <c r="H36" s="1459"/>
      <c r="I36" s="1460"/>
      <c r="J36" s="6"/>
      <c r="K36" s="6"/>
    </row>
    <row r="37" spans="2:11">
      <c r="B37" s="1448"/>
      <c r="C37" s="93"/>
      <c r="D37" s="1566" t="s">
        <v>890</v>
      </c>
      <c r="E37" s="1567"/>
      <c r="F37" s="1567"/>
      <c r="G37" s="1567"/>
      <c r="H37" s="1567"/>
      <c r="I37" s="1568"/>
      <c r="J37" s="6"/>
      <c r="K37" s="6"/>
    </row>
    <row r="38" spans="2:11" ht="15.75" thickBot="1">
      <c r="B38" s="1448"/>
      <c r="C38" s="93"/>
      <c r="D38" s="1492"/>
      <c r="E38" s="1493"/>
      <c r="F38" s="1493"/>
      <c r="G38" s="1493"/>
      <c r="H38" s="1493"/>
      <c r="I38" s="1494"/>
      <c r="J38" s="6"/>
      <c r="K38" s="6"/>
    </row>
    <row r="39" spans="2:11" ht="15.75" thickBot="1">
      <c r="B39" s="1448"/>
      <c r="C39" s="95"/>
      <c r="D39" s="44" t="s">
        <v>156</v>
      </c>
      <c r="E39" s="39" t="s">
        <v>25</v>
      </c>
      <c r="F39" s="39" t="s">
        <v>26</v>
      </c>
      <c r="G39" s="39" t="s">
        <v>27</v>
      </c>
      <c r="H39" s="39" t="s">
        <v>28</v>
      </c>
      <c r="I39" s="91" t="s">
        <v>157</v>
      </c>
      <c r="J39" s="6"/>
      <c r="K39" s="6"/>
    </row>
    <row r="40" spans="2:11" ht="36.75" thickBot="1">
      <c r="B40" s="1448"/>
      <c r="C40" s="95"/>
      <c r="D40" s="129" t="s">
        <v>891</v>
      </c>
      <c r="E40" s="7">
        <v>1406</v>
      </c>
      <c r="F40" s="7">
        <v>685</v>
      </c>
      <c r="G40" s="7"/>
      <c r="H40" s="7"/>
      <c r="I40" s="151">
        <f t="shared" ref="I40:I41" si="10">SUM(E40:H40)</f>
        <v>2091</v>
      </c>
      <c r="J40" s="6"/>
      <c r="K40" s="6"/>
    </row>
    <row r="41" spans="2:11" ht="36.75" thickBot="1">
      <c r="B41" s="1448"/>
      <c r="C41" s="95"/>
      <c r="D41" s="129" t="s">
        <v>1862</v>
      </c>
      <c r="E41" s="7">
        <v>23</v>
      </c>
      <c r="F41" s="7">
        <v>17</v>
      </c>
      <c r="G41" s="7"/>
      <c r="H41" s="7"/>
      <c r="I41" s="151">
        <f t="shared" si="10"/>
        <v>40</v>
      </c>
      <c r="J41" s="6"/>
      <c r="K41" s="6"/>
    </row>
    <row r="42" spans="2:11" ht="36.75" thickBot="1">
      <c r="B42" s="1448"/>
      <c r="C42" s="95"/>
      <c r="D42" s="129" t="s">
        <v>892</v>
      </c>
      <c r="E42" s="152">
        <f t="shared" ref="E42" si="11">+E40/E41</f>
        <v>61.130434782608695</v>
      </c>
      <c r="F42" s="152">
        <f t="shared" ref="F42" si="12">+F40/F41</f>
        <v>40.294117647058826</v>
      </c>
      <c r="G42" s="152" t="e">
        <f t="shared" ref="G42" si="13">+G40/G41</f>
        <v>#DIV/0!</v>
      </c>
      <c r="H42" s="152" t="e">
        <f t="shared" ref="H42" si="14">+H40/H41</f>
        <v>#DIV/0!</v>
      </c>
      <c r="I42" s="152">
        <f t="shared" ref="I42" si="15">+I40/I41</f>
        <v>52.274999999999999</v>
      </c>
      <c r="J42" s="6"/>
      <c r="K42" s="6"/>
    </row>
    <row r="43" spans="2:11">
      <c r="B43" s="1448"/>
      <c r="C43" s="93"/>
      <c r="D43" s="1458"/>
      <c r="E43" s="1459"/>
      <c r="F43" s="1459"/>
      <c r="G43" s="1459"/>
      <c r="H43" s="1459"/>
      <c r="I43" s="1460"/>
      <c r="J43" s="6"/>
      <c r="K43" s="6"/>
    </row>
    <row r="44" spans="2:11">
      <c r="B44" s="1448"/>
      <c r="C44" s="93"/>
      <c r="D44" s="1566" t="s">
        <v>893</v>
      </c>
      <c r="E44" s="1567"/>
      <c r="F44" s="1567"/>
      <c r="G44" s="1567"/>
      <c r="H44" s="1567"/>
      <c r="I44" s="1568"/>
      <c r="J44" s="6"/>
      <c r="K44" s="6"/>
    </row>
    <row r="45" spans="2:11" ht="15.75" thickBot="1">
      <c r="B45" s="1448"/>
      <c r="C45" s="93"/>
      <c r="D45" s="1492"/>
      <c r="E45" s="1493"/>
      <c r="F45" s="1493"/>
      <c r="G45" s="1493"/>
      <c r="H45" s="1493"/>
      <c r="I45" s="1494"/>
      <c r="J45" s="6"/>
      <c r="K45" s="6"/>
    </row>
    <row r="46" spans="2:11" ht="15.75" thickBot="1">
      <c r="B46" s="1448"/>
      <c r="C46" s="95"/>
      <c r="D46" s="44" t="s">
        <v>156</v>
      </c>
      <c r="E46" s="39" t="s">
        <v>25</v>
      </c>
      <c r="F46" s="39" t="s">
        <v>26</v>
      </c>
      <c r="G46" s="39" t="s">
        <v>27</v>
      </c>
      <c r="H46" s="39" t="s">
        <v>28</v>
      </c>
      <c r="I46" s="91" t="s">
        <v>157</v>
      </c>
      <c r="J46" s="6"/>
      <c r="K46" s="6"/>
    </row>
    <row r="47" spans="2:11" ht="36.75" thickBot="1">
      <c r="B47" s="1448"/>
      <c r="C47" s="95"/>
      <c r="D47" s="129" t="s">
        <v>894</v>
      </c>
      <c r="E47" s="7">
        <v>735</v>
      </c>
      <c r="F47" s="7">
        <v>385</v>
      </c>
      <c r="G47" s="7"/>
      <c r="H47" s="7"/>
      <c r="I47" s="151">
        <f t="shared" ref="I47:I48" si="16">SUM(E47:H47)</f>
        <v>1120</v>
      </c>
      <c r="J47" s="6"/>
      <c r="K47" s="6"/>
    </row>
    <row r="48" spans="2:11" ht="36.75" thickBot="1">
      <c r="B48" s="1448"/>
      <c r="C48" s="95"/>
      <c r="D48" s="129" t="s">
        <v>1863</v>
      </c>
      <c r="E48" s="7">
        <v>5</v>
      </c>
      <c r="F48" s="7">
        <v>3</v>
      </c>
      <c r="G48" s="7"/>
      <c r="H48" s="7"/>
      <c r="I48" s="151">
        <f t="shared" si="16"/>
        <v>8</v>
      </c>
      <c r="J48" s="6"/>
      <c r="K48" s="6"/>
    </row>
    <row r="49" spans="2:11" ht="36.75" thickBot="1">
      <c r="B49" s="1449"/>
      <c r="C49" s="3"/>
      <c r="D49" s="129" t="s">
        <v>895</v>
      </c>
      <c r="E49" s="152">
        <f t="shared" ref="E49" si="17">+E47/E48</f>
        <v>147</v>
      </c>
      <c r="F49" s="152">
        <f t="shared" ref="F49" si="18">+F47/F48</f>
        <v>128.33333333333334</v>
      </c>
      <c r="G49" s="152" t="e">
        <f t="shared" ref="G49" si="19">+G47/G48</f>
        <v>#DIV/0!</v>
      </c>
      <c r="H49" s="152" t="e">
        <f t="shared" ref="H49" si="20">+H47/H48</f>
        <v>#DIV/0!</v>
      </c>
      <c r="I49" s="152">
        <f t="shared" ref="I49" si="21">+I47/I48</f>
        <v>140</v>
      </c>
      <c r="J49" s="6"/>
      <c r="K49" s="6"/>
    </row>
    <row r="50" spans="2:11" s="413" customFormat="1" ht="15.75" thickBot="1"/>
    <row r="51" spans="2:11" s="413" customFormat="1" ht="24.75" thickBot="1">
      <c r="D51" s="299" t="s">
        <v>1254</v>
      </c>
      <c r="E51" s="299" t="s">
        <v>1257</v>
      </c>
      <c r="F51" s="299" t="s">
        <v>1258</v>
      </c>
      <c r="G51" s="455" t="s">
        <v>1259</v>
      </c>
    </row>
    <row r="52" spans="2:11" s="413" customFormat="1" ht="15.75" thickBot="1">
      <c r="D52" s="299" t="str">
        <f>+D16</f>
        <v>Licencias ambientales</v>
      </c>
      <c r="E52" s="152">
        <f>F21</f>
        <v>304</v>
      </c>
      <c r="F52" s="489">
        <v>90</v>
      </c>
      <c r="G52" s="196">
        <f t="shared" ref="G52:G56" si="22">IF(F52/E52&gt;1,1,F52/E52)</f>
        <v>0.29605263157894735</v>
      </c>
    </row>
    <row r="53" spans="2:11" s="413" customFormat="1" ht="15.75" thickBot="1">
      <c r="D53" s="299" t="str">
        <f>+D23</f>
        <v>Concesiones de agua</v>
      </c>
      <c r="E53" s="152">
        <v>0</v>
      </c>
      <c r="F53" s="489">
        <v>90</v>
      </c>
      <c r="G53" s="196"/>
    </row>
    <row r="54" spans="2:11" s="413" customFormat="1" ht="15.75" thickBot="1">
      <c r="D54" s="299" t="str">
        <f>+D30</f>
        <v>Permisos de vertimiento de agua</v>
      </c>
      <c r="E54" s="152">
        <f>+F35</f>
        <v>96.368421052631575</v>
      </c>
      <c r="F54" s="489">
        <v>90</v>
      </c>
      <c r="G54" s="196">
        <f t="shared" si="22"/>
        <v>0.93391589295466959</v>
      </c>
    </row>
    <row r="55" spans="2:11" s="413" customFormat="1" ht="15.75" thickBot="1">
      <c r="D55" s="299" t="str">
        <f>+D37</f>
        <v>Permisos de aprovechamiento forestal</v>
      </c>
      <c r="E55" s="152">
        <f>+F42</f>
        <v>40.294117647058826</v>
      </c>
      <c r="F55" s="489">
        <v>90</v>
      </c>
      <c r="G55" s="196">
        <f t="shared" si="22"/>
        <v>1</v>
      </c>
    </row>
    <row r="56" spans="2:11" s="413" customFormat="1" ht="15.75" thickBot="1">
      <c r="D56" s="299" t="str">
        <f>+D44</f>
        <v>Permisos de emisiones atmosféricas</v>
      </c>
      <c r="E56" s="152">
        <f>+F49</f>
        <v>128.33333333333334</v>
      </c>
      <c r="F56" s="489">
        <v>90</v>
      </c>
      <c r="G56" s="196">
        <f t="shared" si="22"/>
        <v>0.7012987012987012</v>
      </c>
    </row>
    <row r="57" spans="2:11" s="413" customFormat="1" ht="24.75" thickBot="1">
      <c r="D57" s="299" t="s">
        <v>1253</v>
      </c>
      <c r="E57" s="152">
        <f>AVERAGE(E52:E56)</f>
        <v>113.79917440660475</v>
      </c>
      <c r="F57" s="152">
        <f>AVERAGE(F52:F56)</f>
        <v>90</v>
      </c>
      <c r="G57" s="196">
        <f>AVERAGE(G52:G56)</f>
        <v>0.73281680645807956</v>
      </c>
    </row>
    <row r="58" spans="2:11" s="413" customFormat="1"/>
    <row r="59" spans="2:11" s="413" customFormat="1" ht="15.75" thickBot="1"/>
    <row r="60" spans="2:11" ht="60" customHeight="1" thickBot="1">
      <c r="B60" s="53" t="s">
        <v>39</v>
      </c>
      <c r="C60" s="214"/>
      <c r="D60" s="1453" t="s">
        <v>896</v>
      </c>
      <c r="E60" s="1454"/>
      <c r="F60" s="1454"/>
      <c r="G60" s="1454"/>
      <c r="H60" s="1454"/>
      <c r="I60" s="1455"/>
      <c r="J60" s="6"/>
      <c r="K60" s="6"/>
    </row>
    <row r="61" spans="2:11" ht="36" customHeight="1" thickBot="1">
      <c r="B61" s="48" t="s">
        <v>41</v>
      </c>
      <c r="C61" s="94"/>
      <c r="D61" s="1453" t="s">
        <v>165</v>
      </c>
      <c r="E61" s="1454"/>
      <c r="F61" s="1454"/>
      <c r="G61" s="1454"/>
      <c r="H61" s="1454"/>
      <c r="I61" s="1455"/>
      <c r="J61" s="6"/>
      <c r="K61" s="6"/>
    </row>
    <row r="62" spans="2:11" ht="15.75" thickBot="1">
      <c r="B62" s="2"/>
      <c r="C62" s="77"/>
      <c r="D62" s="6"/>
      <c r="E62" s="6"/>
      <c r="F62" s="6"/>
      <c r="G62" s="6"/>
      <c r="H62" s="6"/>
      <c r="I62" s="88"/>
      <c r="J62" s="6"/>
      <c r="K62" s="6"/>
    </row>
    <row r="63" spans="2:11" ht="24" customHeight="1" thickBot="1">
      <c r="B63" s="1450" t="s">
        <v>43</v>
      </c>
      <c r="C63" s="1451"/>
      <c r="D63" s="1451"/>
      <c r="E63" s="1452"/>
      <c r="F63" s="6"/>
      <c r="G63" s="6"/>
      <c r="H63" s="6"/>
      <c r="I63" s="88"/>
      <c r="J63" s="6"/>
      <c r="K63" s="6"/>
    </row>
    <row r="64" spans="2:11" ht="15.75" thickBot="1">
      <c r="B64" s="1447">
        <v>1</v>
      </c>
      <c r="C64" s="95"/>
      <c r="D64" s="49" t="s">
        <v>44</v>
      </c>
      <c r="E64" s="141" t="s">
        <v>1642</v>
      </c>
      <c r="F64" s="6"/>
      <c r="G64" s="6"/>
      <c r="H64" s="6"/>
      <c r="I64" s="88"/>
      <c r="J64" s="6"/>
      <c r="K64" s="6"/>
    </row>
    <row r="65" spans="2:11" ht="15.75" thickBot="1">
      <c r="B65" s="1448"/>
      <c r="C65" s="95"/>
      <c r="D65" s="41" t="s">
        <v>45</v>
      </c>
      <c r="E65" s="141" t="s">
        <v>1841</v>
      </c>
      <c r="F65" s="6"/>
      <c r="G65" s="6"/>
      <c r="H65" s="6"/>
      <c r="I65" s="88"/>
      <c r="J65" s="6"/>
      <c r="K65" s="6"/>
    </row>
    <row r="66" spans="2:11" ht="15.75" thickBot="1">
      <c r="B66" s="1448"/>
      <c r="C66" s="95"/>
      <c r="D66" s="41" t="s">
        <v>46</v>
      </c>
      <c r="E66" s="141" t="s">
        <v>1842</v>
      </c>
      <c r="F66" s="6"/>
      <c r="G66" s="6"/>
      <c r="H66" s="6"/>
      <c r="I66" s="88"/>
      <c r="J66" s="6"/>
      <c r="K66" s="6"/>
    </row>
    <row r="67" spans="2:11" ht="15.75" thickBot="1">
      <c r="B67" s="1448"/>
      <c r="C67" s="95"/>
      <c r="D67" s="41" t="s">
        <v>47</v>
      </c>
      <c r="E67" s="141" t="s">
        <v>1660</v>
      </c>
      <c r="F67" s="6"/>
      <c r="G67" s="6"/>
      <c r="H67" s="6"/>
      <c r="I67" s="88"/>
      <c r="J67" s="6"/>
      <c r="K67" s="6"/>
    </row>
    <row r="68" spans="2:11" ht="15.75" thickBot="1">
      <c r="B68" s="1448"/>
      <c r="C68" s="95"/>
      <c r="D68" s="41" t="s">
        <v>48</v>
      </c>
      <c r="E68" s="1072" t="s">
        <v>1661</v>
      </c>
      <c r="F68" s="6"/>
      <c r="G68" s="6"/>
      <c r="H68" s="6"/>
      <c r="I68" s="88"/>
      <c r="J68" s="6"/>
      <c r="K68" s="6"/>
    </row>
    <row r="69" spans="2:11" ht="15.75" thickBot="1">
      <c r="B69" s="1448"/>
      <c r="C69" s="95"/>
      <c r="D69" s="41" t="s">
        <v>49</v>
      </c>
      <c r="E69" s="141" t="s">
        <v>1843</v>
      </c>
      <c r="F69" s="6"/>
      <c r="G69" s="6"/>
      <c r="H69" s="6"/>
      <c r="I69" s="88"/>
      <c r="J69" s="6"/>
      <c r="K69" s="6"/>
    </row>
    <row r="70" spans="2:11" ht="15.75" thickBot="1">
      <c r="B70" s="1449"/>
      <c r="C70" s="3"/>
      <c r="D70" s="41" t="s">
        <v>50</v>
      </c>
      <c r="E70" s="141" t="s">
        <v>1733</v>
      </c>
      <c r="F70" s="6"/>
      <c r="G70" s="6"/>
      <c r="H70" s="6"/>
      <c r="I70" s="88"/>
      <c r="J70" s="6"/>
      <c r="K70" s="6"/>
    </row>
    <row r="71" spans="2:11" ht="15.75" thickBot="1">
      <c r="B71" s="2"/>
      <c r="C71" s="77"/>
      <c r="D71" s="6"/>
      <c r="E71" s="6"/>
      <c r="F71" s="6"/>
      <c r="G71" s="6"/>
      <c r="H71" s="6"/>
      <c r="I71" s="88"/>
      <c r="J71" s="6"/>
      <c r="K71" s="6"/>
    </row>
    <row r="72" spans="2:11" ht="15.75" thickBot="1">
      <c r="B72" s="1450" t="s">
        <v>51</v>
      </c>
      <c r="C72" s="1451"/>
      <c r="D72" s="1451"/>
      <c r="E72" s="1452"/>
      <c r="F72" s="6"/>
      <c r="G72" s="6"/>
      <c r="H72" s="6"/>
      <c r="I72" s="88"/>
      <c r="J72" s="6"/>
      <c r="K72" s="6"/>
    </row>
    <row r="73" spans="2:11" ht="15.75" thickBot="1">
      <c r="B73" s="1447">
        <v>1</v>
      </c>
      <c r="C73" s="95"/>
      <c r="D73" s="49" t="s">
        <v>44</v>
      </c>
      <c r="E73" s="132" t="s">
        <v>52</v>
      </c>
      <c r="F73" s="6"/>
      <c r="G73" s="6"/>
      <c r="H73" s="6"/>
      <c r="I73" s="88"/>
      <c r="J73" s="6"/>
      <c r="K73" s="6"/>
    </row>
    <row r="74" spans="2:11" ht="15.75" thickBot="1">
      <c r="B74" s="1448"/>
      <c r="C74" s="95"/>
      <c r="D74" s="41" t="s">
        <v>45</v>
      </c>
      <c r="E74" s="132" t="s">
        <v>166</v>
      </c>
      <c r="F74" s="6"/>
      <c r="G74" s="6"/>
      <c r="H74" s="6"/>
      <c r="I74" s="88"/>
      <c r="J74" s="6"/>
      <c r="K74" s="6"/>
    </row>
    <row r="75" spans="2:11" ht="15.75" thickBot="1">
      <c r="B75" s="1448"/>
      <c r="C75" s="95"/>
      <c r="D75" s="41" t="s">
        <v>46</v>
      </c>
      <c r="E75" s="176"/>
      <c r="F75" s="6"/>
      <c r="G75" s="6"/>
      <c r="H75" s="6"/>
      <c r="I75" s="88"/>
      <c r="J75" s="6"/>
      <c r="K75" s="6"/>
    </row>
    <row r="76" spans="2:11" ht="15.75" thickBot="1">
      <c r="B76" s="1448"/>
      <c r="C76" s="95"/>
      <c r="D76" s="41" t="s">
        <v>47</v>
      </c>
      <c r="E76" s="176"/>
      <c r="F76" s="6"/>
      <c r="G76" s="6"/>
      <c r="H76" s="6"/>
      <c r="I76" s="88"/>
      <c r="J76" s="6"/>
      <c r="K76" s="6"/>
    </row>
    <row r="77" spans="2:11" ht="15.75" thickBot="1">
      <c r="B77" s="1448"/>
      <c r="C77" s="95"/>
      <c r="D77" s="41" t="s">
        <v>48</v>
      </c>
      <c r="E77" s="176"/>
      <c r="F77" s="6"/>
      <c r="G77" s="6"/>
      <c r="H77" s="6"/>
      <c r="I77" s="88"/>
      <c r="J77" s="6"/>
      <c r="K77" s="6"/>
    </row>
    <row r="78" spans="2:11" ht="15.75" thickBot="1">
      <c r="B78" s="1448"/>
      <c r="C78" s="95"/>
      <c r="D78" s="41" t="s">
        <v>49</v>
      </c>
      <c r="E78" s="176"/>
      <c r="F78" s="6"/>
      <c r="G78" s="6"/>
      <c r="H78" s="6"/>
      <c r="I78" s="88"/>
      <c r="J78" s="6"/>
      <c r="K78" s="6"/>
    </row>
    <row r="79" spans="2:11" ht="15.75" thickBot="1">
      <c r="B79" s="1449"/>
      <c r="C79" s="3"/>
      <c r="D79" s="41" t="s">
        <v>50</v>
      </c>
      <c r="E79" s="176"/>
      <c r="F79" s="6"/>
      <c r="G79" s="6"/>
      <c r="H79" s="6"/>
      <c r="I79" s="88"/>
      <c r="J79" s="6"/>
      <c r="K79" s="6"/>
    </row>
    <row r="80" spans="2:11" ht="15.75" thickBot="1">
      <c r="B80" s="2"/>
      <c r="C80" s="77"/>
      <c r="D80" s="6"/>
      <c r="E80" s="6"/>
      <c r="F80" s="6"/>
      <c r="G80" s="6"/>
      <c r="H80" s="6"/>
      <c r="I80" s="88"/>
      <c r="J80" s="6"/>
      <c r="K80" s="6"/>
    </row>
    <row r="81" spans="2:11" ht="15" customHeight="1" thickBot="1">
      <c r="B81" s="121" t="s">
        <v>54</v>
      </c>
      <c r="C81" s="122"/>
      <c r="D81" s="122"/>
      <c r="E81" s="123"/>
      <c r="G81" s="6"/>
      <c r="H81" s="6"/>
      <c r="I81" s="88"/>
      <c r="J81" s="6"/>
      <c r="K81" s="6"/>
    </row>
    <row r="82" spans="2:11" ht="24.75" thickBot="1">
      <c r="B82" s="48" t="s">
        <v>55</v>
      </c>
      <c r="C82" s="41" t="s">
        <v>56</v>
      </c>
      <c r="D82" s="41" t="s">
        <v>57</v>
      </c>
      <c r="E82" s="41" t="s">
        <v>58</v>
      </c>
      <c r="F82" s="6"/>
      <c r="G82" s="6"/>
      <c r="H82" s="6"/>
      <c r="I82" s="88"/>
      <c r="J82" s="6"/>
    </row>
    <row r="83" spans="2:11" ht="72.75" thickBot="1">
      <c r="B83" s="50">
        <v>42401</v>
      </c>
      <c r="C83" s="41">
        <v>0.01</v>
      </c>
      <c r="D83" s="51" t="s">
        <v>897</v>
      </c>
      <c r="E83" s="41"/>
      <c r="F83" s="6"/>
      <c r="G83" s="6"/>
      <c r="H83" s="6"/>
      <c r="I83" s="88"/>
      <c r="J83" s="6"/>
    </row>
    <row r="84" spans="2:11" ht="15.75" thickBot="1">
      <c r="B84" s="2"/>
      <c r="C84" s="77"/>
      <c r="D84" s="6"/>
      <c r="E84" s="6"/>
      <c r="F84" s="6"/>
      <c r="G84" s="6"/>
      <c r="H84" s="6"/>
      <c r="I84" s="88"/>
      <c r="J84" s="6"/>
      <c r="K84" s="6"/>
    </row>
    <row r="85" spans="2:11" ht="15.75" thickBot="1">
      <c r="B85" s="444" t="s">
        <v>60</v>
      </c>
      <c r="C85" s="97"/>
      <c r="D85" s="6"/>
      <c r="E85" s="6"/>
      <c r="F85" s="6"/>
      <c r="G85" s="6"/>
      <c r="H85" s="6"/>
      <c r="I85" s="88"/>
      <c r="J85" s="6"/>
      <c r="K85" s="6"/>
    </row>
    <row r="86" spans="2:11">
      <c r="B86" s="1601"/>
      <c r="C86" s="1602"/>
      <c r="D86" s="1603"/>
      <c r="E86" s="6"/>
      <c r="F86" s="6"/>
      <c r="G86" s="6"/>
      <c r="H86" s="6"/>
      <c r="I86" s="88"/>
      <c r="J86" s="6"/>
      <c r="K86" s="6"/>
    </row>
    <row r="87" spans="2:11" ht="15.75" thickBot="1">
      <c r="B87" s="1604"/>
      <c r="C87" s="1605"/>
      <c r="D87" s="1606"/>
      <c r="E87" s="6"/>
      <c r="F87" s="6"/>
      <c r="G87" s="6"/>
      <c r="H87" s="6"/>
      <c r="I87" s="88"/>
      <c r="J87" s="6"/>
      <c r="K87" s="6"/>
    </row>
    <row r="88" spans="2:11" ht="15.75" thickBot="1">
      <c r="B88" s="6"/>
      <c r="D88" s="6"/>
      <c r="E88" s="6"/>
      <c r="F88" s="6"/>
      <c r="G88" s="6"/>
      <c r="H88" s="6"/>
      <c r="I88" s="88"/>
      <c r="J88" s="6"/>
      <c r="K88" s="6"/>
    </row>
    <row r="89" spans="2:11" ht="24.75" thickBot="1">
      <c r="B89" s="52" t="s">
        <v>61</v>
      </c>
      <c r="C89" s="98"/>
      <c r="D89" s="6"/>
      <c r="E89" s="6"/>
      <c r="F89" s="6"/>
      <c r="G89" s="6"/>
      <c r="H89" s="6"/>
      <c r="I89" s="88"/>
      <c r="J89" s="6"/>
      <c r="K89" s="6"/>
    </row>
    <row r="90" spans="2:11" ht="15.75" thickBot="1">
      <c r="B90" s="2"/>
      <c r="C90" s="77"/>
      <c r="D90" s="6"/>
      <c r="E90" s="6"/>
      <c r="F90" s="6"/>
      <c r="G90" s="6"/>
      <c r="H90" s="6"/>
      <c r="I90" s="88"/>
      <c r="J90" s="6"/>
      <c r="K90" s="6"/>
    </row>
    <row r="91" spans="2:11" ht="144">
      <c r="B91" s="1447" t="s">
        <v>62</v>
      </c>
      <c r="C91" s="106"/>
      <c r="D91" s="64" t="s">
        <v>856</v>
      </c>
      <c r="E91" s="6"/>
      <c r="F91" s="6"/>
      <c r="G91" s="6"/>
      <c r="H91" s="6"/>
      <c r="I91" s="88"/>
      <c r="J91" s="6"/>
      <c r="K91" s="6"/>
    </row>
    <row r="92" spans="2:11" ht="120.75" thickBot="1">
      <c r="B92" s="1449"/>
      <c r="C92" s="3"/>
      <c r="D92" s="41" t="s">
        <v>857</v>
      </c>
      <c r="E92" s="6"/>
      <c r="F92" s="6"/>
      <c r="G92" s="6"/>
      <c r="H92" s="6"/>
      <c r="I92" s="88"/>
      <c r="J92" s="6"/>
      <c r="K92" s="6"/>
    </row>
    <row r="93" spans="2:11">
      <c r="B93" s="1447" t="s">
        <v>64</v>
      </c>
      <c r="C93" s="95"/>
      <c r="D93" s="54" t="s">
        <v>65</v>
      </c>
      <c r="E93" s="6"/>
      <c r="F93" s="6"/>
      <c r="G93" s="6"/>
      <c r="H93" s="6"/>
      <c r="I93" s="88"/>
      <c r="J93" s="6"/>
      <c r="K93" s="6"/>
    </row>
    <row r="94" spans="2:11" ht="108">
      <c r="B94" s="1448"/>
      <c r="C94" s="95"/>
      <c r="D94" s="47" t="s">
        <v>858</v>
      </c>
      <c r="E94" s="6"/>
      <c r="F94" s="6"/>
      <c r="G94" s="6"/>
      <c r="H94" s="6"/>
      <c r="I94" s="88"/>
      <c r="J94" s="6"/>
      <c r="K94" s="6"/>
    </row>
    <row r="95" spans="2:11">
      <c r="B95" s="1448"/>
      <c r="C95" s="95"/>
      <c r="D95" s="54" t="s">
        <v>139</v>
      </c>
      <c r="E95" s="6"/>
      <c r="F95" s="6"/>
      <c r="G95" s="6"/>
      <c r="H95" s="6"/>
      <c r="I95" s="88"/>
      <c r="J95" s="6"/>
      <c r="K95" s="6"/>
    </row>
    <row r="96" spans="2:11">
      <c r="B96" s="1448"/>
      <c r="C96" s="95"/>
      <c r="D96" s="47" t="s">
        <v>69</v>
      </c>
      <c r="E96" s="6"/>
      <c r="F96" s="6"/>
      <c r="G96" s="6"/>
      <c r="H96" s="6"/>
      <c r="I96" s="88"/>
      <c r="J96" s="6"/>
      <c r="K96" s="6"/>
    </row>
    <row r="97" spans="2:11">
      <c r="B97" s="1448"/>
      <c r="C97" s="95"/>
      <c r="D97" s="47" t="s">
        <v>70</v>
      </c>
      <c r="E97" s="6"/>
      <c r="F97" s="6"/>
      <c r="G97" s="6"/>
      <c r="H97" s="6"/>
      <c r="I97" s="88"/>
      <c r="J97" s="6"/>
      <c r="K97" s="6"/>
    </row>
    <row r="98" spans="2:11">
      <c r="B98" s="1448"/>
      <c r="C98" s="95"/>
      <c r="D98" s="47" t="s">
        <v>859</v>
      </c>
      <c r="E98" s="6"/>
      <c r="F98" s="6"/>
      <c r="G98" s="6"/>
      <c r="H98" s="6"/>
      <c r="I98" s="88"/>
      <c r="J98" s="6"/>
      <c r="K98" s="6"/>
    </row>
    <row r="99" spans="2:11" ht="24">
      <c r="B99" s="1448"/>
      <c r="C99" s="95"/>
      <c r="D99" s="47" t="s">
        <v>860</v>
      </c>
      <c r="E99" s="6"/>
      <c r="F99" s="6"/>
      <c r="G99" s="6"/>
      <c r="H99" s="6"/>
      <c r="I99" s="88"/>
      <c r="J99" s="6"/>
      <c r="K99" s="6"/>
    </row>
    <row r="100" spans="2:11" ht="24">
      <c r="B100" s="1448"/>
      <c r="C100" s="95"/>
      <c r="D100" s="47" t="s">
        <v>861</v>
      </c>
      <c r="E100" s="6"/>
      <c r="F100" s="6"/>
      <c r="G100" s="6"/>
      <c r="H100" s="6"/>
      <c r="I100" s="88"/>
      <c r="J100" s="6"/>
      <c r="K100" s="6"/>
    </row>
    <row r="101" spans="2:11" ht="24">
      <c r="B101" s="1448"/>
      <c r="C101" s="95"/>
      <c r="D101" s="47" t="s">
        <v>862</v>
      </c>
      <c r="E101" s="6"/>
      <c r="F101" s="6"/>
      <c r="G101" s="6"/>
      <c r="H101" s="6"/>
      <c r="I101" s="88"/>
      <c r="J101" s="6"/>
      <c r="K101" s="6"/>
    </row>
    <row r="102" spans="2:11" ht="48">
      <c r="B102" s="1448"/>
      <c r="C102" s="95"/>
      <c r="D102" s="47" t="s">
        <v>863</v>
      </c>
      <c r="E102" s="6"/>
      <c r="F102" s="6"/>
      <c r="G102" s="6"/>
      <c r="H102" s="6"/>
      <c r="I102" s="88"/>
      <c r="J102" s="6"/>
      <c r="K102" s="6"/>
    </row>
    <row r="103" spans="2:11" ht="36.75" thickBot="1">
      <c r="B103" s="1449"/>
      <c r="C103" s="3"/>
      <c r="D103" s="41" t="s">
        <v>864</v>
      </c>
      <c r="E103" s="6"/>
      <c r="F103" s="6"/>
      <c r="G103" s="6"/>
      <c r="H103" s="6"/>
      <c r="I103" s="88"/>
      <c r="J103" s="6"/>
      <c r="K103" s="6"/>
    </row>
    <row r="104" spans="2:11" ht="24.75" thickBot="1">
      <c r="B104" s="48" t="s">
        <v>77</v>
      </c>
      <c r="C104" s="3"/>
      <c r="D104" s="41"/>
      <c r="E104" s="6"/>
      <c r="F104" s="6"/>
      <c r="G104" s="6"/>
      <c r="H104" s="6"/>
      <c r="I104" s="88"/>
      <c r="J104" s="6"/>
      <c r="K104" s="6"/>
    </row>
    <row r="105" spans="2:11" ht="252">
      <c r="B105" s="1447" t="s">
        <v>78</v>
      </c>
      <c r="C105" s="95"/>
      <c r="D105" s="47" t="s">
        <v>865</v>
      </c>
      <c r="E105" s="6"/>
      <c r="F105" s="6"/>
      <c r="G105" s="6"/>
      <c r="H105" s="6"/>
      <c r="I105" s="88"/>
      <c r="J105" s="6"/>
      <c r="K105" s="6"/>
    </row>
    <row r="106" spans="2:11" ht="72">
      <c r="B106" s="1448"/>
      <c r="C106" s="95"/>
      <c r="D106" s="47" t="s">
        <v>866</v>
      </c>
      <c r="E106" s="6"/>
      <c r="F106" s="6"/>
      <c r="G106" s="6"/>
      <c r="H106" s="6"/>
      <c r="I106" s="88"/>
      <c r="J106" s="6"/>
      <c r="K106" s="6"/>
    </row>
    <row r="107" spans="2:11" ht="72">
      <c r="B107" s="1448"/>
      <c r="C107" s="95"/>
      <c r="D107" s="47" t="s">
        <v>867</v>
      </c>
      <c r="E107" s="6"/>
      <c r="F107" s="6"/>
      <c r="G107" s="6"/>
      <c r="H107" s="6"/>
      <c r="I107" s="88"/>
      <c r="J107" s="6"/>
      <c r="K107" s="6"/>
    </row>
    <row r="108" spans="2:11" ht="156">
      <c r="B108" s="1448"/>
      <c r="C108" s="95"/>
      <c r="D108" s="47" t="s">
        <v>868</v>
      </c>
      <c r="E108" s="6"/>
      <c r="F108" s="6"/>
      <c r="G108" s="6"/>
      <c r="H108" s="6"/>
      <c r="I108" s="88"/>
      <c r="J108" s="6"/>
      <c r="K108" s="6"/>
    </row>
    <row r="109" spans="2:11" ht="168">
      <c r="B109" s="1448"/>
      <c r="C109" s="95"/>
      <c r="D109" s="47" t="s">
        <v>869</v>
      </c>
      <c r="E109" s="6"/>
      <c r="F109" s="6"/>
      <c r="G109" s="6"/>
      <c r="H109" s="6"/>
      <c r="I109" s="88"/>
      <c r="J109" s="6"/>
      <c r="K109" s="6"/>
    </row>
    <row r="110" spans="2:11" ht="108">
      <c r="B110" s="1448"/>
      <c r="C110" s="95"/>
      <c r="D110" s="47" t="s">
        <v>870</v>
      </c>
      <c r="E110" s="6"/>
      <c r="F110" s="6"/>
      <c r="G110" s="6"/>
      <c r="H110" s="6"/>
      <c r="I110" s="88"/>
      <c r="J110" s="6"/>
      <c r="K110" s="6"/>
    </row>
    <row r="111" spans="2:11" ht="60.75" thickBot="1">
      <c r="B111" s="1449"/>
      <c r="C111" s="3"/>
      <c r="D111" s="41" t="s">
        <v>871</v>
      </c>
      <c r="E111" s="6"/>
      <c r="F111" s="6"/>
      <c r="G111" s="6"/>
      <c r="H111" s="6"/>
      <c r="I111" s="88"/>
      <c r="J111" s="6"/>
      <c r="K111" s="6"/>
    </row>
    <row r="112" spans="2:11" ht="36">
      <c r="B112" s="1447" t="s">
        <v>95</v>
      </c>
      <c r="C112" s="95"/>
      <c r="D112" s="54" t="s">
        <v>855</v>
      </c>
      <c r="E112" s="6"/>
      <c r="F112" s="6"/>
      <c r="G112" s="6"/>
      <c r="H112" s="6"/>
      <c r="I112" s="88"/>
      <c r="J112" s="6"/>
      <c r="K112" s="6"/>
    </row>
    <row r="113" spans="2:11">
      <c r="B113" s="1448"/>
      <c r="C113" s="95"/>
      <c r="D113" s="17"/>
      <c r="E113" s="6"/>
      <c r="F113" s="6"/>
      <c r="G113" s="6"/>
      <c r="H113" s="6"/>
      <c r="I113" s="88"/>
      <c r="J113" s="6"/>
      <c r="K113" s="6"/>
    </row>
    <row r="114" spans="2:11">
      <c r="B114" s="1448"/>
      <c r="C114" s="95"/>
      <c r="D114" s="47" t="s">
        <v>96</v>
      </c>
      <c r="E114" s="6"/>
      <c r="F114" s="6"/>
      <c r="G114" s="6"/>
      <c r="H114" s="6"/>
      <c r="I114" s="88"/>
      <c r="J114" s="6"/>
      <c r="K114" s="6"/>
    </row>
    <row r="115" spans="2:11" ht="24">
      <c r="B115" s="1448"/>
      <c r="C115" s="95"/>
      <c r="D115" s="47" t="s">
        <v>872</v>
      </c>
      <c r="E115" s="6"/>
      <c r="F115" s="6"/>
      <c r="G115" s="6"/>
      <c r="H115" s="6"/>
      <c r="I115" s="88"/>
      <c r="J115" s="6"/>
      <c r="K115" s="6"/>
    </row>
    <row r="116" spans="2:11" ht="24">
      <c r="B116" s="1448"/>
      <c r="C116" s="95"/>
      <c r="D116" s="47" t="s">
        <v>873</v>
      </c>
      <c r="E116" s="6"/>
      <c r="F116" s="6"/>
      <c r="G116" s="6"/>
      <c r="H116" s="6"/>
      <c r="I116" s="88"/>
      <c r="J116" s="6"/>
      <c r="K116" s="6"/>
    </row>
    <row r="117" spans="2:11" ht="60">
      <c r="B117" s="1448"/>
      <c r="C117" s="95"/>
      <c r="D117" s="47" t="s">
        <v>874</v>
      </c>
      <c r="E117" s="6"/>
      <c r="F117" s="6"/>
      <c r="G117" s="6"/>
      <c r="H117" s="6"/>
      <c r="I117" s="88"/>
      <c r="J117" s="6"/>
      <c r="K117" s="6"/>
    </row>
    <row r="118" spans="2:11" ht="60">
      <c r="B118" s="1448"/>
      <c r="C118" s="95"/>
      <c r="D118" s="47" t="s">
        <v>875</v>
      </c>
      <c r="E118" s="6"/>
      <c r="F118" s="6"/>
      <c r="G118" s="6"/>
      <c r="H118" s="6"/>
      <c r="I118" s="88"/>
      <c r="J118" s="6"/>
      <c r="K118" s="6"/>
    </row>
    <row r="119" spans="2:11" ht="60">
      <c r="B119" s="1448"/>
      <c r="C119" s="95"/>
      <c r="D119" s="59" t="s">
        <v>876</v>
      </c>
      <c r="E119" s="6"/>
      <c r="F119" s="6"/>
      <c r="G119" s="6"/>
      <c r="H119" s="6"/>
      <c r="I119" s="88"/>
      <c r="J119" s="6"/>
      <c r="K119" s="6"/>
    </row>
    <row r="120" spans="2:11" ht="36">
      <c r="B120" s="1448"/>
      <c r="C120" s="95"/>
      <c r="D120" s="47" t="s">
        <v>877</v>
      </c>
      <c r="E120" s="6"/>
      <c r="F120" s="6"/>
      <c r="G120" s="6"/>
      <c r="H120" s="6"/>
      <c r="I120" s="88"/>
      <c r="J120" s="6"/>
      <c r="K120" s="6"/>
    </row>
    <row r="121" spans="2:11" ht="36">
      <c r="B121" s="1448"/>
      <c r="C121" s="95"/>
      <c r="D121" s="47" t="s">
        <v>878</v>
      </c>
      <c r="E121" s="6"/>
      <c r="F121" s="6"/>
      <c r="G121" s="6"/>
      <c r="H121" s="6"/>
      <c r="I121" s="88"/>
      <c r="J121" s="6"/>
      <c r="K121" s="6"/>
    </row>
    <row r="122" spans="2:11" ht="36">
      <c r="B122" s="1448"/>
      <c r="C122" s="95"/>
      <c r="D122" s="47" t="s">
        <v>879</v>
      </c>
      <c r="E122" s="6"/>
      <c r="F122" s="6"/>
      <c r="G122" s="6"/>
      <c r="H122" s="6"/>
      <c r="I122" s="88"/>
      <c r="J122" s="6"/>
      <c r="K122" s="6"/>
    </row>
    <row r="123" spans="2:11" ht="36">
      <c r="B123" s="1448"/>
      <c r="C123" s="95"/>
      <c r="D123" s="47" t="s">
        <v>880</v>
      </c>
      <c r="E123" s="6"/>
      <c r="F123" s="6"/>
      <c r="G123" s="6"/>
      <c r="H123" s="6"/>
      <c r="I123" s="88"/>
      <c r="J123" s="6"/>
      <c r="K123" s="6"/>
    </row>
    <row r="124" spans="2:11" ht="36.75" thickBot="1">
      <c r="B124" s="1449"/>
      <c r="C124" s="3"/>
      <c r="D124" s="41" t="s">
        <v>881</v>
      </c>
      <c r="E124" s="6"/>
      <c r="F124" s="6"/>
      <c r="G124" s="6"/>
      <c r="H124" s="6"/>
      <c r="I124" s="88"/>
      <c r="J124" s="6"/>
      <c r="K124" s="6"/>
    </row>
    <row r="125" spans="2:11">
      <c r="B125" s="6"/>
      <c r="D125" s="6"/>
      <c r="E125" s="6"/>
      <c r="F125" s="6"/>
      <c r="G125" s="6"/>
      <c r="H125" s="6"/>
      <c r="I125" s="88"/>
      <c r="J125" s="6"/>
      <c r="K125" s="6"/>
    </row>
    <row r="126" spans="2:11">
      <c r="B126" s="6"/>
      <c r="D126" s="6"/>
      <c r="E126" s="6"/>
      <c r="F126" s="6"/>
      <c r="G126" s="6"/>
      <c r="H126" s="6"/>
      <c r="I126" s="88"/>
      <c r="J126" s="6"/>
      <c r="K126" s="6"/>
    </row>
    <row r="127" spans="2:11">
      <c r="B127" s="6"/>
      <c r="D127" s="6"/>
      <c r="E127" s="6"/>
      <c r="F127" s="6"/>
      <c r="G127" s="6"/>
      <c r="H127" s="6"/>
      <c r="I127" s="88"/>
      <c r="J127" s="6"/>
      <c r="K127" s="6"/>
    </row>
    <row r="128" spans="2:11">
      <c r="B128" s="6"/>
      <c r="D128" s="6"/>
      <c r="E128" s="6"/>
      <c r="F128" s="6"/>
      <c r="G128" s="6"/>
      <c r="H128" s="6"/>
      <c r="I128" s="88"/>
      <c r="J128" s="6"/>
      <c r="K128" s="6"/>
    </row>
    <row r="129" spans="2:11">
      <c r="B129" s="6"/>
      <c r="D129" s="6"/>
      <c r="E129" s="6"/>
      <c r="F129" s="6"/>
      <c r="G129" s="6"/>
      <c r="H129" s="6"/>
      <c r="I129" s="88"/>
      <c r="J129" s="6"/>
      <c r="K129" s="6"/>
    </row>
    <row r="130" spans="2:11">
      <c r="B130" s="6"/>
      <c r="D130" s="6"/>
      <c r="E130" s="6"/>
      <c r="F130" s="6"/>
      <c r="G130" s="6"/>
      <c r="H130" s="6"/>
      <c r="I130" s="88"/>
      <c r="J130" s="6"/>
      <c r="K130" s="6"/>
    </row>
    <row r="131" spans="2:11">
      <c r="B131" s="6"/>
      <c r="D131" s="6"/>
      <c r="E131" s="6"/>
      <c r="F131" s="6"/>
      <c r="G131" s="6"/>
      <c r="H131" s="6"/>
      <c r="I131" s="88"/>
      <c r="J131" s="6"/>
      <c r="K131" s="6"/>
    </row>
    <row r="132" spans="2:11">
      <c r="B132" s="6"/>
      <c r="D132" s="6"/>
      <c r="E132" s="6"/>
      <c r="F132" s="6"/>
      <c r="G132" s="6"/>
      <c r="H132" s="6"/>
      <c r="I132" s="88"/>
      <c r="J132" s="6"/>
      <c r="K132" s="6"/>
    </row>
    <row r="133" spans="2:11">
      <c r="B133" s="6"/>
      <c r="D133" s="6"/>
      <c r="E133" s="6"/>
      <c r="F133" s="6"/>
      <c r="G133" s="6"/>
      <c r="H133" s="6"/>
      <c r="I133" s="88"/>
      <c r="J133" s="6"/>
      <c r="K133" s="6"/>
    </row>
    <row r="134" spans="2:11">
      <c r="B134" s="6"/>
      <c r="D134" s="6"/>
      <c r="E134" s="6"/>
      <c r="F134" s="6"/>
      <c r="G134" s="6"/>
      <c r="H134" s="6"/>
      <c r="I134" s="88"/>
      <c r="J134" s="6"/>
      <c r="K134" s="6"/>
    </row>
    <row r="135" spans="2:11">
      <c r="B135" s="6"/>
      <c r="D135" s="6"/>
      <c r="E135" s="6"/>
      <c r="F135" s="6"/>
      <c r="G135" s="6"/>
      <c r="H135" s="6"/>
      <c r="I135" s="88"/>
      <c r="J135" s="6"/>
      <c r="K135" s="6"/>
    </row>
    <row r="136" spans="2:11">
      <c r="B136" s="6"/>
      <c r="D136" s="6"/>
      <c r="E136" s="6"/>
      <c r="F136" s="6"/>
      <c r="G136" s="6"/>
      <c r="H136" s="6"/>
      <c r="I136" s="88"/>
      <c r="J136" s="6"/>
      <c r="K136" s="6"/>
    </row>
    <row r="137" spans="2:11">
      <c r="B137" s="6"/>
      <c r="D137" s="6"/>
      <c r="E137" s="6"/>
      <c r="F137" s="6"/>
      <c r="G137" s="6"/>
      <c r="H137" s="6"/>
      <c r="I137" s="88"/>
      <c r="J137" s="6"/>
      <c r="K137" s="6"/>
    </row>
    <row r="138" spans="2:11">
      <c r="B138" s="6"/>
      <c r="D138" s="6"/>
      <c r="E138" s="6"/>
      <c r="F138" s="6"/>
      <c r="G138" s="6"/>
      <c r="H138" s="6"/>
      <c r="I138" s="88"/>
      <c r="J138" s="6"/>
      <c r="K138" s="6"/>
    </row>
    <row r="139" spans="2:11">
      <c r="B139" s="6"/>
      <c r="D139" s="6"/>
      <c r="E139" s="6"/>
      <c r="F139" s="6"/>
      <c r="G139" s="6"/>
      <c r="H139" s="6"/>
      <c r="I139" s="88"/>
      <c r="J139" s="6"/>
      <c r="K139" s="6"/>
    </row>
    <row r="140" spans="2:11">
      <c r="B140" s="6"/>
      <c r="D140" s="6"/>
      <c r="E140" s="6"/>
      <c r="F140" s="6"/>
      <c r="G140" s="6"/>
      <c r="H140" s="6"/>
      <c r="I140" s="88"/>
      <c r="J140" s="6"/>
      <c r="K140" s="6"/>
    </row>
    <row r="141" spans="2:11">
      <c r="B141" s="6"/>
      <c r="D141" s="6"/>
      <c r="E141" s="6"/>
      <c r="F141" s="6"/>
      <c r="G141" s="6"/>
      <c r="H141" s="6"/>
      <c r="I141" s="88"/>
      <c r="J141" s="6"/>
      <c r="K141" s="6"/>
    </row>
    <row r="142" spans="2:11">
      <c r="B142" s="6"/>
      <c r="D142" s="6"/>
      <c r="E142" s="6"/>
      <c r="F142" s="6"/>
      <c r="G142" s="6"/>
      <c r="H142" s="6"/>
      <c r="I142" s="88"/>
      <c r="J142" s="6"/>
      <c r="K142" s="6"/>
    </row>
    <row r="143" spans="2:11">
      <c r="B143" s="6"/>
      <c r="D143" s="6"/>
      <c r="E143" s="6"/>
      <c r="F143" s="6"/>
      <c r="G143" s="6"/>
      <c r="H143" s="6"/>
      <c r="I143" s="88"/>
      <c r="J143" s="6"/>
      <c r="K143" s="6"/>
    </row>
    <row r="144" spans="2:11">
      <c r="B144" s="6"/>
      <c r="D144" s="6"/>
      <c r="E144" s="6"/>
      <c r="F144" s="6"/>
      <c r="G144" s="6"/>
      <c r="H144" s="6"/>
      <c r="I144" s="88"/>
      <c r="J144" s="6"/>
      <c r="K144" s="6"/>
    </row>
    <row r="145" spans="2:11">
      <c r="B145" s="6"/>
      <c r="D145" s="6"/>
      <c r="E145" s="6"/>
      <c r="F145" s="6"/>
      <c r="G145" s="6"/>
      <c r="H145" s="6"/>
      <c r="I145" s="88"/>
      <c r="J145" s="6"/>
      <c r="K145" s="6"/>
    </row>
    <row r="146" spans="2:11">
      <c r="B146" s="6"/>
      <c r="D146" s="6"/>
      <c r="E146" s="6"/>
      <c r="F146" s="6"/>
      <c r="G146" s="6"/>
      <c r="H146" s="6"/>
      <c r="I146" s="88"/>
      <c r="J146" s="6"/>
      <c r="K146" s="6"/>
    </row>
    <row r="147" spans="2:11">
      <c r="B147" s="6"/>
      <c r="D147" s="6"/>
      <c r="E147" s="6"/>
      <c r="F147" s="6"/>
      <c r="G147" s="6"/>
      <c r="H147" s="6"/>
      <c r="I147" s="88"/>
      <c r="J147" s="6"/>
      <c r="K147" s="6"/>
    </row>
    <row r="148" spans="2:11">
      <c r="B148" s="6"/>
      <c r="D148" s="6"/>
      <c r="E148" s="6"/>
      <c r="F148" s="6"/>
      <c r="G148" s="6"/>
      <c r="H148" s="6"/>
      <c r="I148" s="88"/>
      <c r="J148" s="6"/>
      <c r="K148" s="6"/>
    </row>
    <row r="149" spans="2:11">
      <c r="B149" s="6"/>
      <c r="D149" s="6"/>
      <c r="E149" s="6"/>
      <c r="F149" s="6"/>
      <c r="G149" s="6"/>
      <c r="H149" s="6"/>
      <c r="I149" s="88"/>
      <c r="J149" s="6"/>
      <c r="K149" s="6"/>
    </row>
    <row r="150" spans="2:11">
      <c r="B150" s="6"/>
      <c r="D150" s="6"/>
      <c r="E150" s="6"/>
      <c r="F150" s="6"/>
      <c r="G150" s="6"/>
      <c r="H150" s="6"/>
      <c r="I150" s="88"/>
      <c r="J150" s="6"/>
      <c r="K150" s="6"/>
    </row>
    <row r="151" spans="2:11">
      <c r="B151" s="6"/>
      <c r="D151" s="6"/>
      <c r="E151" s="6"/>
      <c r="F151" s="6"/>
      <c r="G151" s="6"/>
      <c r="H151" s="6"/>
      <c r="I151" s="88"/>
      <c r="J151" s="6"/>
      <c r="K151" s="6"/>
    </row>
    <row r="152" spans="2:11">
      <c r="B152" s="6"/>
      <c r="D152" s="6"/>
      <c r="E152" s="6"/>
      <c r="F152" s="6"/>
      <c r="G152" s="6"/>
      <c r="H152" s="6"/>
      <c r="I152" s="88"/>
      <c r="J152" s="6"/>
      <c r="K152" s="6"/>
    </row>
    <row r="153" spans="2:11">
      <c r="B153" s="6"/>
      <c r="D153" s="6"/>
      <c r="E153" s="6"/>
      <c r="F153" s="6"/>
      <c r="G153" s="6"/>
      <c r="H153" s="6"/>
      <c r="I153" s="88"/>
      <c r="J153" s="6"/>
      <c r="K153" s="6"/>
    </row>
    <row r="154" spans="2:11">
      <c r="B154" s="6"/>
      <c r="D154" s="6"/>
      <c r="E154" s="6"/>
      <c r="F154" s="6"/>
      <c r="G154" s="6"/>
      <c r="H154" s="6"/>
      <c r="I154" s="88"/>
      <c r="J154" s="6"/>
      <c r="K154" s="6"/>
    </row>
    <row r="155" spans="2:11">
      <c r="B155" s="6"/>
      <c r="D155" s="6"/>
      <c r="E155" s="6"/>
      <c r="F155" s="6"/>
      <c r="G155" s="6"/>
      <c r="H155" s="6"/>
      <c r="I155" s="88"/>
      <c r="J155" s="6"/>
      <c r="K155" s="6"/>
    </row>
    <row r="156" spans="2:11">
      <c r="B156" s="6"/>
      <c r="D156" s="6"/>
      <c r="E156" s="6"/>
      <c r="F156" s="6"/>
      <c r="G156" s="6"/>
      <c r="H156" s="6"/>
      <c r="I156" s="88"/>
      <c r="J156" s="6"/>
      <c r="K156" s="6"/>
    </row>
    <row r="157" spans="2:11">
      <c r="B157" s="6"/>
      <c r="D157" s="6"/>
      <c r="E157" s="6"/>
      <c r="F157" s="6"/>
      <c r="G157" s="6"/>
      <c r="H157" s="6"/>
      <c r="I157" s="88"/>
      <c r="J157" s="6"/>
      <c r="K157" s="6"/>
    </row>
    <row r="158" spans="2:11">
      <c r="B158" s="6"/>
      <c r="D158" s="6"/>
      <c r="E158" s="6"/>
      <c r="F158" s="6"/>
      <c r="G158" s="6"/>
      <c r="H158" s="6"/>
      <c r="I158" s="88"/>
      <c r="J158" s="6"/>
      <c r="K158" s="6"/>
    </row>
    <row r="159" spans="2:11">
      <c r="B159" s="6"/>
      <c r="D159" s="6"/>
      <c r="E159" s="6"/>
      <c r="F159" s="6"/>
      <c r="G159" s="6"/>
      <c r="H159" s="6"/>
      <c r="I159" s="88"/>
      <c r="J159" s="6"/>
      <c r="K159" s="6"/>
    </row>
    <row r="160" spans="2:11">
      <c r="B160" s="6"/>
      <c r="D160" s="6"/>
      <c r="E160" s="6"/>
      <c r="F160" s="6"/>
      <c r="G160" s="6"/>
      <c r="H160" s="6"/>
      <c r="I160" s="88"/>
      <c r="J160" s="6"/>
      <c r="K160" s="6"/>
    </row>
    <row r="161" spans="2:11">
      <c r="B161" s="6"/>
      <c r="D161" s="6"/>
      <c r="E161" s="6"/>
      <c r="F161" s="6"/>
      <c r="G161" s="6"/>
      <c r="H161" s="6"/>
      <c r="I161" s="88"/>
      <c r="J161" s="6"/>
      <c r="K161" s="6"/>
    </row>
    <row r="162" spans="2:11">
      <c r="B162" s="6"/>
      <c r="D162" s="6"/>
      <c r="E162" s="6"/>
      <c r="F162" s="6"/>
      <c r="G162" s="6"/>
      <c r="H162" s="6"/>
      <c r="I162" s="88"/>
      <c r="J162" s="6"/>
      <c r="K162" s="6"/>
    </row>
    <row r="163" spans="2:11">
      <c r="B163" s="6"/>
      <c r="D163" s="6"/>
      <c r="E163" s="6"/>
      <c r="F163" s="6"/>
      <c r="G163" s="6"/>
      <c r="H163" s="6"/>
      <c r="I163" s="88"/>
      <c r="J163" s="6"/>
      <c r="K163" s="6"/>
    </row>
    <row r="164" spans="2:11">
      <c r="B164" s="6"/>
      <c r="D164" s="6"/>
      <c r="E164" s="6"/>
      <c r="F164" s="6"/>
      <c r="G164" s="6"/>
      <c r="H164" s="6"/>
      <c r="I164" s="88"/>
      <c r="J164" s="6"/>
      <c r="K164" s="6"/>
    </row>
    <row r="165" spans="2:11">
      <c r="B165" s="6"/>
      <c r="D165" s="6"/>
      <c r="E165" s="6"/>
      <c r="F165" s="6"/>
      <c r="G165" s="6"/>
      <c r="H165" s="6"/>
      <c r="I165" s="88"/>
      <c r="J165" s="6"/>
      <c r="K165" s="6"/>
    </row>
    <row r="166" spans="2:11">
      <c r="B166" s="6"/>
      <c r="D166" s="6"/>
      <c r="E166" s="6"/>
      <c r="F166" s="6"/>
      <c r="G166" s="6"/>
      <c r="H166" s="6"/>
      <c r="I166" s="88"/>
      <c r="J166" s="6"/>
      <c r="K166" s="6"/>
    </row>
    <row r="167" spans="2:11">
      <c r="B167" s="6"/>
      <c r="D167" s="6"/>
      <c r="E167" s="6"/>
      <c r="F167" s="6"/>
      <c r="G167" s="6"/>
      <c r="H167" s="6"/>
      <c r="I167" s="88"/>
      <c r="J167" s="6"/>
      <c r="K167" s="6"/>
    </row>
    <row r="168" spans="2:11">
      <c r="B168" s="6"/>
      <c r="D168" s="6"/>
      <c r="E168" s="6"/>
      <c r="F168" s="6"/>
      <c r="G168" s="6"/>
      <c r="H168" s="6"/>
      <c r="I168" s="88"/>
      <c r="J168" s="6"/>
      <c r="K168" s="6"/>
    </row>
    <row r="169" spans="2:11">
      <c r="B169" s="6"/>
      <c r="D169" s="6"/>
      <c r="E169" s="6"/>
      <c r="F169" s="6"/>
      <c r="G169" s="6"/>
      <c r="H169" s="6"/>
      <c r="I169" s="88"/>
      <c r="J169" s="6"/>
      <c r="K169" s="6"/>
    </row>
    <row r="170" spans="2:11">
      <c r="B170" s="6"/>
      <c r="D170" s="6"/>
      <c r="E170" s="6"/>
      <c r="F170" s="6"/>
      <c r="G170" s="6"/>
      <c r="H170" s="6"/>
      <c r="I170" s="88"/>
      <c r="J170" s="6"/>
      <c r="K170" s="6"/>
    </row>
    <row r="171" spans="2:11">
      <c r="B171" s="6"/>
      <c r="D171" s="6"/>
      <c r="E171" s="6"/>
      <c r="F171" s="6"/>
      <c r="G171" s="6"/>
      <c r="H171" s="6"/>
      <c r="I171" s="88"/>
      <c r="J171" s="6"/>
      <c r="K171" s="6"/>
    </row>
    <row r="172" spans="2:11">
      <c r="B172" s="6"/>
      <c r="D172" s="6"/>
      <c r="E172" s="6"/>
      <c r="F172" s="6"/>
      <c r="G172" s="6"/>
      <c r="H172" s="6"/>
      <c r="I172" s="88"/>
      <c r="J172" s="6"/>
      <c r="K172" s="6"/>
    </row>
    <row r="173" spans="2:11">
      <c r="B173" s="6"/>
      <c r="D173" s="6"/>
      <c r="E173" s="6"/>
      <c r="F173" s="6"/>
      <c r="G173" s="6"/>
      <c r="H173" s="6"/>
      <c r="I173" s="88"/>
      <c r="J173" s="6"/>
      <c r="K173" s="6"/>
    </row>
    <row r="174" spans="2:11">
      <c r="B174" s="6"/>
      <c r="D174" s="6"/>
      <c r="E174" s="6"/>
      <c r="F174" s="6"/>
      <c r="G174" s="6"/>
      <c r="H174" s="6"/>
      <c r="I174" s="88"/>
      <c r="J174" s="6"/>
      <c r="K174" s="6"/>
    </row>
    <row r="175" spans="2:11">
      <c r="B175" s="6"/>
      <c r="D175" s="6"/>
      <c r="E175" s="6"/>
      <c r="F175" s="6"/>
      <c r="G175" s="6"/>
      <c r="H175" s="6"/>
      <c r="I175" s="88"/>
      <c r="J175" s="6"/>
      <c r="K175" s="6"/>
    </row>
    <row r="176" spans="2:11">
      <c r="B176" s="6"/>
      <c r="D176" s="6"/>
      <c r="E176" s="6"/>
      <c r="F176" s="6"/>
      <c r="G176" s="6"/>
      <c r="H176" s="6"/>
      <c r="I176" s="88"/>
      <c r="J176" s="6"/>
      <c r="K176" s="6"/>
    </row>
    <row r="177" spans="2:11">
      <c r="B177" s="6"/>
      <c r="D177" s="6"/>
      <c r="E177" s="6"/>
      <c r="F177" s="6"/>
      <c r="G177" s="6"/>
      <c r="H177" s="6"/>
      <c r="I177" s="88"/>
      <c r="J177" s="6"/>
      <c r="K177" s="6"/>
    </row>
    <row r="178" spans="2:11">
      <c r="B178" s="6"/>
      <c r="D178" s="6"/>
      <c r="E178" s="6"/>
      <c r="F178" s="6"/>
      <c r="G178" s="6"/>
      <c r="H178" s="6"/>
      <c r="I178" s="88"/>
      <c r="J178" s="6"/>
      <c r="K178" s="6"/>
    </row>
    <row r="179" spans="2:11">
      <c r="B179" s="6"/>
      <c r="D179" s="6"/>
      <c r="E179" s="6"/>
      <c r="F179" s="6"/>
      <c r="G179" s="6"/>
      <c r="H179" s="6"/>
      <c r="I179" s="88"/>
      <c r="J179" s="6"/>
      <c r="K179" s="6"/>
    </row>
    <row r="180" spans="2:11">
      <c r="B180" s="6"/>
      <c r="D180" s="6"/>
      <c r="E180" s="6"/>
      <c r="F180" s="6"/>
      <c r="G180" s="6"/>
      <c r="H180" s="6"/>
      <c r="I180" s="88"/>
      <c r="J180" s="6"/>
      <c r="K180" s="6"/>
    </row>
    <row r="181" spans="2:11">
      <c r="B181" s="6"/>
      <c r="D181" s="6"/>
      <c r="E181" s="6"/>
      <c r="F181" s="6"/>
      <c r="G181" s="6"/>
      <c r="H181" s="6"/>
      <c r="I181" s="88"/>
      <c r="J181" s="6"/>
      <c r="K181" s="6"/>
    </row>
    <row r="182" spans="2:11">
      <c r="B182" s="6"/>
      <c r="D182" s="6"/>
      <c r="E182" s="6"/>
      <c r="F182" s="6"/>
      <c r="G182" s="6"/>
      <c r="H182" s="6"/>
      <c r="I182" s="88"/>
      <c r="J182" s="6"/>
      <c r="K182" s="6"/>
    </row>
    <row r="183" spans="2:11">
      <c r="B183" s="6"/>
      <c r="D183" s="6"/>
      <c r="E183" s="6"/>
      <c r="F183" s="6"/>
      <c r="G183" s="6"/>
      <c r="H183" s="6"/>
      <c r="I183" s="88"/>
      <c r="J183" s="6"/>
      <c r="K183" s="6"/>
    </row>
    <row r="184" spans="2:11">
      <c r="B184" s="6"/>
      <c r="D184" s="6"/>
      <c r="E184" s="6"/>
      <c r="F184" s="6"/>
      <c r="G184" s="6"/>
      <c r="H184" s="6"/>
      <c r="I184" s="88"/>
      <c r="J184" s="6"/>
      <c r="K184" s="6"/>
    </row>
    <row r="185" spans="2:11">
      <c r="B185" s="6"/>
      <c r="D185" s="6"/>
      <c r="E185" s="6"/>
      <c r="F185" s="6"/>
      <c r="G185" s="6"/>
      <c r="H185" s="6"/>
      <c r="I185" s="88"/>
      <c r="J185" s="6"/>
      <c r="K185" s="6"/>
    </row>
    <row r="186" spans="2:11">
      <c r="B186" s="6"/>
      <c r="D186" s="6"/>
      <c r="E186" s="6"/>
      <c r="F186" s="6"/>
      <c r="G186" s="6"/>
      <c r="H186" s="6"/>
      <c r="I186" s="88"/>
      <c r="J186" s="6"/>
      <c r="K186" s="6"/>
    </row>
    <row r="187" spans="2:11">
      <c r="B187" s="6"/>
      <c r="D187" s="6"/>
      <c r="E187" s="6"/>
      <c r="F187" s="6"/>
      <c r="G187" s="6"/>
      <c r="H187" s="6"/>
      <c r="I187" s="88"/>
      <c r="J187" s="6"/>
      <c r="K187" s="6"/>
    </row>
    <row r="188" spans="2:11">
      <c r="B188" s="6"/>
      <c r="D188" s="6"/>
      <c r="E188" s="6"/>
      <c r="F188" s="6"/>
      <c r="G188" s="6"/>
      <c r="H188" s="6"/>
      <c r="I188" s="88"/>
      <c r="J188" s="6"/>
      <c r="K188" s="6"/>
    </row>
    <row r="189" spans="2:11">
      <c r="B189" s="6"/>
      <c r="D189" s="6"/>
      <c r="E189" s="6"/>
      <c r="F189" s="6"/>
      <c r="G189" s="6"/>
      <c r="H189" s="6"/>
      <c r="I189" s="88"/>
      <c r="J189" s="6"/>
      <c r="K189" s="6"/>
    </row>
  </sheetData>
  <sheetProtection insertColumns="0" insertRows="0"/>
  <mergeCells count="37">
    <mergeCell ref="A1:P1"/>
    <mergeCell ref="A2:P2"/>
    <mergeCell ref="A3:P3"/>
    <mergeCell ref="A4:D4"/>
    <mergeCell ref="A5:P5"/>
    <mergeCell ref="B86:D87"/>
    <mergeCell ref="D61:I61"/>
    <mergeCell ref="B63:E63"/>
    <mergeCell ref="B64:B70"/>
    <mergeCell ref="B72:E72"/>
    <mergeCell ref="B73:B79"/>
    <mergeCell ref="D38:I38"/>
    <mergeCell ref="D43:I43"/>
    <mergeCell ref="D44:I44"/>
    <mergeCell ref="D45:I45"/>
    <mergeCell ref="D60:I60"/>
    <mergeCell ref="D37:I37"/>
    <mergeCell ref="B91:B92"/>
    <mergeCell ref="B93:B103"/>
    <mergeCell ref="B105:B111"/>
    <mergeCell ref="B112:B124"/>
    <mergeCell ref="B15:B49"/>
    <mergeCell ref="D15:I15"/>
    <mergeCell ref="D16:I16"/>
    <mergeCell ref="D17:I17"/>
    <mergeCell ref="D22:I22"/>
    <mergeCell ref="D23:I23"/>
    <mergeCell ref="D24:I24"/>
    <mergeCell ref="D29:I29"/>
    <mergeCell ref="D30:I30"/>
    <mergeCell ref="D31:I31"/>
    <mergeCell ref="D36:I36"/>
    <mergeCell ref="B10:D10"/>
    <mergeCell ref="F10:S10"/>
    <mergeCell ref="F11:S11"/>
    <mergeCell ref="E12:R12"/>
    <mergeCell ref="E13:R13"/>
  </mergeCells>
  <conditionalFormatting sqref="F10">
    <cfRule type="notContainsBlanks" dxfId="42" priority="4">
      <formula>LEN(TRIM(F10))&gt;0</formula>
    </cfRule>
  </conditionalFormatting>
  <conditionalFormatting sqref="F11:S11">
    <cfRule type="expression" dxfId="41" priority="2">
      <formula>E11="NO SE REPORTA"</formula>
    </cfRule>
    <cfRule type="expression" dxfId="40" priority="3">
      <formula>E10="NO APLICA"</formula>
    </cfRule>
  </conditionalFormatting>
  <conditionalFormatting sqref="E12:R12">
    <cfRule type="expression" dxfId="39" priority="1">
      <formula>E11="SI SE REPORTA"</formula>
    </cfRule>
  </conditionalFormatting>
  <dataValidations xWindow="979" yWindow="476" count="4">
    <dataValidation type="whole" operator="greaterThanOrEqual" allowBlank="1" showErrorMessage="1" errorTitle="ERROR" error="Escriba un número igual o mayor que 0" promptTitle="ERROR" prompt="Escriba un número igual o mayor que 0" sqref="E19:H20 E26:H27 E33:H34 E40:H41 E47:H48">
      <formula1>0</formula1>
    </dataValidation>
    <dataValidation allowBlank="1" showInputMessage="1" showErrorMessage="1" sqref="E49:H49 E52:E57 I47:I49 F57 E21:H21 I26:I28 E28:H28 E35:I35 I33:I34 I40:I42 E42:H42 G52:G57"/>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 ref="E68" r:id="rId1"/>
  </hyperlinks>
  <pageMargins left="0.25" right="0.25" top="0.75" bottom="0.75" header="0.3" footer="0.3"/>
  <pageSetup paperSize="178" orientation="landscape" horizontalDpi="1200" verticalDpi="1200" r:id="rId2"/>
  <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97"/>
  <sheetViews>
    <sheetView showGridLines="0" zoomScale="98" zoomScaleNormal="98" workbookViewId="0">
      <selection activeCell="T12" sqref="T12"/>
    </sheetView>
  </sheetViews>
  <sheetFormatPr baseColWidth="10" defaultRowHeight="15"/>
  <cols>
    <col min="1" max="1" width="1.85546875" customWidth="1"/>
    <col min="2" max="2" width="12.85546875" customWidth="1"/>
    <col min="3" max="3" width="5" style="88" bestFit="1" customWidth="1"/>
    <col min="4" max="4" width="34.85546875" customWidth="1"/>
    <col min="5" max="5" width="12.140625" customWidth="1"/>
    <col min="9" max="9" width="11.5703125" style="140"/>
  </cols>
  <sheetData>
    <row r="1" spans="1:21" s="551" customFormat="1" ht="100.5" customHeight="1" thickBot="1">
      <c r="A1" s="1344"/>
      <c r="B1" s="1345"/>
      <c r="C1" s="1345"/>
      <c r="D1" s="1345"/>
      <c r="E1" s="1345"/>
      <c r="F1" s="1345"/>
      <c r="G1" s="1345"/>
      <c r="H1" s="1345"/>
      <c r="I1" s="1345"/>
      <c r="J1" s="1345"/>
      <c r="K1" s="1345"/>
      <c r="L1" s="1345"/>
      <c r="M1" s="1345"/>
      <c r="N1" s="1345"/>
      <c r="O1" s="1345"/>
      <c r="P1" s="1346"/>
      <c r="Q1" s="413"/>
      <c r="R1" s="413"/>
    </row>
    <row r="2" spans="1:21" s="552" customFormat="1" ht="16.5" thickBot="1">
      <c r="A2" s="1352" t="str">
        <f>'Datos Generales'!C5</f>
        <v>Corporación Autónoma Regional de La Guajira – CORPOGUAJIRA</v>
      </c>
      <c r="B2" s="1353"/>
      <c r="C2" s="1353"/>
      <c r="D2" s="1353"/>
      <c r="E2" s="1353"/>
      <c r="F2" s="1353"/>
      <c r="G2" s="1353"/>
      <c r="H2" s="1353"/>
      <c r="I2" s="1353"/>
      <c r="J2" s="1353"/>
      <c r="K2" s="1353"/>
      <c r="L2" s="1353"/>
      <c r="M2" s="1353"/>
      <c r="N2" s="1353"/>
      <c r="O2" s="1353"/>
      <c r="P2" s="1354"/>
      <c r="Q2" s="413"/>
      <c r="R2" s="413"/>
    </row>
    <row r="3" spans="1:21" s="552" customFormat="1" ht="16.5" thickBot="1">
      <c r="A3" s="1347" t="s">
        <v>1419</v>
      </c>
      <c r="B3" s="1348"/>
      <c r="C3" s="1348"/>
      <c r="D3" s="1348"/>
      <c r="E3" s="1348"/>
      <c r="F3" s="1348"/>
      <c r="G3" s="1348"/>
      <c r="H3" s="1348"/>
      <c r="I3" s="1348"/>
      <c r="J3" s="1348"/>
      <c r="K3" s="1348"/>
      <c r="L3" s="1348"/>
      <c r="M3" s="1348"/>
      <c r="N3" s="1348"/>
      <c r="O3" s="1348"/>
      <c r="P3" s="1349"/>
      <c r="Q3" s="413"/>
      <c r="R3" s="413"/>
    </row>
    <row r="4" spans="1:21" s="552" customFormat="1" ht="16.5" thickBot="1">
      <c r="A4" s="1350" t="s">
        <v>1418</v>
      </c>
      <c r="B4" s="1351"/>
      <c r="C4" s="1351"/>
      <c r="D4" s="1351"/>
      <c r="E4" s="571" t="str">
        <f>'Datos Generales'!C6</f>
        <v>2016-II</v>
      </c>
      <c r="F4" s="571"/>
      <c r="G4" s="571"/>
      <c r="H4" s="571"/>
      <c r="I4" s="571"/>
      <c r="J4" s="571"/>
      <c r="K4" s="571"/>
      <c r="L4" s="572"/>
      <c r="M4" s="572"/>
      <c r="N4" s="572"/>
      <c r="O4" s="572"/>
      <c r="P4" s="573"/>
      <c r="Q4" s="413"/>
      <c r="R4" s="413"/>
    </row>
    <row r="5" spans="1:21" s="245" customFormat="1" ht="16.5" customHeight="1" thickBot="1">
      <c r="A5" s="1347" t="s">
        <v>898</v>
      </c>
      <c r="B5" s="1348"/>
      <c r="C5" s="1348"/>
      <c r="D5" s="1348"/>
      <c r="E5" s="1348"/>
      <c r="F5" s="1348"/>
      <c r="G5" s="1348"/>
      <c r="H5" s="1348"/>
      <c r="I5" s="1348"/>
      <c r="J5" s="1348"/>
      <c r="K5" s="1348"/>
      <c r="L5" s="1348"/>
      <c r="M5" s="1348"/>
      <c r="N5" s="1348"/>
      <c r="O5" s="1348"/>
      <c r="P5" s="1349"/>
    </row>
    <row r="6" spans="1:21">
      <c r="B6" s="2" t="s">
        <v>1</v>
      </c>
      <c r="C6" s="77"/>
      <c r="D6" s="6"/>
      <c r="E6" s="75"/>
      <c r="F6" s="6" t="s">
        <v>133</v>
      </c>
      <c r="G6" s="6"/>
      <c r="H6" s="6"/>
      <c r="I6" s="88"/>
      <c r="J6" s="6"/>
      <c r="K6" s="6"/>
    </row>
    <row r="7" spans="1:21" ht="15.75" thickBot="1">
      <c r="B7" s="76"/>
      <c r="C7" s="78"/>
      <c r="D7" s="6"/>
      <c r="E7" s="18"/>
      <c r="F7" s="6" t="s">
        <v>134</v>
      </c>
      <c r="G7" s="6"/>
      <c r="H7" s="6"/>
      <c r="I7" s="88"/>
      <c r="J7" s="6"/>
      <c r="K7" s="6"/>
    </row>
    <row r="8" spans="1:21" ht="15.75" thickBot="1">
      <c r="B8" s="178" t="s">
        <v>1204</v>
      </c>
      <c r="C8" s="222">
        <v>2017</v>
      </c>
      <c r="D8" s="226">
        <f>IF(E10="NO APLICA","NO APLICA",IF(E11="NO SE REPORTA","SIN INFORMACION",+G122))</f>
        <v>0.54478849644003913</v>
      </c>
      <c r="E8" s="223"/>
      <c r="F8" s="6" t="s">
        <v>135</v>
      </c>
      <c r="G8" s="6"/>
      <c r="H8" s="6"/>
      <c r="I8" s="88"/>
      <c r="J8" s="6"/>
      <c r="K8" s="6"/>
    </row>
    <row r="9" spans="1:21">
      <c r="A9" s="245"/>
      <c r="B9" s="507" t="s">
        <v>1205</v>
      </c>
      <c r="C9" s="304"/>
      <c r="D9" s="248"/>
      <c r="E9" s="248"/>
      <c r="F9" s="248"/>
      <c r="G9" s="248"/>
      <c r="H9" s="248"/>
      <c r="I9" s="265"/>
      <c r="J9" s="248"/>
      <c r="K9" s="6"/>
    </row>
    <row r="10" spans="1:21" s="413" customFormat="1">
      <c r="A10" s="245"/>
      <c r="B10" s="1412" t="s">
        <v>1265</v>
      </c>
      <c r="C10" s="1412"/>
      <c r="D10" s="1412"/>
      <c r="E10" s="513" t="s">
        <v>1262</v>
      </c>
      <c r="F10" s="1419"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420"/>
      <c r="H10" s="1420"/>
      <c r="I10" s="1420"/>
      <c r="J10" s="1420"/>
      <c r="K10" s="1420"/>
      <c r="L10" s="1420"/>
      <c r="M10" s="1420"/>
      <c r="N10" s="1420"/>
      <c r="O10" s="1420"/>
      <c r="P10" s="1420"/>
      <c r="Q10" s="1420"/>
      <c r="R10" s="1420"/>
      <c r="S10" s="1420"/>
      <c r="T10" s="509"/>
      <c r="U10" s="509"/>
    </row>
    <row r="11" spans="1:21" s="413" customFormat="1" ht="14.45" customHeight="1">
      <c r="A11" s="245"/>
      <c r="B11" s="510"/>
      <c r="C11" s="511"/>
      <c r="D11" s="512" t="str">
        <f>IF(E10="SI APLICA","¿El indicador no se reporta por limitaciones de información disponible? ","")</f>
        <v xml:space="preserve">¿El indicador no se reporta por limitaciones de información disponible? </v>
      </c>
      <c r="E11" s="514" t="s">
        <v>1264</v>
      </c>
      <c r="F11" s="1413"/>
      <c r="G11" s="1414"/>
      <c r="H11" s="1414"/>
      <c r="I11" s="1414"/>
      <c r="J11" s="1414"/>
      <c r="K11" s="1414"/>
      <c r="L11" s="1414"/>
      <c r="M11" s="1414"/>
      <c r="N11" s="1414"/>
      <c r="O11" s="1414"/>
      <c r="P11" s="1414"/>
      <c r="Q11" s="1414"/>
      <c r="R11" s="1414"/>
      <c r="S11" s="1414"/>
    </row>
    <row r="12" spans="1:21" s="413" customFormat="1" ht="23.45" customHeight="1">
      <c r="A12" s="245"/>
      <c r="B12" s="507"/>
      <c r="C12" s="304"/>
      <c r="D12" s="512" t="str">
        <f>IF(E11="SI SE REPORTA","¿Qué programas o proyectos del Plan de Acción están asociados al indicador? ","")</f>
        <v xml:space="preserve">¿Qué programas o proyectos del Plan de Acción están asociados al indicador? </v>
      </c>
      <c r="E12" s="1415" t="str">
        <f>'Anexo 1 Matriz Inf Gestión'!E80:H80</f>
        <v>Proyecto No. 6.1.  (13). Evaluación, Seguimiento, Monitoreo y Control de la calidad de los recursos naturales y la biodiversidad.</v>
      </c>
      <c r="F12" s="1415"/>
      <c r="G12" s="1415"/>
      <c r="H12" s="1415"/>
      <c r="I12" s="1415"/>
      <c r="J12" s="1415"/>
      <c r="K12" s="1415"/>
      <c r="L12" s="1415"/>
      <c r="M12" s="1415"/>
      <c r="N12" s="1415"/>
      <c r="O12" s="1415"/>
      <c r="P12" s="1415"/>
      <c r="Q12" s="1415"/>
      <c r="R12" s="1415"/>
    </row>
    <row r="13" spans="1:21" s="413" customFormat="1" ht="21.95" customHeight="1">
      <c r="A13" s="245"/>
      <c r="B13" s="507"/>
      <c r="C13" s="304"/>
      <c r="D13" s="512" t="s">
        <v>1267</v>
      </c>
      <c r="E13" s="1416"/>
      <c r="F13" s="1417"/>
      <c r="G13" s="1417"/>
      <c r="H13" s="1417"/>
      <c r="I13" s="1417"/>
      <c r="J13" s="1417"/>
      <c r="K13" s="1417"/>
      <c r="L13" s="1417"/>
      <c r="M13" s="1417"/>
      <c r="N13" s="1417"/>
      <c r="O13" s="1417"/>
      <c r="P13" s="1417"/>
      <c r="Q13" s="1417"/>
      <c r="R13" s="1418"/>
    </row>
    <row r="14" spans="1:21" s="413" customFormat="1" ht="6.95" customHeight="1" thickBot="1">
      <c r="A14" s="245"/>
      <c r="B14" s="507"/>
      <c r="C14" s="304"/>
      <c r="D14" s="248"/>
      <c r="E14" s="248"/>
      <c r="F14" s="248"/>
      <c r="G14" s="248"/>
      <c r="H14" s="248"/>
      <c r="I14" s="265"/>
      <c r="J14" s="248"/>
      <c r="K14" s="6"/>
    </row>
    <row r="15" spans="1:21">
      <c r="A15" s="245"/>
      <c r="B15" s="1391" t="s">
        <v>2</v>
      </c>
      <c r="C15" s="268"/>
      <c r="D15" s="1373" t="s">
        <v>3</v>
      </c>
      <c r="E15" s="1374"/>
      <c r="F15" s="1374"/>
      <c r="G15" s="1374"/>
      <c r="H15" s="1374"/>
      <c r="I15" s="1375"/>
      <c r="J15" s="248"/>
      <c r="K15" s="6"/>
    </row>
    <row r="16" spans="1:21">
      <c r="A16" s="245"/>
      <c r="B16" s="1392"/>
      <c r="C16" s="276"/>
      <c r="D16" s="1616" t="s">
        <v>916</v>
      </c>
      <c r="E16" s="1617"/>
      <c r="F16" s="1617"/>
      <c r="G16" s="1617"/>
      <c r="H16" s="1617"/>
      <c r="I16" s="1618"/>
      <c r="J16" s="248"/>
      <c r="K16" s="6"/>
    </row>
    <row r="17" spans="1:11" ht="15.75" thickBot="1">
      <c r="A17" s="245"/>
      <c r="B17" s="1392"/>
      <c r="C17" s="276"/>
      <c r="D17" s="1379"/>
      <c r="E17" s="1424"/>
      <c r="F17" s="1424"/>
      <c r="G17" s="1424"/>
      <c r="H17" s="1424"/>
      <c r="I17" s="1381"/>
      <c r="J17" s="248"/>
      <c r="K17" s="6"/>
    </row>
    <row r="18" spans="1:11" ht="36.75" thickBot="1">
      <c r="A18" s="245"/>
      <c r="B18" s="1392"/>
      <c r="C18" s="272"/>
      <c r="D18" s="422" t="s">
        <v>1870</v>
      </c>
      <c r="E18" s="153">
        <v>13</v>
      </c>
      <c r="F18" s="248"/>
      <c r="G18" s="248"/>
      <c r="H18" s="248"/>
      <c r="I18" s="448"/>
      <c r="J18" s="248"/>
      <c r="K18" s="6"/>
    </row>
    <row r="19" spans="1:11" ht="36.75" thickBot="1">
      <c r="A19" s="245"/>
      <c r="B19" s="1392"/>
      <c r="C19" s="272"/>
      <c r="D19" s="427" t="s">
        <v>917</v>
      </c>
      <c r="E19" s="153">
        <v>13</v>
      </c>
      <c r="F19" s="248"/>
      <c r="G19" s="248"/>
      <c r="H19" s="248"/>
      <c r="I19" s="448"/>
      <c r="J19" s="248"/>
      <c r="K19" s="6"/>
    </row>
    <row r="20" spans="1:11" ht="15.75" thickBot="1">
      <c r="A20" s="245"/>
      <c r="B20" s="1392"/>
      <c r="C20" s="276"/>
      <c r="D20" s="1403"/>
      <c r="E20" s="1404"/>
      <c r="F20" s="1404"/>
      <c r="G20" s="1404"/>
      <c r="H20" s="1404"/>
      <c r="I20" s="1405"/>
      <c r="J20" s="248"/>
      <c r="K20" s="6"/>
    </row>
    <row r="21" spans="1:11" ht="15.75" thickBot="1">
      <c r="A21" s="245"/>
      <c r="B21" s="1392"/>
      <c r="C21" s="272"/>
      <c r="D21" s="422" t="s">
        <v>156</v>
      </c>
      <c r="E21" s="280" t="s">
        <v>25</v>
      </c>
      <c r="F21" s="280" t="s">
        <v>26</v>
      </c>
      <c r="G21" s="280" t="s">
        <v>27</v>
      </c>
      <c r="H21" s="280" t="s">
        <v>28</v>
      </c>
      <c r="I21" s="317" t="s">
        <v>157</v>
      </c>
      <c r="J21" s="248"/>
      <c r="K21" s="6"/>
    </row>
    <row r="22" spans="1:11" ht="24.75" thickBot="1">
      <c r="A22" s="245"/>
      <c r="B22" s="1392"/>
      <c r="C22" s="272"/>
      <c r="D22" s="427" t="s">
        <v>918</v>
      </c>
      <c r="E22" s="153">
        <v>13</v>
      </c>
      <c r="F22" s="153">
        <v>13</v>
      </c>
      <c r="G22" s="153"/>
      <c r="H22" s="153"/>
      <c r="I22" s="449">
        <f t="shared" ref="I22:I23" si="0">SUM(E22:H22)</f>
        <v>26</v>
      </c>
      <c r="J22" s="248"/>
      <c r="K22" s="6"/>
    </row>
    <row r="23" spans="1:11" ht="24.75" thickBot="1">
      <c r="A23" s="245"/>
      <c r="B23" s="1392"/>
      <c r="C23" s="272"/>
      <c r="D23" s="427" t="s">
        <v>919</v>
      </c>
      <c r="E23" s="153">
        <v>13</v>
      </c>
      <c r="F23" s="153">
        <v>7</v>
      </c>
      <c r="G23" s="153"/>
      <c r="H23" s="153"/>
      <c r="I23" s="449">
        <f t="shared" si="0"/>
        <v>20</v>
      </c>
      <c r="J23" s="248"/>
      <c r="K23" s="6"/>
    </row>
    <row r="24" spans="1:11" ht="24.75" thickBot="1">
      <c r="A24" s="245"/>
      <c r="B24" s="1392"/>
      <c r="C24" s="272"/>
      <c r="D24" s="427" t="s">
        <v>920</v>
      </c>
      <c r="E24" s="196">
        <f>+E23/E22</f>
        <v>1</v>
      </c>
      <c r="F24" s="196">
        <f t="shared" ref="F24:I24" si="1">+F23/F22</f>
        <v>0.53846153846153844</v>
      </c>
      <c r="G24" s="196" t="e">
        <f t="shared" si="1"/>
        <v>#DIV/0!</v>
      </c>
      <c r="H24" s="196" t="e">
        <f t="shared" si="1"/>
        <v>#DIV/0!</v>
      </c>
      <c r="I24" s="196">
        <f t="shared" si="1"/>
        <v>0.76923076923076927</v>
      </c>
      <c r="J24" s="248"/>
      <c r="K24" s="6"/>
    </row>
    <row r="25" spans="1:11">
      <c r="A25" s="245"/>
      <c r="B25" s="1392"/>
      <c r="C25" s="276"/>
      <c r="D25" s="1373" t="s">
        <v>921</v>
      </c>
      <c r="E25" s="1374"/>
      <c r="F25" s="1374"/>
      <c r="G25" s="1374"/>
      <c r="H25" s="1374"/>
      <c r="I25" s="1375"/>
      <c r="J25" s="248"/>
      <c r="K25" s="6"/>
    </row>
    <row r="26" spans="1:11" ht="15.75" thickBot="1">
      <c r="A26" s="245"/>
      <c r="B26" s="1392"/>
      <c r="C26" s="276"/>
      <c r="D26" s="1379"/>
      <c r="E26" s="1424"/>
      <c r="F26" s="1424"/>
      <c r="G26" s="1424"/>
      <c r="H26" s="1424"/>
      <c r="I26" s="1381"/>
      <c r="J26" s="248"/>
      <c r="K26" s="6"/>
    </row>
    <row r="27" spans="1:11" ht="24">
      <c r="A27" s="245"/>
      <c r="B27" s="1392"/>
      <c r="C27" s="272"/>
      <c r="D27" s="1375" t="s">
        <v>922</v>
      </c>
      <c r="E27" s="1391" t="s">
        <v>923</v>
      </c>
      <c r="F27" s="1391" t="s">
        <v>924</v>
      </c>
      <c r="G27" s="1391" t="s">
        <v>925</v>
      </c>
      <c r="H27" s="420" t="s">
        <v>926</v>
      </c>
      <c r="I27" s="448"/>
      <c r="J27" s="248"/>
      <c r="K27" s="6"/>
    </row>
    <row r="28" spans="1:11" ht="15.75" thickBot="1">
      <c r="A28" s="245"/>
      <c r="B28" s="1392"/>
      <c r="C28" s="272"/>
      <c r="D28" s="1405"/>
      <c r="E28" s="1393"/>
      <c r="F28" s="1393"/>
      <c r="G28" s="1393"/>
      <c r="H28" s="427" t="s">
        <v>927</v>
      </c>
      <c r="I28" s="448"/>
      <c r="J28" s="248"/>
      <c r="K28" s="6"/>
    </row>
    <row r="29" spans="1:11" ht="15.75" thickBot="1">
      <c r="A29" s="245"/>
      <c r="B29" s="1392"/>
      <c r="C29" s="272"/>
      <c r="D29" s="31" t="s">
        <v>1213</v>
      </c>
      <c r="E29" s="153">
        <v>7</v>
      </c>
      <c r="F29" s="153"/>
      <c r="G29" s="153">
        <v>6</v>
      </c>
      <c r="H29" s="153">
        <v>6</v>
      </c>
      <c r="I29" s="448"/>
      <c r="J29" s="248"/>
      <c r="K29" s="6"/>
    </row>
    <row r="30" spans="1:11" ht="15.75" thickBot="1">
      <c r="A30" s="245"/>
      <c r="B30" s="1392"/>
      <c r="C30" s="272"/>
      <c r="D30" s="31" t="s">
        <v>1665</v>
      </c>
      <c r="E30" s="153">
        <v>4</v>
      </c>
      <c r="F30" s="153"/>
      <c r="G30" s="153">
        <v>4</v>
      </c>
      <c r="H30" s="153">
        <v>4</v>
      </c>
      <c r="I30" s="448"/>
      <c r="J30" s="248"/>
      <c r="K30" s="6"/>
    </row>
    <row r="31" spans="1:11" ht="15.75" thickBot="1">
      <c r="A31" s="245"/>
      <c r="B31" s="1392"/>
      <c r="C31" s="272"/>
      <c r="D31" s="31" t="s">
        <v>1666</v>
      </c>
      <c r="E31" s="153">
        <v>1</v>
      </c>
      <c r="F31" s="153"/>
      <c r="G31" s="153">
        <v>1</v>
      </c>
      <c r="H31" s="153">
        <v>1</v>
      </c>
      <c r="I31" s="448"/>
      <c r="J31" s="248"/>
      <c r="K31" s="6"/>
    </row>
    <row r="32" spans="1:11" s="413" customFormat="1" ht="15.75" thickBot="1">
      <c r="A32" s="245"/>
      <c r="B32" s="1392"/>
      <c r="C32" s="272"/>
      <c r="D32" s="31" t="s">
        <v>1667</v>
      </c>
      <c r="E32" s="153">
        <v>1</v>
      </c>
      <c r="F32" s="153"/>
      <c r="G32" s="153">
        <v>1</v>
      </c>
      <c r="H32" s="153">
        <v>1</v>
      </c>
      <c r="I32" s="448"/>
      <c r="J32" s="248"/>
      <c r="K32" s="6"/>
    </row>
    <row r="33" spans="1:11" s="413" customFormat="1" ht="15.75" thickBot="1">
      <c r="A33" s="245"/>
      <c r="B33" s="1392"/>
      <c r="C33" s="272"/>
      <c r="D33" s="31" t="s">
        <v>1668</v>
      </c>
      <c r="E33" s="153">
        <v>1</v>
      </c>
      <c r="F33" s="153"/>
      <c r="G33" s="153">
        <v>1</v>
      </c>
      <c r="H33" s="153">
        <v>1</v>
      </c>
      <c r="I33" s="448"/>
      <c r="J33" s="248"/>
      <c r="K33" s="6"/>
    </row>
    <row r="34" spans="1:11" s="413" customFormat="1" ht="15.75" thickBot="1">
      <c r="A34" s="245"/>
      <c r="B34" s="1392"/>
      <c r="C34" s="272"/>
      <c r="D34" s="31"/>
      <c r="E34" s="153"/>
      <c r="F34" s="153"/>
      <c r="G34" s="153"/>
      <c r="H34" s="153"/>
      <c r="I34" s="448"/>
      <c r="J34" s="248"/>
      <c r="K34" s="6"/>
    </row>
    <row r="35" spans="1:11" s="413" customFormat="1" ht="15.75" thickBot="1">
      <c r="A35" s="245"/>
      <c r="B35" s="1392"/>
      <c r="C35" s="272"/>
      <c r="D35" s="31"/>
      <c r="E35" s="153"/>
      <c r="F35" s="153"/>
      <c r="G35" s="153"/>
      <c r="H35" s="153"/>
      <c r="I35" s="448"/>
      <c r="J35" s="248"/>
      <c r="K35" s="6"/>
    </row>
    <row r="36" spans="1:11" s="413" customFormat="1" ht="15.75" thickBot="1">
      <c r="A36" s="245"/>
      <c r="B36" s="1392"/>
      <c r="C36" s="272"/>
      <c r="D36" s="31"/>
      <c r="E36" s="153"/>
      <c r="F36" s="153"/>
      <c r="G36" s="153"/>
      <c r="H36" s="153"/>
      <c r="I36" s="448"/>
      <c r="J36" s="248"/>
      <c r="K36" s="6"/>
    </row>
    <row r="37" spans="1:11" s="413" customFormat="1" ht="15.75" thickBot="1">
      <c r="A37" s="245"/>
      <c r="B37" s="1392"/>
      <c r="C37" s="272"/>
      <c r="D37" s="31"/>
      <c r="E37" s="153"/>
      <c r="F37" s="153"/>
      <c r="G37" s="153"/>
      <c r="H37" s="153"/>
      <c r="I37" s="448"/>
      <c r="J37" s="248"/>
      <c r="K37" s="6"/>
    </row>
    <row r="38" spans="1:11" s="413" customFormat="1" ht="15.75" thickBot="1">
      <c r="A38" s="245"/>
      <c r="B38" s="1392"/>
      <c r="C38" s="272"/>
      <c r="D38" s="31"/>
      <c r="E38" s="153"/>
      <c r="F38" s="153"/>
      <c r="G38" s="153"/>
      <c r="H38" s="153"/>
      <c r="I38" s="448"/>
      <c r="J38" s="248"/>
      <c r="K38" s="6"/>
    </row>
    <row r="39" spans="1:11" s="413" customFormat="1" ht="15.75" thickBot="1">
      <c r="A39" s="245"/>
      <c r="B39" s="1392"/>
      <c r="C39" s="272"/>
      <c r="D39" s="31"/>
      <c r="E39" s="153"/>
      <c r="F39" s="153"/>
      <c r="G39" s="153"/>
      <c r="H39" s="153"/>
      <c r="I39" s="448"/>
      <c r="J39" s="248"/>
      <c r="K39" s="6"/>
    </row>
    <row r="40" spans="1:11" ht="15.75" thickBot="1">
      <c r="A40" s="245"/>
      <c r="B40" s="1392"/>
      <c r="C40" s="272"/>
      <c r="D40" s="31"/>
      <c r="E40" s="153"/>
      <c r="F40" s="153"/>
      <c r="G40" s="153"/>
      <c r="H40" s="153"/>
      <c r="I40" s="448"/>
      <c r="J40" s="248"/>
      <c r="K40" s="6"/>
    </row>
    <row r="41" spans="1:11" ht="15.75" thickBot="1">
      <c r="A41" s="245"/>
      <c r="B41" s="1392"/>
      <c r="C41" s="272"/>
      <c r="D41" s="427" t="s">
        <v>157</v>
      </c>
      <c r="E41" s="450">
        <f t="shared" ref="E41" si="2">SUM(E29:E40)</f>
        <v>14</v>
      </c>
      <c r="F41" s="450">
        <f>SUM(F29:F40)</f>
        <v>0</v>
      </c>
      <c r="G41" s="450">
        <f t="shared" ref="G41:H41" si="3">SUM(G29:G40)</f>
        <v>13</v>
      </c>
      <c r="H41" s="450">
        <f t="shared" si="3"/>
        <v>13</v>
      </c>
      <c r="I41" s="448"/>
      <c r="J41" s="248"/>
      <c r="K41" s="6"/>
    </row>
    <row r="42" spans="1:11">
      <c r="A42" s="245"/>
      <c r="B42" s="1392"/>
      <c r="C42" s="276"/>
      <c r="D42" s="1379"/>
      <c r="E42" s="1424"/>
      <c r="F42" s="1424"/>
      <c r="G42" s="1424"/>
      <c r="H42" s="1424"/>
      <c r="I42" s="1381"/>
      <c r="J42" s="248"/>
      <c r="K42" s="6"/>
    </row>
    <row r="43" spans="1:11">
      <c r="A43" s="245"/>
      <c r="B43" s="1392"/>
      <c r="C43" s="276"/>
      <c r="D43" s="1616" t="s">
        <v>928</v>
      </c>
      <c r="E43" s="1617"/>
      <c r="F43" s="1617"/>
      <c r="G43" s="1617"/>
      <c r="H43" s="1617"/>
      <c r="I43" s="1618"/>
      <c r="J43" s="248"/>
      <c r="K43" s="6"/>
    </row>
    <row r="44" spans="1:11" ht="15.75" thickBot="1">
      <c r="A44" s="245"/>
      <c r="B44" s="1392"/>
      <c r="C44" s="276"/>
      <c r="D44" s="1379"/>
      <c r="E44" s="1424"/>
      <c r="F44" s="1424"/>
      <c r="G44" s="1424"/>
      <c r="H44" s="1424"/>
      <c r="I44" s="1381"/>
      <c r="J44" s="248"/>
      <c r="K44" s="6"/>
    </row>
    <row r="45" spans="1:11" ht="15.75" thickBot="1">
      <c r="A45" s="245"/>
      <c r="B45" s="1392"/>
      <c r="C45" s="272"/>
      <c r="D45" s="422" t="s">
        <v>156</v>
      </c>
      <c r="E45" s="280" t="s">
        <v>929</v>
      </c>
      <c r="F45" s="248"/>
      <c r="G45" s="248"/>
      <c r="H45" s="248"/>
      <c r="I45" s="448"/>
      <c r="J45" s="248"/>
      <c r="K45" s="6"/>
    </row>
    <row r="46" spans="1:11" ht="15.75" thickBot="1">
      <c r="A46" s="245"/>
      <c r="B46" s="1392"/>
      <c r="C46" s="272"/>
      <c r="D46" s="427" t="s">
        <v>1867</v>
      </c>
      <c r="E46" s="153"/>
      <c r="F46" s="248"/>
      <c r="G46" s="248"/>
      <c r="H46" s="248"/>
      <c r="I46" s="448"/>
      <c r="J46" s="248"/>
      <c r="K46" s="6"/>
    </row>
    <row r="47" spans="1:11" ht="24.75" thickBot="1">
      <c r="A47" s="245"/>
      <c r="B47" s="1392"/>
      <c r="C47" s="272"/>
      <c r="D47" s="427" t="s">
        <v>1868</v>
      </c>
      <c r="E47" s="153"/>
      <c r="F47" s="248"/>
      <c r="G47" s="248"/>
      <c r="H47" s="248"/>
      <c r="I47" s="448"/>
      <c r="J47" s="248"/>
      <c r="K47" s="6"/>
    </row>
    <row r="48" spans="1:11" ht="24.75" thickBot="1">
      <c r="A48" s="245"/>
      <c r="B48" s="1392"/>
      <c r="C48" s="272"/>
      <c r="D48" s="427" t="s">
        <v>1869</v>
      </c>
      <c r="E48" s="153"/>
      <c r="F48" s="248"/>
      <c r="G48" s="248"/>
      <c r="H48" s="248"/>
      <c r="I48" s="448"/>
      <c r="J48" s="248"/>
      <c r="K48" s="6"/>
    </row>
    <row r="49" spans="1:11">
      <c r="A49" s="245"/>
      <c r="B49" s="1392"/>
      <c r="C49" s="276"/>
      <c r="D49" s="1379"/>
      <c r="E49" s="1424"/>
      <c r="F49" s="1424"/>
      <c r="G49" s="1424"/>
      <c r="H49" s="1424"/>
      <c r="I49" s="1381"/>
      <c r="J49" s="248"/>
      <c r="K49" s="6"/>
    </row>
    <row r="50" spans="1:11">
      <c r="A50" s="245"/>
      <c r="B50" s="1392"/>
      <c r="C50" s="276"/>
      <c r="D50" s="1379" t="s">
        <v>930</v>
      </c>
      <c r="E50" s="1424"/>
      <c r="F50" s="1424"/>
      <c r="G50" s="1424"/>
      <c r="H50" s="1424"/>
      <c r="I50" s="1381"/>
      <c r="J50" s="248"/>
      <c r="K50" s="6"/>
    </row>
    <row r="51" spans="1:11" ht="15.75" thickBot="1">
      <c r="A51" s="245"/>
      <c r="B51" s="1392"/>
      <c r="C51" s="276"/>
      <c r="D51" s="1403"/>
      <c r="E51" s="1404"/>
      <c r="F51" s="1404"/>
      <c r="G51" s="1404"/>
      <c r="H51" s="1404"/>
      <c r="I51" s="1405"/>
      <c r="J51" s="248"/>
      <c r="K51" s="6"/>
    </row>
    <row r="52" spans="1:11" ht="15.75" thickBot="1">
      <c r="A52" s="245"/>
      <c r="B52" s="1392"/>
      <c r="C52" s="272"/>
      <c r="D52" s="422" t="s">
        <v>156</v>
      </c>
      <c r="E52" s="280" t="s">
        <v>25</v>
      </c>
      <c r="F52" s="280" t="s">
        <v>26</v>
      </c>
      <c r="G52" s="280" t="s">
        <v>27</v>
      </c>
      <c r="H52" s="280" t="s">
        <v>28</v>
      </c>
      <c r="I52" s="317" t="s">
        <v>157</v>
      </c>
      <c r="J52" s="248"/>
      <c r="K52" s="6"/>
    </row>
    <row r="53" spans="1:11" ht="24.75" thickBot="1">
      <c r="A53" s="245"/>
      <c r="B53" s="1392"/>
      <c r="C53" s="272"/>
      <c r="D53" s="427" t="s">
        <v>931</v>
      </c>
      <c r="E53" s="153">
        <v>100</v>
      </c>
      <c r="F53" s="153">
        <v>100</v>
      </c>
      <c r="G53" s="153"/>
      <c r="H53" s="153"/>
      <c r="I53" s="450">
        <f t="shared" ref="I53:I54" si="4">SUM(E53:H53)</f>
        <v>200</v>
      </c>
      <c r="J53" s="248"/>
      <c r="K53" s="6"/>
    </row>
    <row r="54" spans="1:11" ht="24.75" thickBot="1">
      <c r="A54" s="245"/>
      <c r="B54" s="1392"/>
      <c r="C54" s="272"/>
      <c r="D54" s="427" t="s">
        <v>932</v>
      </c>
      <c r="E54" s="153">
        <v>91</v>
      </c>
      <c r="F54" s="153">
        <v>38</v>
      </c>
      <c r="G54" s="153"/>
      <c r="H54" s="153"/>
      <c r="I54" s="450">
        <f t="shared" si="4"/>
        <v>129</v>
      </c>
      <c r="J54" s="248"/>
      <c r="K54" s="6"/>
    </row>
    <row r="55" spans="1:11" ht="24.75" thickBot="1">
      <c r="A55" s="245"/>
      <c r="B55" s="1392"/>
      <c r="C55" s="272"/>
      <c r="D55" s="427" t="s">
        <v>933</v>
      </c>
      <c r="E55" s="196">
        <f>+E54/E53</f>
        <v>0.91</v>
      </c>
      <c r="F55" s="196">
        <f t="shared" ref="F55:I55" si="5">+F54/F53</f>
        <v>0.38</v>
      </c>
      <c r="G55" s="196" t="e">
        <f t="shared" si="5"/>
        <v>#DIV/0!</v>
      </c>
      <c r="H55" s="196" t="e">
        <f t="shared" si="5"/>
        <v>#DIV/0!</v>
      </c>
      <c r="I55" s="196">
        <f t="shared" si="5"/>
        <v>0.64500000000000002</v>
      </c>
      <c r="J55" s="248"/>
      <c r="K55" s="6"/>
    </row>
    <row r="56" spans="1:11">
      <c r="A56" s="245"/>
      <c r="B56" s="1392"/>
      <c r="C56" s="276"/>
      <c r="D56" s="1373"/>
      <c r="E56" s="1374"/>
      <c r="F56" s="1374"/>
      <c r="G56" s="1374"/>
      <c r="H56" s="1374"/>
      <c r="I56" s="1375"/>
      <c r="J56" s="248"/>
      <c r="K56" s="6"/>
    </row>
    <row r="57" spans="1:11">
      <c r="A57" s="245"/>
      <c r="B57" s="1392"/>
      <c r="C57" s="276"/>
      <c r="D57" s="1379" t="s">
        <v>934</v>
      </c>
      <c r="E57" s="1424"/>
      <c r="F57" s="1424"/>
      <c r="G57" s="1424"/>
      <c r="H57" s="1424"/>
      <c r="I57" s="1381"/>
      <c r="J57" s="248"/>
      <c r="K57" s="6"/>
    </row>
    <row r="58" spans="1:11" ht="15.75" thickBot="1">
      <c r="A58" s="245"/>
      <c r="B58" s="1392"/>
      <c r="C58" s="276"/>
      <c r="D58" s="1403"/>
      <c r="E58" s="1404"/>
      <c r="F58" s="1404"/>
      <c r="G58" s="1404"/>
      <c r="H58" s="1404"/>
      <c r="I58" s="1405"/>
      <c r="J58" s="248"/>
      <c r="K58" s="6"/>
    </row>
    <row r="59" spans="1:11" ht="15.75" thickBot="1">
      <c r="A59" s="245"/>
      <c r="B59" s="1392"/>
      <c r="C59" s="272"/>
      <c r="D59" s="422" t="s">
        <v>156</v>
      </c>
      <c r="E59" s="280" t="s">
        <v>25</v>
      </c>
      <c r="F59" s="280" t="s">
        <v>26</v>
      </c>
      <c r="G59" s="280" t="s">
        <v>27</v>
      </c>
      <c r="H59" s="280" t="s">
        <v>28</v>
      </c>
      <c r="I59" s="317" t="s">
        <v>157</v>
      </c>
      <c r="J59" s="248"/>
      <c r="K59" s="6"/>
    </row>
    <row r="60" spans="1:11" ht="24.75" thickBot="1">
      <c r="A60" s="245"/>
      <c r="B60" s="1392"/>
      <c r="C60" s="272"/>
      <c r="D60" s="427" t="s">
        <v>935</v>
      </c>
      <c r="E60" s="153">
        <v>100</v>
      </c>
      <c r="F60" s="153">
        <v>100</v>
      </c>
      <c r="G60" s="153"/>
      <c r="H60" s="153"/>
      <c r="I60" s="450">
        <f t="shared" ref="I60:I61" si="6">SUM(E60:H60)</f>
        <v>200</v>
      </c>
      <c r="J60" s="248"/>
      <c r="K60" s="6"/>
    </row>
    <row r="61" spans="1:11" ht="24.75" thickBot="1">
      <c r="A61" s="245"/>
      <c r="B61" s="1392"/>
      <c r="C61" s="272"/>
      <c r="D61" s="427" t="s">
        <v>936</v>
      </c>
      <c r="E61" s="153">
        <v>95</v>
      </c>
      <c r="F61" s="153">
        <v>38</v>
      </c>
      <c r="G61" s="153"/>
      <c r="H61" s="153"/>
      <c r="I61" s="450">
        <f t="shared" si="6"/>
        <v>133</v>
      </c>
      <c r="J61" s="248"/>
      <c r="K61" s="6"/>
    </row>
    <row r="62" spans="1:11" ht="24.75" thickBot="1">
      <c r="A62" s="245"/>
      <c r="B62" s="1392"/>
      <c r="C62" s="272"/>
      <c r="D62" s="427" t="s">
        <v>937</v>
      </c>
      <c r="E62" s="196">
        <f t="shared" ref="E62:I62" si="7">+E61/E60</f>
        <v>0.95</v>
      </c>
      <c r="F62" s="196">
        <f t="shared" si="7"/>
        <v>0.38</v>
      </c>
      <c r="G62" s="196" t="e">
        <f t="shared" si="7"/>
        <v>#DIV/0!</v>
      </c>
      <c r="H62" s="196" t="e">
        <f t="shared" si="7"/>
        <v>#DIV/0!</v>
      </c>
      <c r="I62" s="196">
        <f t="shared" si="7"/>
        <v>0.66500000000000004</v>
      </c>
      <c r="J62" s="248"/>
      <c r="K62" s="6"/>
    </row>
    <row r="63" spans="1:11">
      <c r="A63" s="245"/>
      <c r="B63" s="1392"/>
      <c r="C63" s="276"/>
      <c r="D63" s="1373"/>
      <c r="E63" s="1374"/>
      <c r="F63" s="1374"/>
      <c r="G63" s="1374"/>
      <c r="H63" s="1374"/>
      <c r="I63" s="1375"/>
      <c r="J63" s="248"/>
      <c r="K63" s="6"/>
    </row>
    <row r="64" spans="1:11">
      <c r="A64" s="245"/>
      <c r="B64" s="1392"/>
      <c r="C64" s="276"/>
      <c r="D64" s="1616" t="s">
        <v>1252</v>
      </c>
      <c r="E64" s="1617"/>
      <c r="F64" s="1617"/>
      <c r="G64" s="1617"/>
      <c r="H64" s="1617"/>
      <c r="I64" s="1618"/>
      <c r="J64" s="248"/>
      <c r="K64" s="6"/>
    </row>
    <row r="65" spans="1:11" ht="15.75" thickBot="1">
      <c r="A65" s="245"/>
      <c r="B65" s="1392"/>
      <c r="C65" s="276"/>
      <c r="D65" s="1379"/>
      <c r="E65" s="1424"/>
      <c r="F65" s="1424"/>
      <c r="G65" s="1424"/>
      <c r="H65" s="1424"/>
      <c r="I65" s="1381"/>
      <c r="J65" s="248"/>
      <c r="K65" s="6"/>
    </row>
    <row r="66" spans="1:11" ht="15.75" thickBot="1">
      <c r="A66" s="245"/>
      <c r="B66" s="1392"/>
      <c r="C66" s="272"/>
      <c r="D66" s="422" t="s">
        <v>156</v>
      </c>
      <c r="E66" s="280" t="s">
        <v>929</v>
      </c>
      <c r="F66" s="248"/>
      <c r="G66" s="248"/>
      <c r="H66" s="248"/>
      <c r="I66" s="448"/>
      <c r="J66" s="248"/>
      <c r="K66" s="6"/>
    </row>
    <row r="67" spans="1:11" ht="24.75" thickBot="1">
      <c r="A67" s="245"/>
      <c r="B67" s="1392"/>
      <c r="C67" s="272"/>
      <c r="D67" s="427" t="s">
        <v>938</v>
      </c>
      <c r="E67" s="153">
        <v>25</v>
      </c>
      <c r="F67" s="248"/>
      <c r="G67" s="248"/>
      <c r="H67" s="248"/>
      <c r="I67" s="448"/>
      <c r="J67" s="248"/>
      <c r="K67" s="6"/>
    </row>
    <row r="68" spans="1:11" ht="24.75" thickBot="1">
      <c r="A68" s="245"/>
      <c r="B68" s="1392"/>
      <c r="C68" s="272"/>
      <c r="D68" s="427" t="s">
        <v>1871</v>
      </c>
      <c r="E68" s="153">
        <v>55</v>
      </c>
      <c r="F68" s="248"/>
      <c r="G68" s="248"/>
      <c r="H68" s="248"/>
      <c r="I68" s="448"/>
      <c r="J68" s="248"/>
      <c r="K68" s="6"/>
    </row>
    <row r="69" spans="1:11" ht="24.75" thickBot="1">
      <c r="A69" s="245"/>
      <c r="B69" s="1392"/>
      <c r="C69" s="272"/>
      <c r="D69" s="427" t="s">
        <v>1872</v>
      </c>
      <c r="E69" s="153">
        <v>55</v>
      </c>
      <c r="F69" s="248"/>
      <c r="G69" s="248"/>
      <c r="H69" s="248"/>
      <c r="I69" s="448"/>
      <c r="J69" s="248"/>
      <c r="K69" s="6"/>
    </row>
    <row r="70" spans="1:11">
      <c r="A70" s="245"/>
      <c r="B70" s="1392"/>
      <c r="C70" s="276"/>
      <c r="D70" s="1379"/>
      <c r="E70" s="1424"/>
      <c r="F70" s="1424"/>
      <c r="G70" s="1424"/>
      <c r="H70" s="1424"/>
      <c r="I70" s="1381"/>
      <c r="J70" s="248"/>
      <c r="K70" s="6"/>
    </row>
    <row r="71" spans="1:11">
      <c r="A71" s="245"/>
      <c r="B71" s="1392"/>
      <c r="C71" s="276"/>
      <c r="D71" s="1379" t="s">
        <v>939</v>
      </c>
      <c r="E71" s="1424"/>
      <c r="F71" s="1424"/>
      <c r="G71" s="1424"/>
      <c r="H71" s="1424"/>
      <c r="I71" s="1381"/>
      <c r="J71" s="248"/>
      <c r="K71" s="6"/>
    </row>
    <row r="72" spans="1:11" ht="15.75" thickBot="1">
      <c r="A72" s="245"/>
      <c r="B72" s="1392"/>
      <c r="C72" s="276"/>
      <c r="D72" s="1403"/>
      <c r="E72" s="1404"/>
      <c r="F72" s="1404"/>
      <c r="G72" s="1404"/>
      <c r="H72" s="1404"/>
      <c r="I72" s="1405"/>
      <c r="J72" s="248"/>
      <c r="K72" s="6"/>
    </row>
    <row r="73" spans="1:11" ht="15.75" thickBot="1">
      <c r="A73" s="245"/>
      <c r="B73" s="1392"/>
      <c r="C73" s="272"/>
      <c r="D73" s="422" t="s">
        <v>156</v>
      </c>
      <c r="E73" s="280" t="s">
        <v>25</v>
      </c>
      <c r="F73" s="280" t="s">
        <v>26</v>
      </c>
      <c r="G73" s="280" t="s">
        <v>27</v>
      </c>
      <c r="H73" s="280" t="s">
        <v>28</v>
      </c>
      <c r="I73" s="317" t="s">
        <v>157</v>
      </c>
      <c r="J73" s="248"/>
      <c r="K73" s="6"/>
    </row>
    <row r="74" spans="1:11" ht="36.75" thickBot="1">
      <c r="A74" s="245"/>
      <c r="B74" s="1392"/>
      <c r="C74" s="272"/>
      <c r="D74" s="427" t="s">
        <v>940</v>
      </c>
      <c r="E74" s="153">
        <v>38</v>
      </c>
      <c r="F74" s="153">
        <v>38</v>
      </c>
      <c r="G74" s="153"/>
      <c r="H74" s="153"/>
      <c r="I74" s="450">
        <f t="shared" ref="I74:I75" si="8">SUM(E74:H74)</f>
        <v>76</v>
      </c>
      <c r="J74" s="248"/>
      <c r="K74" s="6"/>
    </row>
    <row r="75" spans="1:11" ht="24.75" thickBot="1">
      <c r="A75" s="245"/>
      <c r="B75" s="1392"/>
      <c r="C75" s="272"/>
      <c r="D75" s="427" t="s">
        <v>941</v>
      </c>
      <c r="E75" s="153">
        <v>38</v>
      </c>
      <c r="F75" s="153">
        <v>25</v>
      </c>
      <c r="G75" s="153"/>
      <c r="H75" s="153"/>
      <c r="I75" s="450">
        <f t="shared" si="8"/>
        <v>63</v>
      </c>
      <c r="J75" s="248"/>
      <c r="K75" s="6"/>
    </row>
    <row r="76" spans="1:11" ht="24.75" thickBot="1">
      <c r="A76" s="245"/>
      <c r="B76" s="1392"/>
      <c r="C76" s="272"/>
      <c r="D76" s="427" t="s">
        <v>942</v>
      </c>
      <c r="E76" s="196">
        <f t="shared" ref="E76" si="9">+E75/E74</f>
        <v>1</v>
      </c>
      <c r="F76" s="196">
        <f t="shared" ref="F76" si="10">+F75/F74</f>
        <v>0.65789473684210531</v>
      </c>
      <c r="G76" s="196" t="e">
        <f t="shared" ref="G76" si="11">+G75/G74</f>
        <v>#DIV/0!</v>
      </c>
      <c r="H76" s="196" t="e">
        <f t="shared" ref="H76" si="12">+H75/H74</f>
        <v>#DIV/0!</v>
      </c>
      <c r="I76" s="196">
        <f t="shared" ref="I76" si="13">+I75/I74</f>
        <v>0.82894736842105265</v>
      </c>
      <c r="J76" s="248"/>
      <c r="K76" s="6"/>
    </row>
    <row r="77" spans="1:11" ht="15.75" thickBot="1">
      <c r="A77" s="245"/>
      <c r="B77" s="1392"/>
      <c r="C77" s="405"/>
      <c r="D77" s="421"/>
      <c r="E77" s="451"/>
      <c r="F77" s="451"/>
      <c r="G77" s="451"/>
      <c r="H77" s="451"/>
      <c r="I77" s="452"/>
      <c r="J77" s="248"/>
      <c r="K77" s="6"/>
    </row>
    <row r="78" spans="1:11">
      <c r="A78" s="245"/>
      <c r="B78" s="1392"/>
      <c r="C78" s="276"/>
      <c r="D78" s="1373" t="s">
        <v>943</v>
      </c>
      <c r="E78" s="1374"/>
      <c r="F78" s="1374"/>
      <c r="G78" s="1374"/>
      <c r="H78" s="1374"/>
      <c r="I78" s="1375"/>
      <c r="J78" s="248"/>
      <c r="K78" s="6"/>
    </row>
    <row r="79" spans="1:11" ht="15.75" thickBot="1">
      <c r="A79" s="245"/>
      <c r="B79" s="1392"/>
      <c r="C79" s="276"/>
      <c r="D79" s="1403"/>
      <c r="E79" s="1404"/>
      <c r="F79" s="1404"/>
      <c r="G79" s="1404"/>
      <c r="H79" s="1404"/>
      <c r="I79" s="1405"/>
      <c r="J79" s="248"/>
      <c r="K79" s="6"/>
    </row>
    <row r="80" spans="1:11" ht="15.75" thickBot="1">
      <c r="A80" s="245"/>
      <c r="B80" s="1392"/>
      <c r="C80" s="272"/>
      <c r="D80" s="422" t="s">
        <v>156</v>
      </c>
      <c r="E80" s="280" t="s">
        <v>25</v>
      </c>
      <c r="F80" s="280" t="s">
        <v>26</v>
      </c>
      <c r="G80" s="280" t="s">
        <v>27</v>
      </c>
      <c r="H80" s="280" t="s">
        <v>28</v>
      </c>
      <c r="I80" s="317" t="s">
        <v>157</v>
      </c>
      <c r="J80" s="248"/>
      <c r="K80" s="6"/>
    </row>
    <row r="81" spans="1:11" ht="24.75" thickBot="1">
      <c r="A81" s="245"/>
      <c r="B81" s="1392"/>
      <c r="C81" s="272"/>
      <c r="D81" s="427" t="s">
        <v>944</v>
      </c>
      <c r="E81" s="153">
        <v>20</v>
      </c>
      <c r="F81" s="153">
        <v>20</v>
      </c>
      <c r="G81" s="153"/>
      <c r="H81" s="153"/>
      <c r="I81" s="450">
        <f t="shared" ref="I81:I82" si="14">SUM(E81:H81)</f>
        <v>40</v>
      </c>
      <c r="J81" s="248"/>
      <c r="K81" s="6"/>
    </row>
    <row r="82" spans="1:11" ht="24.75" thickBot="1">
      <c r="A82" s="245"/>
      <c r="B82" s="1392"/>
      <c r="C82" s="272"/>
      <c r="D82" s="427" t="s">
        <v>945</v>
      </c>
      <c r="E82" s="153">
        <v>20</v>
      </c>
      <c r="F82" s="153">
        <v>20</v>
      </c>
      <c r="G82" s="153"/>
      <c r="H82" s="153"/>
      <c r="I82" s="450">
        <f t="shared" si="14"/>
        <v>40</v>
      </c>
      <c r="J82" s="248"/>
      <c r="K82" s="6"/>
    </row>
    <row r="83" spans="1:11" ht="24.75" thickBot="1">
      <c r="A83" s="245"/>
      <c r="B83" s="1392"/>
      <c r="C83" s="272"/>
      <c r="D83" s="427" t="s">
        <v>946</v>
      </c>
      <c r="E83" s="196">
        <f t="shared" ref="E83" si="15">+E82/E81</f>
        <v>1</v>
      </c>
      <c r="F83" s="196">
        <f t="shared" ref="F83" si="16">+F82/F81</f>
        <v>1</v>
      </c>
      <c r="G83" s="196" t="e">
        <f t="shared" ref="G83" si="17">+G82/G81</f>
        <v>#DIV/0!</v>
      </c>
      <c r="H83" s="196" t="e">
        <f t="shared" ref="H83" si="18">+H82/H81</f>
        <v>#DIV/0!</v>
      </c>
      <c r="I83" s="196">
        <f t="shared" ref="I83" si="19">+I82/I81</f>
        <v>1</v>
      </c>
      <c r="J83" s="248"/>
      <c r="K83" s="6"/>
    </row>
    <row r="84" spans="1:11">
      <c r="A84" s="245"/>
      <c r="B84" s="1392"/>
      <c r="C84" s="276"/>
      <c r="D84" s="1373"/>
      <c r="E84" s="1374"/>
      <c r="F84" s="1374"/>
      <c r="G84" s="1374"/>
      <c r="H84" s="1374"/>
      <c r="I84" s="1375"/>
      <c r="J84" s="248"/>
      <c r="K84" s="6"/>
    </row>
    <row r="85" spans="1:11" ht="15.75" thickBot="1">
      <c r="A85" s="245"/>
      <c r="B85" s="1392"/>
      <c r="C85" s="276"/>
      <c r="D85" s="1616" t="s">
        <v>947</v>
      </c>
      <c r="E85" s="1617"/>
      <c r="F85" s="1617"/>
      <c r="G85" s="1617"/>
      <c r="H85" s="1617"/>
      <c r="I85" s="1618"/>
      <c r="J85" s="248"/>
      <c r="K85" s="6"/>
    </row>
    <row r="86" spans="1:11" ht="15.75" thickBot="1">
      <c r="A86" s="245"/>
      <c r="B86" s="1392"/>
      <c r="C86" s="272"/>
      <c r="D86" s="422" t="s">
        <v>156</v>
      </c>
      <c r="E86" s="280" t="s">
        <v>929</v>
      </c>
      <c r="F86" s="248"/>
      <c r="G86" s="248"/>
      <c r="H86" s="248"/>
      <c r="I86" s="448"/>
      <c r="J86" s="248"/>
      <c r="K86" s="6"/>
    </row>
    <row r="87" spans="1:11" ht="24.75" thickBot="1">
      <c r="A87" s="245"/>
      <c r="B87" s="1392"/>
      <c r="C87" s="272"/>
      <c r="D87" s="427" t="s">
        <v>1873</v>
      </c>
      <c r="E87" s="153">
        <v>83</v>
      </c>
      <c r="F87" s="248"/>
      <c r="G87" s="248"/>
      <c r="H87" s="248"/>
      <c r="I87" s="448"/>
      <c r="J87" s="248"/>
      <c r="K87" s="6"/>
    </row>
    <row r="88" spans="1:11" ht="24.75" thickBot="1">
      <c r="A88" s="245"/>
      <c r="B88" s="1392"/>
      <c r="C88" s="272"/>
      <c r="D88" s="427" t="s">
        <v>1874</v>
      </c>
      <c r="E88" s="153">
        <v>29</v>
      </c>
      <c r="F88" s="248"/>
      <c r="G88" s="248"/>
      <c r="H88" s="248"/>
      <c r="I88" s="448"/>
      <c r="J88" s="248"/>
      <c r="K88" s="6"/>
    </row>
    <row r="89" spans="1:11">
      <c r="A89" s="245"/>
      <c r="B89" s="1392"/>
      <c r="C89" s="276"/>
      <c r="D89" s="1379"/>
      <c r="E89" s="1424"/>
      <c r="F89" s="1424"/>
      <c r="G89" s="1424"/>
      <c r="H89" s="1424"/>
      <c r="I89" s="1381"/>
      <c r="J89" s="248"/>
      <c r="K89" s="6"/>
    </row>
    <row r="90" spans="1:11" ht="15.75" thickBot="1">
      <c r="A90" s="245"/>
      <c r="B90" s="1392"/>
      <c r="C90" s="276"/>
      <c r="D90" s="1403" t="s">
        <v>948</v>
      </c>
      <c r="E90" s="1404"/>
      <c r="F90" s="1404"/>
      <c r="G90" s="1404"/>
      <c r="H90" s="1404"/>
      <c r="I90" s="1405"/>
      <c r="J90" s="248"/>
      <c r="K90" s="6"/>
    </row>
    <row r="91" spans="1:11" ht="15.75" thickBot="1">
      <c r="A91" s="245"/>
      <c r="B91" s="1392"/>
      <c r="C91" s="272"/>
      <c r="D91" s="422" t="s">
        <v>156</v>
      </c>
      <c r="E91" s="280" t="s">
        <v>25</v>
      </c>
      <c r="F91" s="280" t="s">
        <v>26</v>
      </c>
      <c r="G91" s="280" t="s">
        <v>27</v>
      </c>
      <c r="H91" s="280" t="s">
        <v>28</v>
      </c>
      <c r="I91" s="317" t="s">
        <v>157</v>
      </c>
      <c r="J91" s="248"/>
      <c r="K91" s="6"/>
    </row>
    <row r="92" spans="1:11" ht="36.75" thickBot="1">
      <c r="A92" s="245"/>
      <c r="B92" s="1392"/>
      <c r="C92" s="272"/>
      <c r="D92" s="427" t="s">
        <v>949</v>
      </c>
      <c r="E92" s="153">
        <v>102</v>
      </c>
      <c r="F92" s="153">
        <v>29</v>
      </c>
      <c r="G92" s="153"/>
      <c r="H92" s="153"/>
      <c r="I92" s="450">
        <f t="shared" ref="I92:I93" si="20">SUM(E92:H92)</f>
        <v>131</v>
      </c>
      <c r="J92" s="248"/>
      <c r="K92" s="6"/>
    </row>
    <row r="93" spans="1:11" ht="24.75" thickBot="1">
      <c r="A93" s="245"/>
      <c r="B93" s="1392"/>
      <c r="C93" s="272"/>
      <c r="D93" s="427" t="s">
        <v>950</v>
      </c>
      <c r="E93" s="153">
        <v>94</v>
      </c>
      <c r="F93" s="153">
        <v>24</v>
      </c>
      <c r="G93" s="153"/>
      <c r="H93" s="153"/>
      <c r="I93" s="450">
        <f t="shared" si="20"/>
        <v>118</v>
      </c>
      <c r="J93" s="248"/>
      <c r="K93" s="6"/>
    </row>
    <row r="94" spans="1:11" ht="36.75" thickBot="1">
      <c r="A94" s="245"/>
      <c r="B94" s="1392"/>
      <c r="C94" s="272"/>
      <c r="D94" s="427" t="s">
        <v>951</v>
      </c>
      <c r="E94" s="196">
        <f t="shared" ref="E94" si="21">+E93/E92</f>
        <v>0.92156862745098034</v>
      </c>
      <c r="F94" s="196">
        <f t="shared" ref="F94" si="22">+F93/F92</f>
        <v>0.82758620689655171</v>
      </c>
      <c r="G94" s="196" t="e">
        <f t="shared" ref="G94" si="23">+G93/G92</f>
        <v>#DIV/0!</v>
      </c>
      <c r="H94" s="196" t="e">
        <f t="shared" ref="H94" si="24">+H93/H92</f>
        <v>#DIV/0!</v>
      </c>
      <c r="I94" s="196">
        <f t="shared" ref="I94" si="25">+I93/I92</f>
        <v>0.9007633587786259</v>
      </c>
      <c r="J94" s="248"/>
      <c r="K94" s="6"/>
    </row>
    <row r="95" spans="1:11">
      <c r="A95" s="245"/>
      <c r="B95" s="1392"/>
      <c r="C95" s="276"/>
      <c r="D95" s="1373"/>
      <c r="E95" s="1374"/>
      <c r="F95" s="1374"/>
      <c r="G95" s="1374"/>
      <c r="H95" s="1374"/>
      <c r="I95" s="1375"/>
      <c r="J95" s="248"/>
      <c r="K95" s="6"/>
    </row>
    <row r="96" spans="1:11">
      <c r="A96" s="245"/>
      <c r="B96" s="1392"/>
      <c r="C96" s="276"/>
      <c r="D96" s="1379" t="s">
        <v>952</v>
      </c>
      <c r="E96" s="1424"/>
      <c r="F96" s="1424"/>
      <c r="G96" s="1424"/>
      <c r="H96" s="1424"/>
      <c r="I96" s="1381"/>
      <c r="J96" s="248"/>
      <c r="K96" s="6"/>
    </row>
    <row r="97" spans="1:11" ht="15.75" thickBot="1">
      <c r="A97" s="245"/>
      <c r="B97" s="1392"/>
      <c r="C97" s="276"/>
      <c r="D97" s="1403"/>
      <c r="E97" s="1404"/>
      <c r="F97" s="1404"/>
      <c r="G97" s="1404"/>
      <c r="H97" s="1404"/>
      <c r="I97" s="1405"/>
      <c r="J97" s="248"/>
      <c r="K97" s="6"/>
    </row>
    <row r="98" spans="1:11" ht="15.75" thickBot="1">
      <c r="A98" s="245"/>
      <c r="B98" s="1392"/>
      <c r="C98" s="272"/>
      <c r="D98" s="422" t="s">
        <v>156</v>
      </c>
      <c r="E98" s="280" t="s">
        <v>25</v>
      </c>
      <c r="F98" s="280" t="s">
        <v>26</v>
      </c>
      <c r="G98" s="280" t="s">
        <v>27</v>
      </c>
      <c r="H98" s="280" t="s">
        <v>28</v>
      </c>
      <c r="I98" s="317" t="s">
        <v>157</v>
      </c>
      <c r="J98" s="248"/>
      <c r="K98" s="6"/>
    </row>
    <row r="99" spans="1:11" ht="24.75" thickBot="1">
      <c r="A99" s="245"/>
      <c r="B99" s="1392"/>
      <c r="C99" s="272"/>
      <c r="D99" s="427" t="s">
        <v>953</v>
      </c>
      <c r="E99" s="153">
        <v>7</v>
      </c>
      <c r="F99" s="153">
        <v>100</v>
      </c>
      <c r="G99" s="153"/>
      <c r="H99" s="153"/>
      <c r="I99" s="450">
        <f t="shared" ref="I99:I100" si="26">SUM(E99:H99)</f>
        <v>107</v>
      </c>
      <c r="J99" s="248"/>
      <c r="K99" s="6"/>
    </row>
    <row r="100" spans="1:11" ht="24.75" thickBot="1">
      <c r="A100" s="245"/>
      <c r="B100" s="1392"/>
      <c r="C100" s="272"/>
      <c r="D100" s="427" t="s">
        <v>954</v>
      </c>
      <c r="E100" s="153">
        <v>6</v>
      </c>
      <c r="F100" s="153">
        <v>1730</v>
      </c>
      <c r="G100" s="153"/>
      <c r="H100" s="153"/>
      <c r="I100" s="450">
        <f t="shared" si="26"/>
        <v>1736</v>
      </c>
      <c r="J100" s="248"/>
      <c r="K100" s="6"/>
    </row>
    <row r="101" spans="1:11" ht="36.75" thickBot="1">
      <c r="A101" s="245"/>
      <c r="B101" s="1392"/>
      <c r="C101" s="272"/>
      <c r="D101" s="427" t="s">
        <v>955</v>
      </c>
      <c r="E101" s="196">
        <f t="shared" ref="E101" si="27">+E100/E99</f>
        <v>0.8571428571428571</v>
      </c>
      <c r="F101" s="196">
        <f t="shared" ref="F101" si="28">+F100/F99</f>
        <v>17.3</v>
      </c>
      <c r="G101" s="196" t="e">
        <f t="shared" ref="G101" si="29">+G100/G99</f>
        <v>#DIV/0!</v>
      </c>
      <c r="H101" s="196" t="e">
        <f t="shared" ref="H101" si="30">+H100/H99</f>
        <v>#DIV/0!</v>
      </c>
      <c r="I101" s="196">
        <f t="shared" ref="I101" si="31">+I100/I99</f>
        <v>16.22429906542056</v>
      </c>
      <c r="J101" s="248"/>
      <c r="K101" s="6"/>
    </row>
    <row r="102" spans="1:11">
      <c r="A102" s="245"/>
      <c r="B102" s="1392"/>
      <c r="C102" s="276"/>
      <c r="D102" s="1373"/>
      <c r="E102" s="1374"/>
      <c r="F102" s="1374"/>
      <c r="G102" s="1374"/>
      <c r="H102" s="1374"/>
      <c r="I102" s="1375"/>
      <c r="J102" s="248"/>
      <c r="K102" s="6"/>
    </row>
    <row r="103" spans="1:11">
      <c r="A103" s="245"/>
      <c r="B103" s="1392"/>
      <c r="C103" s="276"/>
      <c r="D103" s="1616" t="s">
        <v>956</v>
      </c>
      <c r="E103" s="1617"/>
      <c r="F103" s="1617"/>
      <c r="G103" s="1617"/>
      <c r="H103" s="1617"/>
      <c r="I103" s="1618"/>
      <c r="J103" s="248"/>
      <c r="K103" s="6"/>
    </row>
    <row r="104" spans="1:11" ht="15.75" thickBot="1">
      <c r="A104" s="245"/>
      <c r="B104" s="1392"/>
      <c r="C104" s="276"/>
      <c r="D104" s="1379"/>
      <c r="E104" s="1424"/>
      <c r="F104" s="1424"/>
      <c r="G104" s="1424"/>
      <c r="H104" s="1424"/>
      <c r="I104" s="1381"/>
      <c r="J104" s="248"/>
      <c r="K104" s="6"/>
    </row>
    <row r="105" spans="1:11" ht="15.75" thickBot="1">
      <c r="A105" s="245"/>
      <c r="B105" s="1392"/>
      <c r="C105" s="272"/>
      <c r="D105" s="422" t="s">
        <v>156</v>
      </c>
      <c r="E105" s="280" t="s">
        <v>929</v>
      </c>
      <c r="F105" s="248"/>
      <c r="G105" s="248"/>
      <c r="H105" s="248"/>
      <c r="I105" s="448"/>
      <c r="J105" s="248"/>
      <c r="K105" s="6"/>
    </row>
    <row r="106" spans="1:11" ht="24.75" thickBot="1">
      <c r="A106" s="245"/>
      <c r="B106" s="1392"/>
      <c r="C106" s="272"/>
      <c r="D106" s="427" t="s">
        <v>1875</v>
      </c>
      <c r="E106" s="153">
        <v>25</v>
      </c>
      <c r="F106" s="248"/>
      <c r="G106" s="248"/>
      <c r="H106" s="248"/>
      <c r="I106" s="448"/>
      <c r="J106" s="248"/>
      <c r="K106" s="6"/>
    </row>
    <row r="107" spans="1:11" ht="24.75" thickBot="1">
      <c r="A107" s="245"/>
      <c r="B107" s="1392"/>
      <c r="C107" s="272"/>
      <c r="D107" s="427" t="s">
        <v>1876</v>
      </c>
      <c r="E107" s="153">
        <v>25</v>
      </c>
      <c r="F107" s="248"/>
      <c r="G107" s="248"/>
      <c r="H107" s="248"/>
      <c r="I107" s="448"/>
      <c r="J107" s="248"/>
      <c r="K107" s="6"/>
    </row>
    <row r="108" spans="1:11">
      <c r="A108" s="245"/>
      <c r="B108" s="1392"/>
      <c r="C108" s="276"/>
      <c r="D108" s="1379"/>
      <c r="E108" s="1424"/>
      <c r="F108" s="1424"/>
      <c r="G108" s="1424"/>
      <c r="H108" s="1424"/>
      <c r="I108" s="1381"/>
      <c r="J108" s="248"/>
      <c r="K108" s="6"/>
    </row>
    <row r="109" spans="1:11">
      <c r="A109" s="245"/>
      <c r="B109" s="1392"/>
      <c r="C109" s="276"/>
      <c r="D109" s="1379" t="s">
        <v>957</v>
      </c>
      <c r="E109" s="1424"/>
      <c r="F109" s="1424"/>
      <c r="G109" s="1424"/>
      <c r="H109" s="1424"/>
      <c r="I109" s="1381"/>
      <c r="J109" s="248"/>
      <c r="K109" s="6"/>
    </row>
    <row r="110" spans="1:11" ht="15.75" thickBot="1">
      <c r="A110" s="245"/>
      <c r="B110" s="1392"/>
      <c r="C110" s="276"/>
      <c r="D110" s="1403"/>
      <c r="E110" s="1404"/>
      <c r="F110" s="1404"/>
      <c r="G110" s="1404"/>
      <c r="H110" s="1404"/>
      <c r="I110" s="1405"/>
      <c r="J110" s="248"/>
      <c r="K110" s="6"/>
    </row>
    <row r="111" spans="1:11" ht="15.75" thickBot="1">
      <c r="A111" s="245"/>
      <c r="B111" s="1392"/>
      <c r="C111" s="272"/>
      <c r="D111" s="422" t="s">
        <v>156</v>
      </c>
      <c r="E111" s="280" t="s">
        <v>25</v>
      </c>
      <c r="F111" s="280" t="s">
        <v>26</v>
      </c>
      <c r="G111" s="280" t="s">
        <v>27</v>
      </c>
      <c r="H111" s="280" t="s">
        <v>28</v>
      </c>
      <c r="I111" s="317" t="s">
        <v>157</v>
      </c>
      <c r="J111" s="248"/>
      <c r="K111" s="6"/>
    </row>
    <row r="112" spans="1:11" ht="36.75" thickBot="1">
      <c r="A112" s="245"/>
      <c r="B112" s="1392"/>
      <c r="C112" s="272"/>
      <c r="D112" s="427" t="s">
        <v>958</v>
      </c>
      <c r="E112" s="153">
        <v>26</v>
      </c>
      <c r="F112" s="153">
        <v>25</v>
      </c>
      <c r="G112" s="153"/>
      <c r="H112" s="153"/>
      <c r="I112" s="450">
        <f t="shared" ref="I112:I113" si="32">SUM(E112:H112)</f>
        <v>51</v>
      </c>
      <c r="J112" s="248"/>
      <c r="K112" s="6"/>
    </row>
    <row r="113" spans="1:11" ht="24.75" thickBot="1">
      <c r="A113" s="245"/>
      <c r="B113" s="1392"/>
      <c r="C113" s="272"/>
      <c r="D113" s="427" t="s">
        <v>959</v>
      </c>
      <c r="E113" s="153">
        <v>26</v>
      </c>
      <c r="F113" s="153">
        <v>8</v>
      </c>
      <c r="G113" s="153"/>
      <c r="H113" s="153"/>
      <c r="I113" s="450">
        <f t="shared" si="32"/>
        <v>34</v>
      </c>
      <c r="J113" s="248"/>
      <c r="K113" s="6"/>
    </row>
    <row r="114" spans="1:11" ht="24.75" thickBot="1">
      <c r="A114" s="245"/>
      <c r="B114" s="1393"/>
      <c r="C114" s="429"/>
      <c r="D114" s="427" t="s">
        <v>960</v>
      </c>
      <c r="E114" s="196">
        <f t="shared" ref="E114" si="33">+E113/E112</f>
        <v>1</v>
      </c>
      <c r="F114" s="196">
        <f t="shared" ref="F114" si="34">+F113/F112</f>
        <v>0.32</v>
      </c>
      <c r="G114" s="196" t="e">
        <f t="shared" ref="G114" si="35">+G113/G112</f>
        <v>#DIV/0!</v>
      </c>
      <c r="H114" s="196" t="e">
        <f t="shared" ref="H114" si="36">+H113/H112</f>
        <v>#DIV/0!</v>
      </c>
      <c r="I114" s="196">
        <f t="shared" ref="I114" si="37">+I113/I112</f>
        <v>0.66666666666666663</v>
      </c>
      <c r="J114" s="248"/>
      <c r="K114" s="6"/>
    </row>
    <row r="115" spans="1:11" ht="15.75" thickBot="1">
      <c r="A115" s="245"/>
      <c r="B115" s="318"/>
      <c r="C115" s="304"/>
      <c r="D115" s="248"/>
      <c r="E115" s="248"/>
      <c r="F115" s="248"/>
      <c r="G115" s="248"/>
      <c r="H115" s="248"/>
      <c r="I115" s="265"/>
      <c r="J115" s="248"/>
      <c r="K115" s="6"/>
    </row>
    <row r="116" spans="1:11" s="413" customFormat="1" ht="24.75" thickBot="1">
      <c r="A116" s="245"/>
      <c r="B116" s="318"/>
      <c r="C116" s="304"/>
      <c r="D116" s="299" t="s">
        <v>1254</v>
      </c>
      <c r="E116" s="299" t="s">
        <v>1255</v>
      </c>
      <c r="F116" s="299" t="s">
        <v>711</v>
      </c>
      <c r="G116" s="299" t="s">
        <v>1256</v>
      </c>
      <c r="H116" s="248"/>
      <c r="I116" s="265"/>
      <c r="J116" s="248"/>
      <c r="K116" s="6"/>
    </row>
    <row r="117" spans="1:11" s="413" customFormat="1" ht="24.75" thickBot="1">
      <c r="A117" s="245"/>
      <c r="B117" s="318"/>
      <c r="C117" s="304"/>
      <c r="D117" s="299" t="str">
        <f>+D24</f>
        <v>Porcentaje de licencias ambientales con seguimiento (PLACS)</v>
      </c>
      <c r="E117" s="196">
        <f>+F24</f>
        <v>0.53846153846153844</v>
      </c>
      <c r="F117" s="446">
        <v>0.2</v>
      </c>
      <c r="G117" s="196">
        <f>+E117*F117</f>
        <v>0.1076923076923077</v>
      </c>
      <c r="H117" s="248"/>
      <c r="I117" s="265"/>
      <c r="J117" s="248"/>
      <c r="K117" s="6"/>
    </row>
    <row r="118" spans="1:11" s="413" customFormat="1" ht="24.75" thickBot="1">
      <c r="A118" s="245"/>
      <c r="B118" s="318"/>
      <c r="C118" s="304"/>
      <c r="D118" s="299" t="str">
        <f>+D55</f>
        <v>Porcentaje de concesiones de agua con seguimiento (PCACS)</v>
      </c>
      <c r="E118" s="196">
        <f>+F55</f>
        <v>0.38</v>
      </c>
      <c r="F118" s="446">
        <v>0.2</v>
      </c>
      <c r="G118" s="196">
        <f t="shared" ref="G118:G121" si="38">+E118*F118</f>
        <v>7.6000000000000012E-2</v>
      </c>
      <c r="H118" s="248"/>
      <c r="I118" s="265"/>
      <c r="J118" s="248"/>
      <c r="K118" s="6"/>
    </row>
    <row r="119" spans="1:11" s="413" customFormat="1" ht="24.75" thickBot="1">
      <c r="A119" s="245"/>
      <c r="B119" s="318"/>
      <c r="C119" s="304"/>
      <c r="D119" s="299" t="str">
        <f>+D76</f>
        <v>Porcentaje de permisos de vertimiento de agua con seguimiento (PVACS)</v>
      </c>
      <c r="E119" s="196">
        <f>+F76</f>
        <v>0.65789473684210531</v>
      </c>
      <c r="F119" s="446">
        <v>0.2</v>
      </c>
      <c r="G119" s="196">
        <f t="shared" si="38"/>
        <v>0.13157894736842107</v>
      </c>
      <c r="H119" s="248"/>
      <c r="I119" s="265"/>
      <c r="J119" s="248"/>
      <c r="K119" s="6"/>
    </row>
    <row r="120" spans="1:11" s="413" customFormat="1" ht="36.75" thickBot="1">
      <c r="A120" s="245"/>
      <c r="B120" s="318"/>
      <c r="C120" s="304"/>
      <c r="D120" s="299" t="str">
        <f>+D94</f>
        <v>Porcentaje de permisos de aprovechamiento forestal con seguimiento (PPAFCS)</v>
      </c>
      <c r="E120" s="196">
        <f>+F94</f>
        <v>0.82758620689655171</v>
      </c>
      <c r="F120" s="446">
        <v>0.2</v>
      </c>
      <c r="G120" s="196">
        <f t="shared" si="38"/>
        <v>0.16551724137931034</v>
      </c>
      <c r="H120" s="248"/>
      <c r="I120" s="265"/>
      <c r="J120" s="248"/>
      <c r="K120" s="6"/>
    </row>
    <row r="121" spans="1:11" s="413" customFormat="1" ht="24.75" thickBot="1">
      <c r="A121" s="245"/>
      <c r="B121" s="318"/>
      <c r="C121" s="304"/>
      <c r="D121" s="299" t="str">
        <f>+D114</f>
        <v>Porcentaje de permisos de emisiones atmosféricas con seguimiento (PEACS)</v>
      </c>
      <c r="E121" s="196">
        <f>+F114</f>
        <v>0.32</v>
      </c>
      <c r="F121" s="446">
        <v>0.2</v>
      </c>
      <c r="G121" s="196">
        <f t="shared" si="38"/>
        <v>6.4000000000000001E-2</v>
      </c>
      <c r="H121" s="248"/>
      <c r="I121" s="265"/>
      <c r="J121" s="248"/>
      <c r="K121" s="6"/>
    </row>
    <row r="122" spans="1:11" s="413" customFormat="1" ht="24.75" thickBot="1">
      <c r="A122" s="245"/>
      <c r="B122" s="318"/>
      <c r="C122" s="304"/>
      <c r="D122" s="299" t="s">
        <v>1253</v>
      </c>
      <c r="E122" s="299"/>
      <c r="F122" s="447">
        <f>+Formulas!D26</f>
        <v>1</v>
      </c>
      <c r="G122" s="196">
        <f>SUM(G117:G121)</f>
        <v>0.54478849644003913</v>
      </c>
      <c r="H122" s="248"/>
      <c r="I122" s="265"/>
      <c r="J122" s="248"/>
      <c r="K122" s="6"/>
    </row>
    <row r="123" spans="1:11" s="413" customFormat="1" ht="15.75" thickBot="1">
      <c r="B123" s="38"/>
      <c r="C123" s="89"/>
      <c r="D123" s="6"/>
      <c r="E123" s="6"/>
      <c r="F123" s="6"/>
      <c r="G123" s="6"/>
      <c r="H123" s="6"/>
      <c r="I123" s="88"/>
      <c r="J123" s="6"/>
      <c r="K123" s="6"/>
    </row>
    <row r="124" spans="1:11" ht="108.75" thickBot="1">
      <c r="B124" s="53" t="s">
        <v>39</v>
      </c>
      <c r="C124" s="99"/>
      <c r="D124" s="44" t="s">
        <v>961</v>
      </c>
      <c r="E124" s="6"/>
      <c r="F124" s="6"/>
      <c r="G124" s="6"/>
      <c r="H124" s="6"/>
      <c r="I124" s="88"/>
      <c r="J124" s="6"/>
      <c r="K124" s="6"/>
    </row>
    <row r="125" spans="1:11" ht="72.75" thickBot="1">
      <c r="B125" s="48" t="s">
        <v>41</v>
      </c>
      <c r="C125" s="3"/>
      <c r="D125" s="41" t="s">
        <v>165</v>
      </c>
      <c r="E125" s="6"/>
      <c r="F125" s="6"/>
      <c r="G125" s="6"/>
      <c r="H125" s="6"/>
      <c r="I125" s="88"/>
      <c r="J125" s="6"/>
      <c r="K125" s="6"/>
    </row>
    <row r="126" spans="1:11" ht="15.75" thickBot="1">
      <c r="B126" s="2"/>
      <c r="C126" s="77"/>
      <c r="D126" s="6"/>
      <c r="E126" s="6"/>
      <c r="F126" s="6"/>
      <c r="G126" s="6"/>
      <c r="H126" s="6"/>
      <c r="I126" s="88"/>
      <c r="J126" s="6"/>
      <c r="K126" s="6"/>
    </row>
    <row r="127" spans="1:11" ht="24" customHeight="1" thickBot="1">
      <c r="B127" s="1450" t="s">
        <v>43</v>
      </c>
      <c r="C127" s="1451"/>
      <c r="D127" s="1451"/>
      <c r="E127" s="1452"/>
      <c r="F127" s="6"/>
      <c r="G127" s="6"/>
      <c r="H127" s="6"/>
      <c r="I127" s="88"/>
      <c r="J127" s="6"/>
      <c r="K127" s="6"/>
    </row>
    <row r="128" spans="1:11" ht="15.75" thickBot="1">
      <c r="B128" s="1447">
        <v>1</v>
      </c>
      <c r="C128" s="95"/>
      <c r="D128" s="49" t="s">
        <v>44</v>
      </c>
      <c r="E128" s="167"/>
      <c r="F128" s="6"/>
      <c r="G128" s="6"/>
      <c r="H128" s="6"/>
      <c r="I128" s="88"/>
      <c r="J128" s="6"/>
      <c r="K128" s="6"/>
    </row>
    <row r="129" spans="2:11" ht="15.75" thickBot="1">
      <c r="B129" s="1448"/>
      <c r="C129" s="95"/>
      <c r="D129" s="41" t="s">
        <v>45</v>
      </c>
      <c r="E129" s="167" t="s">
        <v>1670</v>
      </c>
      <c r="F129" s="6"/>
      <c r="G129" s="6"/>
      <c r="H129" s="6"/>
      <c r="I129" s="88"/>
      <c r="J129" s="6"/>
      <c r="K129" s="6"/>
    </row>
    <row r="130" spans="2:11" ht="15.75" thickBot="1">
      <c r="B130" s="1448"/>
      <c r="C130" s="95"/>
      <c r="D130" s="41" t="s">
        <v>46</v>
      </c>
      <c r="E130" s="167" t="s">
        <v>1671</v>
      </c>
      <c r="F130" s="6"/>
      <c r="G130" s="6"/>
      <c r="H130" s="6"/>
      <c r="I130" s="88"/>
      <c r="J130" s="6"/>
      <c r="K130" s="6"/>
    </row>
    <row r="131" spans="2:11" ht="15.75" thickBot="1">
      <c r="B131" s="1448"/>
      <c r="C131" s="95"/>
      <c r="D131" s="41" t="s">
        <v>47</v>
      </c>
      <c r="E131" s="167" t="s">
        <v>1672</v>
      </c>
      <c r="F131" s="6"/>
      <c r="G131" s="6"/>
      <c r="H131" s="6"/>
      <c r="I131" s="88"/>
      <c r="J131" s="6"/>
      <c r="K131" s="6"/>
    </row>
    <row r="132" spans="2:11" ht="15.75" thickBot="1">
      <c r="B132" s="1448"/>
      <c r="C132" s="95"/>
      <c r="D132" s="41" t="s">
        <v>48</v>
      </c>
      <c r="E132" s="167" t="s">
        <v>1673</v>
      </c>
      <c r="F132" s="6"/>
      <c r="G132" s="6"/>
      <c r="H132" s="6"/>
      <c r="I132" s="88"/>
      <c r="J132" s="6"/>
      <c r="K132" s="6"/>
    </row>
    <row r="133" spans="2:11" ht="15.75" thickBot="1">
      <c r="B133" s="1448"/>
      <c r="C133" s="95"/>
      <c r="D133" s="41" t="s">
        <v>49</v>
      </c>
      <c r="E133" s="167" t="s">
        <v>1711</v>
      </c>
      <c r="F133" s="6"/>
      <c r="G133" s="6"/>
      <c r="H133" s="6"/>
      <c r="I133" s="88"/>
      <c r="J133" s="6"/>
      <c r="K133" s="6"/>
    </row>
    <row r="134" spans="2:11" ht="15.75" thickBot="1">
      <c r="B134" s="1449"/>
      <c r="C134" s="3"/>
      <c r="D134" s="41" t="s">
        <v>50</v>
      </c>
      <c r="E134" s="167" t="s">
        <v>1669</v>
      </c>
      <c r="F134" s="6"/>
      <c r="G134" s="6"/>
      <c r="H134" s="6"/>
      <c r="I134" s="88"/>
      <c r="J134" s="6"/>
      <c r="K134" s="6"/>
    </row>
    <row r="135" spans="2:11" ht="15.75" thickBot="1">
      <c r="B135" s="2"/>
      <c r="C135" s="77"/>
      <c r="D135" s="6"/>
      <c r="E135" s="6"/>
      <c r="F135" s="6"/>
      <c r="G135" s="6"/>
      <c r="H135" s="6"/>
      <c r="I135" s="88"/>
      <c r="J135" s="6"/>
      <c r="K135" s="6"/>
    </row>
    <row r="136" spans="2:11" ht="15.75" thickBot="1">
      <c r="B136" s="1450" t="s">
        <v>51</v>
      </c>
      <c r="C136" s="1451"/>
      <c r="D136" s="1451"/>
      <c r="E136" s="1452"/>
      <c r="F136" s="6"/>
      <c r="G136" s="6"/>
      <c r="H136" s="6"/>
      <c r="I136" s="88"/>
      <c r="J136" s="6"/>
      <c r="K136" s="6"/>
    </row>
    <row r="137" spans="2:11" ht="15.75" thickBot="1">
      <c r="B137" s="1447">
        <v>1</v>
      </c>
      <c r="C137" s="95"/>
      <c r="D137" s="49" t="s">
        <v>44</v>
      </c>
      <c r="E137" s="433" t="s">
        <v>52</v>
      </c>
      <c r="F137" s="6"/>
      <c r="G137" s="6"/>
      <c r="H137" s="6"/>
      <c r="I137" s="88"/>
      <c r="J137" s="6"/>
      <c r="K137" s="6"/>
    </row>
    <row r="138" spans="2:11" ht="15.75" thickBot="1">
      <c r="B138" s="1448"/>
      <c r="C138" s="95"/>
      <c r="D138" s="41" t="s">
        <v>45</v>
      </c>
      <c r="E138" s="433" t="s">
        <v>166</v>
      </c>
      <c r="F138" s="6"/>
      <c r="G138" s="6"/>
      <c r="H138" s="6"/>
      <c r="I138" s="88"/>
      <c r="J138" s="6"/>
      <c r="K138" s="6"/>
    </row>
    <row r="139" spans="2:11" ht="15.75" thickBot="1">
      <c r="B139" s="1448"/>
      <c r="C139" s="95"/>
      <c r="D139" s="41" t="s">
        <v>46</v>
      </c>
      <c r="E139" s="172"/>
      <c r="F139" s="6"/>
      <c r="G139" s="6"/>
      <c r="H139" s="6"/>
      <c r="I139" s="88"/>
      <c r="J139" s="6"/>
      <c r="K139" s="6"/>
    </row>
    <row r="140" spans="2:11" ht="15.75" thickBot="1">
      <c r="B140" s="1448"/>
      <c r="C140" s="95"/>
      <c r="D140" s="41" t="s">
        <v>47</v>
      </c>
      <c r="E140" s="172"/>
      <c r="F140" s="6"/>
      <c r="G140" s="6"/>
      <c r="H140" s="6"/>
      <c r="I140" s="88"/>
      <c r="J140" s="6"/>
      <c r="K140" s="6"/>
    </row>
    <row r="141" spans="2:11" ht="15.75" thickBot="1">
      <c r="B141" s="1448"/>
      <c r="C141" s="95"/>
      <c r="D141" s="41" t="s">
        <v>48</v>
      </c>
      <c r="E141" s="172"/>
      <c r="F141" s="6"/>
      <c r="G141" s="6"/>
      <c r="H141" s="6"/>
      <c r="I141" s="88"/>
      <c r="J141" s="6"/>
      <c r="K141" s="6"/>
    </row>
    <row r="142" spans="2:11" ht="15.75" thickBot="1">
      <c r="B142" s="1448"/>
      <c r="C142" s="95"/>
      <c r="D142" s="41" t="s">
        <v>49</v>
      </c>
      <c r="E142" s="172"/>
      <c r="F142" s="6"/>
      <c r="G142" s="6"/>
      <c r="H142" s="6"/>
      <c r="I142" s="88"/>
      <c r="J142" s="6"/>
      <c r="K142" s="6"/>
    </row>
    <row r="143" spans="2:11" ht="15.75" thickBot="1">
      <c r="B143" s="1449"/>
      <c r="C143" s="3"/>
      <c r="D143" s="41" t="s">
        <v>50</v>
      </c>
      <c r="E143" s="172"/>
      <c r="F143" s="6"/>
      <c r="G143" s="6"/>
      <c r="H143" s="6"/>
      <c r="I143" s="88"/>
      <c r="J143" s="6"/>
      <c r="K143" s="6"/>
    </row>
    <row r="144" spans="2:11" ht="15.75" thickBot="1">
      <c r="B144" s="2"/>
      <c r="C144" s="77"/>
      <c r="D144" s="6"/>
      <c r="E144" s="6"/>
      <c r="F144" s="6"/>
      <c r="G144" s="6"/>
      <c r="H144" s="6"/>
      <c r="I144" s="88"/>
      <c r="J144" s="6"/>
      <c r="K144" s="6"/>
    </row>
    <row r="145" spans="2:11" ht="15" customHeight="1" thickBot="1">
      <c r="B145" s="171" t="s">
        <v>54</v>
      </c>
      <c r="C145" s="126"/>
      <c r="D145" s="126"/>
      <c r="E145" s="127"/>
      <c r="G145" s="6"/>
      <c r="H145" s="6"/>
      <c r="I145" s="88"/>
      <c r="J145" s="6"/>
      <c r="K145" s="6"/>
    </row>
    <row r="146" spans="2:11" ht="24.75" thickBot="1">
      <c r="B146" s="48" t="s">
        <v>55</v>
      </c>
      <c r="C146" s="41" t="s">
        <v>56</v>
      </c>
      <c r="D146" s="41" t="s">
        <v>57</v>
      </c>
      <c r="E146" s="41" t="s">
        <v>58</v>
      </c>
      <c r="F146" s="6"/>
      <c r="G146" s="6"/>
      <c r="H146" s="6"/>
      <c r="I146" s="88"/>
      <c r="J146" s="6"/>
    </row>
    <row r="147" spans="2:11" ht="60.75" thickBot="1">
      <c r="B147" s="50">
        <v>42401</v>
      </c>
      <c r="C147" s="41">
        <v>0.01</v>
      </c>
      <c r="D147" s="51" t="s">
        <v>962</v>
      </c>
      <c r="E147" s="41"/>
      <c r="F147" s="6"/>
      <c r="G147" s="6"/>
      <c r="H147" s="6"/>
      <c r="I147" s="88"/>
      <c r="J147" s="6"/>
    </row>
    <row r="148" spans="2:11" ht="15.75" thickBot="1">
      <c r="B148" s="4"/>
      <c r="C148" s="96"/>
      <c r="D148" s="6"/>
      <c r="E148" s="6"/>
      <c r="F148" s="6"/>
      <c r="G148" s="6"/>
      <c r="H148" s="6"/>
      <c r="I148" s="88"/>
      <c r="J148" s="6"/>
      <c r="K148" s="6"/>
    </row>
    <row r="149" spans="2:11" ht="15.75" thickBot="1">
      <c r="B149" s="444" t="s">
        <v>60</v>
      </c>
      <c r="C149" s="97"/>
      <c r="D149" s="6"/>
      <c r="E149" s="6"/>
      <c r="F149" s="6"/>
      <c r="G149" s="6"/>
      <c r="H149" s="6"/>
      <c r="I149" s="88"/>
      <c r="J149" s="6"/>
      <c r="K149" s="6"/>
    </row>
    <row r="150" spans="2:11" ht="63" customHeight="1" thickBot="1">
      <c r="B150" s="1613"/>
      <c r="C150" s="1614"/>
      <c r="D150" s="1614"/>
      <c r="E150" s="1615"/>
      <c r="F150" s="6"/>
      <c r="G150" s="6"/>
      <c r="H150" s="6"/>
      <c r="I150" s="88"/>
      <c r="J150" s="6"/>
      <c r="K150" s="6"/>
    </row>
    <row r="151" spans="2:11" ht="15.75" thickBot="1">
      <c r="B151" s="6"/>
      <c r="D151" s="6"/>
      <c r="E151" s="6"/>
      <c r="F151" s="6"/>
      <c r="G151" s="6"/>
      <c r="H151" s="6"/>
      <c r="I151" s="88"/>
      <c r="J151" s="6"/>
      <c r="K151" s="6"/>
    </row>
    <row r="152" spans="2:11" ht="24.75" thickBot="1">
      <c r="B152" s="52" t="s">
        <v>61</v>
      </c>
      <c r="C152" s="98"/>
      <c r="D152" s="6"/>
      <c r="E152" s="6"/>
      <c r="F152" s="6"/>
      <c r="G152" s="6"/>
      <c r="H152" s="6"/>
      <c r="I152" s="88"/>
      <c r="J152" s="6"/>
      <c r="K152" s="6"/>
    </row>
    <row r="153" spans="2:11" ht="15.75" thickBot="1">
      <c r="B153" s="2" t="s">
        <v>899</v>
      </c>
      <c r="C153" s="77"/>
      <c r="D153" s="6"/>
      <c r="E153" s="6"/>
      <c r="F153" s="6"/>
      <c r="G153" s="6"/>
      <c r="H153" s="6"/>
      <c r="I153" s="88"/>
      <c r="J153" s="6"/>
      <c r="K153" s="6"/>
    </row>
    <row r="154" spans="2:11" ht="60.75" thickBot="1">
      <c r="B154" s="53" t="s">
        <v>62</v>
      </c>
      <c r="C154" s="99"/>
      <c r="D154" s="44" t="s">
        <v>900</v>
      </c>
      <c r="E154" s="6"/>
      <c r="F154" s="6"/>
      <c r="G154" s="6"/>
      <c r="H154" s="6"/>
      <c r="I154" s="88"/>
      <c r="J154" s="6"/>
      <c r="K154" s="6"/>
    </row>
    <row r="155" spans="2:11">
      <c r="B155" s="1447" t="s">
        <v>64</v>
      </c>
      <c r="C155" s="95"/>
      <c r="D155" s="54" t="s">
        <v>65</v>
      </c>
      <c r="E155" s="6"/>
      <c r="F155" s="6"/>
      <c r="G155" s="6"/>
      <c r="H155" s="6"/>
      <c r="I155" s="88"/>
      <c r="J155" s="6"/>
      <c r="K155" s="6"/>
    </row>
    <row r="156" spans="2:11" ht="108">
      <c r="B156" s="1448"/>
      <c r="C156" s="95"/>
      <c r="D156" s="47" t="s">
        <v>901</v>
      </c>
      <c r="E156" s="6"/>
      <c r="F156" s="6"/>
      <c r="G156" s="6"/>
      <c r="H156" s="6"/>
      <c r="I156" s="88"/>
      <c r="J156" s="6"/>
      <c r="K156" s="6"/>
    </row>
    <row r="157" spans="2:11">
      <c r="B157" s="1448"/>
      <c r="C157" s="95"/>
      <c r="D157" s="54" t="s">
        <v>139</v>
      </c>
      <c r="E157" s="6"/>
      <c r="F157" s="6"/>
      <c r="G157" s="6"/>
      <c r="H157" s="6"/>
      <c r="I157" s="88"/>
      <c r="J157" s="6"/>
      <c r="K157" s="6"/>
    </row>
    <row r="158" spans="2:11">
      <c r="B158" s="1448"/>
      <c r="C158" s="95"/>
      <c r="D158" s="47" t="s">
        <v>69</v>
      </c>
      <c r="E158" s="6"/>
      <c r="F158" s="6"/>
      <c r="G158" s="6"/>
      <c r="H158" s="6"/>
      <c r="I158" s="88"/>
      <c r="J158" s="6"/>
      <c r="K158" s="6"/>
    </row>
    <row r="159" spans="2:11">
      <c r="B159" s="1448"/>
      <c r="C159" s="95"/>
      <c r="D159" s="47" t="s">
        <v>70</v>
      </c>
      <c r="E159" s="6"/>
      <c r="F159" s="6"/>
      <c r="G159" s="6"/>
      <c r="H159" s="6"/>
      <c r="I159" s="88"/>
      <c r="J159" s="6"/>
      <c r="K159" s="6"/>
    </row>
    <row r="160" spans="2:11">
      <c r="B160" s="1448"/>
      <c r="C160" s="95"/>
      <c r="D160" s="47" t="s">
        <v>859</v>
      </c>
      <c r="E160" s="6"/>
      <c r="F160" s="6"/>
      <c r="G160" s="6"/>
      <c r="H160" s="6"/>
      <c r="I160" s="88"/>
      <c r="J160" s="6"/>
      <c r="K160" s="6"/>
    </row>
    <row r="161" spans="2:11" ht="36.75" thickBot="1">
      <c r="B161" s="1449"/>
      <c r="C161" s="3"/>
      <c r="D161" s="41" t="s">
        <v>902</v>
      </c>
      <c r="E161" s="6"/>
      <c r="F161" s="6"/>
      <c r="G161" s="6"/>
      <c r="H161" s="6"/>
      <c r="I161" s="88"/>
      <c r="J161" s="6"/>
      <c r="K161" s="6"/>
    </row>
    <row r="162" spans="2:11" ht="24.75" thickBot="1">
      <c r="B162" s="48" t="s">
        <v>77</v>
      </c>
      <c r="C162" s="3"/>
      <c r="D162" s="41"/>
      <c r="E162" s="6"/>
      <c r="F162" s="6"/>
      <c r="G162" s="6"/>
      <c r="H162" s="6"/>
      <c r="I162" s="88"/>
      <c r="J162" s="6"/>
      <c r="K162" s="6"/>
    </row>
    <row r="163" spans="2:11" ht="312">
      <c r="B163" s="1447" t="s">
        <v>78</v>
      </c>
      <c r="C163" s="95"/>
      <c r="D163" s="47" t="s">
        <v>903</v>
      </c>
      <c r="E163" s="6"/>
      <c r="F163" s="6"/>
      <c r="G163" s="6"/>
      <c r="H163" s="6"/>
      <c r="I163" s="88"/>
      <c r="J163" s="6"/>
      <c r="K163" s="6"/>
    </row>
    <row r="164" spans="2:11" ht="324">
      <c r="B164" s="1448"/>
      <c r="C164" s="95"/>
      <c r="D164" s="47" t="s">
        <v>904</v>
      </c>
      <c r="E164" s="6"/>
      <c r="F164" s="6"/>
      <c r="G164" s="6"/>
      <c r="H164" s="6"/>
      <c r="I164" s="88"/>
      <c r="J164" s="6"/>
      <c r="K164" s="6"/>
    </row>
    <row r="165" spans="2:11" ht="108">
      <c r="B165" s="1448"/>
      <c r="C165" s="95"/>
      <c r="D165" s="47" t="s">
        <v>905</v>
      </c>
      <c r="E165" s="6"/>
      <c r="F165" s="6"/>
      <c r="G165" s="6"/>
      <c r="H165" s="6"/>
      <c r="I165" s="88"/>
      <c r="J165" s="6"/>
      <c r="K165" s="6"/>
    </row>
    <row r="166" spans="2:11" ht="72.75" thickBot="1">
      <c r="B166" s="1449"/>
      <c r="C166" s="3"/>
      <c r="D166" s="41" t="s">
        <v>906</v>
      </c>
      <c r="E166" s="6"/>
      <c r="F166" s="6"/>
      <c r="G166" s="6"/>
      <c r="H166" s="6"/>
      <c r="I166" s="88"/>
      <c r="J166" s="6"/>
      <c r="K166" s="6"/>
    </row>
    <row r="167" spans="2:11" ht="24">
      <c r="B167" s="1447" t="s">
        <v>95</v>
      </c>
      <c r="C167" s="95"/>
      <c r="D167" s="54" t="s">
        <v>898</v>
      </c>
      <c r="E167" s="6"/>
      <c r="F167" s="6"/>
      <c r="G167" s="6"/>
      <c r="H167" s="6"/>
      <c r="I167" s="88"/>
      <c r="J167" s="6"/>
      <c r="K167" s="6"/>
    </row>
    <row r="168" spans="2:11">
      <c r="B168" s="1448"/>
      <c r="C168" s="95"/>
      <c r="D168" s="17"/>
      <c r="E168" s="6"/>
      <c r="F168" s="6"/>
      <c r="G168" s="6"/>
      <c r="H168" s="6"/>
      <c r="I168" s="88"/>
      <c r="J168" s="6"/>
      <c r="K168" s="6"/>
    </row>
    <row r="169" spans="2:11">
      <c r="B169" s="1448"/>
      <c r="C169" s="95"/>
      <c r="D169" s="47" t="s">
        <v>96</v>
      </c>
      <c r="E169" s="6"/>
      <c r="F169" s="6"/>
      <c r="G169" s="6"/>
      <c r="H169" s="6"/>
      <c r="I169" s="88"/>
      <c r="J169" s="6"/>
      <c r="K169" s="6"/>
    </row>
    <row r="170" spans="2:11" ht="37.5">
      <c r="B170" s="1448"/>
      <c r="C170" s="95"/>
      <c r="D170" s="47" t="s">
        <v>907</v>
      </c>
      <c r="E170" s="6"/>
      <c r="F170" s="6"/>
      <c r="G170" s="6"/>
      <c r="H170" s="6"/>
      <c r="I170" s="88"/>
      <c r="J170" s="6"/>
      <c r="K170" s="6"/>
    </row>
    <row r="171" spans="2:11" ht="37.5">
      <c r="B171" s="1448"/>
      <c r="C171" s="95"/>
      <c r="D171" s="47" t="s">
        <v>908</v>
      </c>
      <c r="E171" s="6"/>
      <c r="F171" s="6"/>
      <c r="G171" s="6"/>
      <c r="H171" s="6"/>
      <c r="I171" s="88"/>
      <c r="J171" s="6"/>
      <c r="K171" s="6"/>
    </row>
    <row r="172" spans="2:11" ht="60">
      <c r="B172" s="1448"/>
      <c r="C172" s="95"/>
      <c r="D172" s="47" t="s">
        <v>909</v>
      </c>
      <c r="E172" s="6"/>
      <c r="F172" s="6"/>
      <c r="G172" s="6"/>
      <c r="H172" s="6"/>
      <c r="I172" s="88"/>
      <c r="J172" s="6"/>
      <c r="K172" s="6"/>
    </row>
    <row r="173" spans="2:11" ht="97.5">
      <c r="B173" s="1448"/>
      <c r="C173" s="95"/>
      <c r="D173" s="47" t="s">
        <v>910</v>
      </c>
      <c r="E173" s="6"/>
      <c r="F173" s="6"/>
      <c r="G173" s="6"/>
      <c r="H173" s="6"/>
      <c r="I173" s="88"/>
      <c r="J173" s="6"/>
      <c r="K173" s="6"/>
    </row>
    <row r="174" spans="2:11" ht="24">
      <c r="B174" s="1448"/>
      <c r="C174" s="95"/>
      <c r="D174" s="54" t="s">
        <v>911</v>
      </c>
      <c r="E174" s="6"/>
      <c r="F174" s="6"/>
      <c r="G174" s="6"/>
      <c r="H174" s="6"/>
      <c r="I174" s="88"/>
      <c r="J174" s="6"/>
      <c r="K174" s="6"/>
    </row>
    <row r="175" spans="2:11">
      <c r="B175" s="1448"/>
      <c r="C175" s="95"/>
      <c r="D175" s="17"/>
      <c r="E175" s="6"/>
      <c r="F175" s="6"/>
      <c r="G175" s="6"/>
      <c r="H175" s="6"/>
      <c r="I175" s="88"/>
      <c r="J175" s="6"/>
      <c r="K175" s="6"/>
    </row>
    <row r="176" spans="2:11">
      <c r="B176" s="1448"/>
      <c r="C176" s="95"/>
      <c r="D176" s="47" t="s">
        <v>96</v>
      </c>
      <c r="E176" s="6"/>
      <c r="F176" s="6"/>
      <c r="G176" s="6"/>
      <c r="H176" s="6"/>
      <c r="I176" s="88"/>
      <c r="J176" s="6"/>
      <c r="K176" s="6"/>
    </row>
    <row r="177" spans="2:11" ht="37.5">
      <c r="B177" s="1448"/>
      <c r="C177" s="95"/>
      <c r="D177" s="47" t="s">
        <v>912</v>
      </c>
      <c r="E177" s="6"/>
      <c r="F177" s="6"/>
      <c r="G177" s="6"/>
      <c r="H177" s="6"/>
      <c r="I177" s="88"/>
      <c r="J177" s="6"/>
      <c r="K177" s="6"/>
    </row>
    <row r="178" spans="2:11" ht="37.5">
      <c r="B178" s="1448"/>
      <c r="C178" s="95"/>
      <c r="D178" s="47" t="s">
        <v>913</v>
      </c>
      <c r="E178" s="6"/>
      <c r="F178" s="6"/>
      <c r="G178" s="6"/>
      <c r="H178" s="6"/>
      <c r="I178" s="88"/>
      <c r="J178" s="6"/>
      <c r="K178" s="6"/>
    </row>
    <row r="179" spans="2:11" ht="37.5">
      <c r="B179" s="1448"/>
      <c r="C179" s="95"/>
      <c r="D179" s="47" t="s">
        <v>914</v>
      </c>
      <c r="E179" s="6"/>
      <c r="F179" s="6"/>
      <c r="G179" s="6"/>
      <c r="H179" s="6"/>
      <c r="I179" s="88"/>
      <c r="J179" s="6"/>
      <c r="K179" s="6"/>
    </row>
    <row r="180" spans="2:11" ht="60">
      <c r="B180" s="1448"/>
      <c r="C180" s="95"/>
      <c r="D180" s="47" t="s">
        <v>909</v>
      </c>
      <c r="E180" s="6"/>
      <c r="F180" s="6"/>
      <c r="G180" s="6"/>
      <c r="H180" s="6"/>
      <c r="I180" s="88"/>
      <c r="J180" s="6"/>
      <c r="K180" s="6"/>
    </row>
    <row r="181" spans="2:11" ht="60.75" thickBot="1">
      <c r="B181" s="1449"/>
      <c r="C181" s="3"/>
      <c r="D181" s="41" t="s">
        <v>915</v>
      </c>
      <c r="E181" s="6"/>
      <c r="F181" s="6"/>
      <c r="G181" s="6"/>
      <c r="H181" s="6"/>
      <c r="I181" s="88"/>
      <c r="J181" s="6"/>
      <c r="K181" s="6"/>
    </row>
    <row r="182" spans="2:11">
      <c r="B182" s="6"/>
      <c r="D182" s="6"/>
      <c r="E182" s="6"/>
      <c r="F182" s="6"/>
      <c r="G182" s="6"/>
      <c r="H182" s="6"/>
      <c r="I182" s="88"/>
      <c r="J182" s="6"/>
      <c r="K182" s="6"/>
    </row>
    <row r="183" spans="2:11">
      <c r="B183" s="6"/>
      <c r="D183" s="6"/>
      <c r="E183" s="6"/>
      <c r="F183" s="6"/>
      <c r="G183" s="6"/>
      <c r="H183" s="6"/>
      <c r="I183" s="88"/>
      <c r="J183" s="6"/>
      <c r="K183" s="6"/>
    </row>
    <row r="184" spans="2:11">
      <c r="B184" s="6"/>
      <c r="D184" s="6"/>
      <c r="E184" s="6"/>
      <c r="F184" s="6"/>
      <c r="G184" s="6"/>
      <c r="H184" s="6"/>
      <c r="I184" s="88"/>
      <c r="J184" s="6"/>
      <c r="K184" s="6"/>
    </row>
    <row r="185" spans="2:11">
      <c r="B185" s="6"/>
      <c r="D185" s="6"/>
      <c r="E185" s="6"/>
      <c r="F185" s="6"/>
      <c r="G185" s="6"/>
      <c r="H185" s="6"/>
      <c r="I185" s="88"/>
      <c r="J185" s="6"/>
      <c r="K185" s="6"/>
    </row>
    <row r="186" spans="2:11">
      <c r="B186" s="6"/>
      <c r="D186" s="6"/>
      <c r="E186" s="6"/>
      <c r="F186" s="6"/>
      <c r="G186" s="6"/>
      <c r="H186" s="6"/>
      <c r="I186" s="88"/>
      <c r="J186" s="6"/>
      <c r="K186" s="6"/>
    </row>
    <row r="187" spans="2:11">
      <c r="B187" s="6"/>
      <c r="D187" s="6"/>
      <c r="E187" s="6"/>
      <c r="F187" s="6"/>
      <c r="G187" s="6"/>
      <c r="H187" s="6"/>
      <c r="I187" s="88"/>
      <c r="J187" s="6"/>
      <c r="K187" s="6"/>
    </row>
    <row r="188" spans="2:11">
      <c r="B188" s="6"/>
      <c r="D188" s="6"/>
      <c r="E188" s="6"/>
      <c r="F188" s="6"/>
      <c r="G188" s="6"/>
      <c r="H188" s="6"/>
      <c r="I188" s="88"/>
      <c r="J188" s="6"/>
      <c r="K188" s="6"/>
    </row>
    <row r="189" spans="2:11">
      <c r="B189" s="6"/>
      <c r="D189" s="6"/>
      <c r="E189" s="6"/>
      <c r="F189" s="6"/>
      <c r="G189" s="6"/>
      <c r="H189" s="6"/>
      <c r="I189" s="88"/>
      <c r="J189" s="6"/>
      <c r="K189" s="6"/>
    </row>
    <row r="190" spans="2:11">
      <c r="B190" s="6"/>
      <c r="D190" s="6"/>
      <c r="E190" s="6"/>
      <c r="F190" s="6"/>
      <c r="G190" s="6"/>
      <c r="H190" s="6"/>
      <c r="I190" s="88"/>
      <c r="J190" s="6"/>
      <c r="K190" s="6"/>
    </row>
    <row r="191" spans="2:11">
      <c r="B191" s="6"/>
      <c r="D191" s="6"/>
      <c r="E191" s="6"/>
      <c r="F191" s="6"/>
      <c r="G191" s="6"/>
      <c r="H191" s="6"/>
      <c r="I191" s="88"/>
      <c r="J191" s="6"/>
      <c r="K191" s="6"/>
    </row>
    <row r="192" spans="2:11">
      <c r="B192" s="6"/>
      <c r="D192" s="6"/>
      <c r="E192" s="6"/>
      <c r="F192" s="6"/>
      <c r="G192" s="6"/>
      <c r="H192" s="6"/>
      <c r="I192" s="88"/>
      <c r="J192" s="6"/>
      <c r="K192" s="6"/>
    </row>
    <row r="193" spans="2:11">
      <c r="B193" s="6"/>
      <c r="D193" s="6"/>
      <c r="E193" s="6"/>
      <c r="F193" s="6"/>
      <c r="G193" s="6"/>
      <c r="H193" s="6"/>
      <c r="I193" s="88"/>
      <c r="J193" s="6"/>
      <c r="K193" s="6"/>
    </row>
    <row r="194" spans="2:11">
      <c r="B194" s="6"/>
      <c r="D194" s="6"/>
      <c r="E194" s="6"/>
      <c r="F194" s="6"/>
      <c r="G194" s="6"/>
      <c r="H194" s="6"/>
      <c r="I194" s="88"/>
      <c r="J194" s="6"/>
      <c r="K194" s="6"/>
    </row>
    <row r="195" spans="2:11">
      <c r="B195" s="6"/>
      <c r="D195" s="6"/>
      <c r="E195" s="6"/>
      <c r="F195" s="6"/>
      <c r="G195" s="6"/>
      <c r="H195" s="6"/>
      <c r="I195" s="88"/>
      <c r="J195" s="6"/>
      <c r="K195" s="6"/>
    </row>
    <row r="196" spans="2:11">
      <c r="B196" s="6"/>
      <c r="D196" s="6"/>
      <c r="E196" s="6"/>
      <c r="F196" s="6"/>
      <c r="G196" s="6"/>
      <c r="H196" s="6"/>
      <c r="I196" s="88"/>
      <c r="J196" s="6"/>
      <c r="K196" s="6"/>
    </row>
    <row r="197" spans="2:11">
      <c r="B197" s="6"/>
      <c r="D197" s="6"/>
      <c r="E197" s="6"/>
      <c r="F197" s="6"/>
      <c r="G197" s="6"/>
      <c r="H197" s="6"/>
      <c r="I197" s="88"/>
      <c r="J197" s="6"/>
      <c r="K197" s="6"/>
    </row>
  </sheetData>
  <sheetProtection sheet="1" objects="1" scenarios="1"/>
  <mergeCells count="59">
    <mergeCell ref="B137:B143"/>
    <mergeCell ref="D104:I104"/>
    <mergeCell ref="D108:I108"/>
    <mergeCell ref="D109:I109"/>
    <mergeCell ref="D110:I110"/>
    <mergeCell ref="B127:E127"/>
    <mergeCell ref="B128:B134"/>
    <mergeCell ref="D95:I95"/>
    <mergeCell ref="D96:I96"/>
    <mergeCell ref="D97:I97"/>
    <mergeCell ref="D102:I102"/>
    <mergeCell ref="B136:E136"/>
    <mergeCell ref="D84:I84"/>
    <mergeCell ref="D85:I85"/>
    <mergeCell ref="D89:I89"/>
    <mergeCell ref="D90:I90"/>
    <mergeCell ref="D79:I79"/>
    <mergeCell ref="G27:G28"/>
    <mergeCell ref="B15:B114"/>
    <mergeCell ref="D15:I15"/>
    <mergeCell ref="D16:I16"/>
    <mergeCell ref="D17:I17"/>
    <mergeCell ref="D20:I20"/>
    <mergeCell ref="D25:I25"/>
    <mergeCell ref="D26:I26"/>
    <mergeCell ref="D42:I42"/>
    <mergeCell ref="D43:I43"/>
    <mergeCell ref="F27:F28"/>
    <mergeCell ref="D71:I71"/>
    <mergeCell ref="D44:I44"/>
    <mergeCell ref="D49:I49"/>
    <mergeCell ref="D50:I50"/>
    <mergeCell ref="D51:I51"/>
    <mergeCell ref="B150:E150"/>
    <mergeCell ref="B155:B161"/>
    <mergeCell ref="B163:B166"/>
    <mergeCell ref="B167:B181"/>
    <mergeCell ref="D27:D28"/>
    <mergeCell ref="E27:E28"/>
    <mergeCell ref="D56:I56"/>
    <mergeCell ref="D57:I57"/>
    <mergeCell ref="D58:I58"/>
    <mergeCell ref="D63:I63"/>
    <mergeCell ref="D64:I64"/>
    <mergeCell ref="D65:I65"/>
    <mergeCell ref="D70:I70"/>
    <mergeCell ref="D103:I103"/>
    <mergeCell ref="D72:I72"/>
    <mergeCell ref="D78:I78"/>
    <mergeCell ref="B10:D10"/>
    <mergeCell ref="F10:S10"/>
    <mergeCell ref="F11:S11"/>
    <mergeCell ref="E12:R12"/>
    <mergeCell ref="E13:R13"/>
    <mergeCell ref="A1:P1"/>
    <mergeCell ref="A2:P2"/>
    <mergeCell ref="A3:P3"/>
    <mergeCell ref="A4:D4"/>
    <mergeCell ref="A5:P5"/>
  </mergeCells>
  <conditionalFormatting sqref="F122">
    <cfRule type="containsText" dxfId="38" priority="5" operator="containsText" text="ERROR">
      <formula>NOT(ISERROR(SEARCH("ERROR",F122)))</formula>
    </cfRule>
  </conditionalFormatting>
  <conditionalFormatting sqref="F10">
    <cfRule type="notContainsBlanks" dxfId="37" priority="4">
      <formula>LEN(TRIM(F10))&gt;0</formula>
    </cfRule>
  </conditionalFormatting>
  <conditionalFormatting sqref="F11:S11">
    <cfRule type="expression" dxfId="36" priority="2">
      <formula>E11="NO SE REPORTA"</formula>
    </cfRule>
    <cfRule type="expression" dxfId="35" priority="3">
      <formula>E10="NO APLICA"</formula>
    </cfRule>
  </conditionalFormatting>
  <conditionalFormatting sqref="E12:R12">
    <cfRule type="expression" dxfId="34" priority="1">
      <formula>E11="SI SE REPORTA"</formula>
    </cfRule>
  </conditionalFormatting>
  <dataValidations count="5">
    <dataValidation type="whole" operator="greaterThanOrEqual" allowBlank="1" showErrorMessage="1" errorTitle="ERROR" error="Escriba un número igual o mayor que 0" promptTitle="ERROR" prompt="Escriba un número igual o mayor que 0" sqref="E106:E107 E18:E19 E99:H100 E46:E48 E22:H23 E53:H54 E60:H61 E74:H75 E81:H82 E87:E88 E112:H113 E92:H93 E29:H40 E67:E69">
      <formula1>0</formula1>
    </dataValidation>
    <dataValidation allowBlank="1" showInputMessage="1" showErrorMessage="1" sqref="E62:H62 E76:I76 I74:I75 I81:I83 E83:H83 E24:H24 E41:H41 I53:I55 E55:H55 I60:I62"/>
    <dataValidation type="decimal" allowBlank="1" showInputMessage="1" showErrorMessage="1" errorTitle="ERROR" error="Escriba un valor entre 0% y 100%" sqref="F117:F121">
      <formula1>0</formula1>
      <formula2>1</formula2>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79"/>
  <sheetViews>
    <sheetView showGridLines="0" topLeftCell="A2" zoomScale="98" zoomScaleNormal="98" workbookViewId="0">
      <selection activeCell="F20" sqref="F20"/>
    </sheetView>
  </sheetViews>
  <sheetFormatPr baseColWidth="10" defaultRowHeight="15"/>
  <cols>
    <col min="1" max="1" width="1.85546875" customWidth="1"/>
    <col min="2" max="2" width="12.85546875" customWidth="1"/>
    <col min="3" max="3" width="5" style="88" bestFit="1" customWidth="1"/>
    <col min="4" max="4" width="34.85546875" customWidth="1"/>
    <col min="5" max="5" width="12.140625" customWidth="1"/>
  </cols>
  <sheetData>
    <row r="1" spans="1:21" s="551" customFormat="1" ht="100.5" customHeight="1" thickBot="1">
      <c r="A1" s="1344"/>
      <c r="B1" s="1345"/>
      <c r="C1" s="1345"/>
      <c r="D1" s="1345"/>
      <c r="E1" s="1345"/>
      <c r="F1" s="1345"/>
      <c r="G1" s="1345"/>
      <c r="H1" s="1345"/>
      <c r="I1" s="1345"/>
      <c r="J1" s="1345"/>
      <c r="K1" s="1345"/>
      <c r="L1" s="1345"/>
      <c r="M1" s="1345"/>
      <c r="N1" s="1345"/>
      <c r="O1" s="1345"/>
      <c r="P1" s="1346"/>
      <c r="Q1" s="413"/>
      <c r="R1" s="413"/>
    </row>
    <row r="2" spans="1:21" s="552" customFormat="1" ht="16.5" thickBot="1">
      <c r="A2" s="1352" t="str">
        <f>'Datos Generales'!C5</f>
        <v>Corporación Autónoma Regional de La Guajira – CORPOGUAJIRA</v>
      </c>
      <c r="B2" s="1353"/>
      <c r="C2" s="1353"/>
      <c r="D2" s="1353"/>
      <c r="E2" s="1353"/>
      <c r="F2" s="1353"/>
      <c r="G2" s="1353"/>
      <c r="H2" s="1353"/>
      <c r="I2" s="1353"/>
      <c r="J2" s="1353"/>
      <c r="K2" s="1353"/>
      <c r="L2" s="1353"/>
      <c r="M2" s="1353"/>
      <c r="N2" s="1353"/>
      <c r="O2" s="1353"/>
      <c r="P2" s="1354"/>
      <c r="Q2" s="413"/>
      <c r="R2" s="413"/>
    </row>
    <row r="3" spans="1:21" s="552" customFormat="1" ht="16.5" thickBot="1">
      <c r="A3" s="1347" t="s">
        <v>1419</v>
      </c>
      <c r="B3" s="1348"/>
      <c r="C3" s="1348"/>
      <c r="D3" s="1348"/>
      <c r="E3" s="1348"/>
      <c r="F3" s="1348"/>
      <c r="G3" s="1348"/>
      <c r="H3" s="1348"/>
      <c r="I3" s="1348"/>
      <c r="J3" s="1348"/>
      <c r="K3" s="1348"/>
      <c r="L3" s="1348"/>
      <c r="M3" s="1348"/>
      <c r="N3" s="1348"/>
      <c r="O3" s="1348"/>
      <c r="P3" s="1349"/>
      <c r="Q3" s="413"/>
      <c r="R3" s="413"/>
    </row>
    <row r="4" spans="1:21" s="552" customFormat="1" ht="16.5" thickBot="1">
      <c r="A4" s="1350" t="s">
        <v>1418</v>
      </c>
      <c r="B4" s="1351"/>
      <c r="C4" s="1351"/>
      <c r="D4" s="1351"/>
      <c r="E4" s="571" t="str">
        <f>'Datos Generales'!C6</f>
        <v>2016-II</v>
      </c>
      <c r="F4" s="571"/>
      <c r="G4" s="571"/>
      <c r="H4" s="571"/>
      <c r="I4" s="571"/>
      <c r="J4" s="571"/>
      <c r="K4" s="571"/>
      <c r="L4" s="572"/>
      <c r="M4" s="572"/>
      <c r="N4" s="572"/>
      <c r="O4" s="572"/>
      <c r="P4" s="573"/>
      <c r="Q4" s="413"/>
      <c r="R4" s="413"/>
    </row>
    <row r="5" spans="1:21" s="245" customFormat="1" ht="16.5" customHeight="1" thickBot="1">
      <c r="A5" s="1347" t="s">
        <v>963</v>
      </c>
      <c r="B5" s="1348"/>
      <c r="C5" s="1348"/>
      <c r="D5" s="1348"/>
      <c r="E5" s="1348"/>
      <c r="F5" s="1348"/>
      <c r="G5" s="1348"/>
      <c r="H5" s="1348"/>
      <c r="I5" s="1348"/>
      <c r="J5" s="1348"/>
      <c r="K5" s="1348"/>
      <c r="L5" s="1348"/>
      <c r="M5" s="1348"/>
      <c r="N5" s="1348"/>
      <c r="O5" s="1348"/>
      <c r="P5" s="1349"/>
    </row>
    <row r="6" spans="1:21">
      <c r="A6" s="245"/>
      <c r="B6" s="249" t="s">
        <v>1</v>
      </c>
      <c r="C6" s="250"/>
      <c r="D6" s="248"/>
      <c r="E6" s="259"/>
      <c r="F6" s="248" t="s">
        <v>133</v>
      </c>
      <c r="G6" s="248"/>
      <c r="H6" s="248"/>
      <c r="I6" s="248"/>
      <c r="J6" s="248"/>
      <c r="K6" s="6"/>
    </row>
    <row r="7" spans="1:21" ht="15.75" thickBot="1">
      <c r="A7" s="245"/>
      <c r="B7" s="251"/>
      <c r="C7" s="252"/>
      <c r="D7" s="248"/>
      <c r="E7" s="253"/>
      <c r="F7" s="248" t="s">
        <v>134</v>
      </c>
      <c r="G7" s="248"/>
      <c r="H7" s="248"/>
      <c r="I7" s="248"/>
      <c r="J7" s="248"/>
      <c r="K7" s="6"/>
    </row>
    <row r="8" spans="1:21" ht="15.75" thickBot="1">
      <c r="A8" s="245"/>
      <c r="B8" s="261" t="s">
        <v>1204</v>
      </c>
      <c r="C8" s="262">
        <v>2017</v>
      </c>
      <c r="D8" s="257">
        <f>IF(E10="NO APLICA","NO APLICA",IF(E11="NO SE REPORTA","SIN INFORMACION",+F21))</f>
        <v>0.15384615384615385</v>
      </c>
      <c r="E8" s="264"/>
      <c r="F8" s="248" t="s">
        <v>135</v>
      </c>
      <c r="G8" s="248"/>
      <c r="H8" s="248"/>
      <c r="I8" s="248"/>
      <c r="J8" s="248"/>
      <c r="K8" s="6"/>
    </row>
    <row r="9" spans="1:21">
      <c r="A9" s="245"/>
      <c r="B9" s="507" t="s">
        <v>1205</v>
      </c>
      <c r="C9" s="265"/>
      <c r="D9" s="248"/>
      <c r="E9" s="248"/>
      <c r="F9" s="248"/>
      <c r="G9" s="248"/>
      <c r="H9" s="248"/>
      <c r="I9" s="248"/>
      <c r="J9" s="248"/>
      <c r="K9" s="6"/>
    </row>
    <row r="10" spans="1:21" s="413" customFormat="1">
      <c r="A10" s="245"/>
      <c r="B10" s="1412" t="s">
        <v>1265</v>
      </c>
      <c r="C10" s="1412"/>
      <c r="D10" s="1412"/>
      <c r="E10" s="513" t="s">
        <v>1262</v>
      </c>
      <c r="F10" s="1419"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420"/>
      <c r="H10" s="1420"/>
      <c r="I10" s="1420"/>
      <c r="J10" s="1420"/>
      <c r="K10" s="1420"/>
      <c r="L10" s="1420"/>
      <c r="M10" s="1420"/>
      <c r="N10" s="1420"/>
      <c r="O10" s="1420"/>
      <c r="P10" s="1420"/>
      <c r="Q10" s="1420"/>
      <c r="R10" s="1420"/>
      <c r="S10" s="1420"/>
      <c r="T10" s="509"/>
      <c r="U10" s="509"/>
    </row>
    <row r="11" spans="1:21" s="413" customFormat="1" ht="14.45" customHeight="1">
      <c r="A11" s="245"/>
      <c r="B11" s="510"/>
      <c r="C11" s="511"/>
      <c r="D11" s="512" t="str">
        <f>IF(E10="SI APLICA","¿El indicador no se reporta por limitaciones de información disponible? ","")</f>
        <v xml:space="preserve">¿El indicador no se reporta por limitaciones de información disponible? </v>
      </c>
      <c r="E11" s="514" t="s">
        <v>1264</v>
      </c>
      <c r="F11" s="1413"/>
      <c r="G11" s="1414"/>
      <c r="H11" s="1414"/>
      <c r="I11" s="1414"/>
      <c r="J11" s="1414"/>
      <c r="K11" s="1414"/>
      <c r="L11" s="1414"/>
      <c r="M11" s="1414"/>
      <c r="N11" s="1414"/>
      <c r="O11" s="1414"/>
      <c r="P11" s="1414"/>
      <c r="Q11" s="1414"/>
      <c r="R11" s="1414"/>
      <c r="S11" s="1414"/>
    </row>
    <row r="12" spans="1:21" s="413" customFormat="1" ht="23.45" customHeight="1">
      <c r="A12" s="245"/>
      <c r="B12" s="507"/>
      <c r="C12" s="304"/>
      <c r="D12" s="512" t="str">
        <f>IF(E11="SI SE REPORTA","¿Qué programas o proyectos del Plan de Acción están asociados al indicador? ","")</f>
        <v xml:space="preserve">¿Qué programas o proyectos del Plan de Acción están asociados al indicador? </v>
      </c>
      <c r="E12" s="1415" t="str">
        <f>'Anexo 1 Matriz Inf Gestión'!E80:H80</f>
        <v>Proyecto No. 6.1.  (13). Evaluación, Seguimiento, Monitoreo y Control de la calidad de los recursos naturales y la biodiversidad.</v>
      </c>
      <c r="F12" s="1415"/>
      <c r="G12" s="1415"/>
      <c r="H12" s="1415"/>
      <c r="I12" s="1415"/>
      <c r="J12" s="1415"/>
      <c r="K12" s="1415"/>
      <c r="L12" s="1415"/>
      <c r="M12" s="1415"/>
      <c r="N12" s="1415"/>
      <c r="O12" s="1415"/>
      <c r="P12" s="1415"/>
      <c r="Q12" s="1415"/>
      <c r="R12" s="1415"/>
    </row>
    <row r="13" spans="1:21" s="413" customFormat="1" ht="21.95" customHeight="1">
      <c r="A13" s="245"/>
      <c r="B13" s="507"/>
      <c r="C13" s="304"/>
      <c r="D13" s="512" t="s">
        <v>1267</v>
      </c>
      <c r="E13" s="1416"/>
      <c r="F13" s="1417"/>
      <c r="G13" s="1417"/>
      <c r="H13" s="1417"/>
      <c r="I13" s="1417"/>
      <c r="J13" s="1417"/>
      <c r="K13" s="1417"/>
      <c r="L13" s="1417"/>
      <c r="M13" s="1417"/>
      <c r="N13" s="1417"/>
      <c r="O13" s="1417"/>
      <c r="P13" s="1417"/>
      <c r="Q13" s="1417"/>
      <c r="R13" s="1418"/>
    </row>
    <row r="14" spans="1:21" s="413" customFormat="1" ht="6.95" customHeight="1" thickBot="1">
      <c r="A14" s="245"/>
      <c r="B14" s="507"/>
      <c r="C14" s="265"/>
      <c r="D14" s="248"/>
      <c r="E14" s="248"/>
      <c r="F14" s="248"/>
      <c r="G14" s="248"/>
      <c r="H14" s="248"/>
      <c r="I14" s="248"/>
      <c r="J14" s="248"/>
      <c r="K14" s="6"/>
    </row>
    <row r="15" spans="1:21">
      <c r="A15" s="245"/>
      <c r="B15" s="1391" t="s">
        <v>2</v>
      </c>
      <c r="C15" s="268"/>
      <c r="D15" s="1373"/>
      <c r="E15" s="1374"/>
      <c r="F15" s="1374"/>
      <c r="G15" s="1374"/>
      <c r="H15" s="1374"/>
      <c r="I15" s="1375"/>
      <c r="J15" s="248"/>
      <c r="K15" s="6"/>
    </row>
    <row r="16" spans="1:21" ht="15.75" thickBot="1">
      <c r="A16" s="245"/>
      <c r="B16" s="1392"/>
      <c r="C16" s="276"/>
      <c r="D16" s="1403" t="s">
        <v>3</v>
      </c>
      <c r="E16" s="1404"/>
      <c r="F16" s="1404"/>
      <c r="G16" s="1404"/>
      <c r="H16" s="1404"/>
      <c r="I16" s="1405"/>
      <c r="J16" s="248"/>
      <c r="K16" s="6"/>
    </row>
    <row r="17" spans="1:11" ht="15.75" thickBot="1">
      <c r="A17" s="245"/>
      <c r="B17" s="1392"/>
      <c r="C17" s="272"/>
      <c r="D17" s="422" t="s">
        <v>156</v>
      </c>
      <c r="E17" s="280" t="s">
        <v>25</v>
      </c>
      <c r="F17" s="280" t="s">
        <v>26</v>
      </c>
      <c r="G17" s="280" t="s">
        <v>27</v>
      </c>
      <c r="H17" s="280" t="s">
        <v>28</v>
      </c>
      <c r="I17" s="280" t="s">
        <v>157</v>
      </c>
      <c r="J17" s="248"/>
      <c r="K17" s="6"/>
    </row>
    <row r="18" spans="1:11" ht="36.75" thickBot="1">
      <c r="A18" s="245"/>
      <c r="B18" s="1392"/>
      <c r="C18" s="272"/>
      <c r="D18" s="427" t="s">
        <v>978</v>
      </c>
      <c r="E18" s="153">
        <v>29</v>
      </c>
      <c r="F18" s="153">
        <f>15+5+19</f>
        <v>39</v>
      </c>
      <c r="G18" s="153"/>
      <c r="H18" s="153"/>
      <c r="I18" s="449">
        <f t="shared" ref="I18:I20" si="0">SUM(E18:H18)</f>
        <v>68</v>
      </c>
      <c r="J18" s="248"/>
      <c r="K18" s="6"/>
    </row>
    <row r="19" spans="1:11" ht="36.75" thickBot="1">
      <c r="A19" s="245"/>
      <c r="B19" s="1392"/>
      <c r="C19" s="272"/>
      <c r="D19" s="427" t="s">
        <v>979</v>
      </c>
      <c r="E19" s="153">
        <v>14</v>
      </c>
      <c r="F19" s="153">
        <f>2+4</f>
        <v>6</v>
      </c>
      <c r="G19" s="153"/>
      <c r="H19" s="153"/>
      <c r="I19" s="449">
        <f t="shared" si="0"/>
        <v>20</v>
      </c>
      <c r="J19" s="248"/>
      <c r="K19" s="6"/>
    </row>
    <row r="20" spans="1:11" ht="36.75" thickBot="1">
      <c r="A20" s="245"/>
      <c r="B20" s="1392"/>
      <c r="C20" s="272"/>
      <c r="D20" s="427" t="s">
        <v>980</v>
      </c>
      <c r="E20" s="153">
        <v>0</v>
      </c>
      <c r="F20" s="153"/>
      <c r="G20" s="153"/>
      <c r="H20" s="153"/>
      <c r="I20" s="449">
        <f t="shared" si="0"/>
        <v>0</v>
      </c>
      <c r="J20" s="248"/>
      <c r="K20" s="6"/>
    </row>
    <row r="21" spans="1:11" ht="24.75" thickBot="1">
      <c r="A21" s="245"/>
      <c r="B21" s="1393"/>
      <c r="C21" s="429"/>
      <c r="D21" s="427" t="s">
        <v>981</v>
      </c>
      <c r="E21" s="454">
        <f>+(E19+E20)/E18</f>
        <v>0.48275862068965519</v>
      </c>
      <c r="F21" s="454">
        <f t="shared" ref="F21:H21" si="1">+(F19+F20)/F18</f>
        <v>0.15384615384615385</v>
      </c>
      <c r="G21" s="454" t="e">
        <f t="shared" si="1"/>
        <v>#DIV/0!</v>
      </c>
      <c r="H21" s="454" t="e">
        <f t="shared" si="1"/>
        <v>#DIV/0!</v>
      </c>
      <c r="I21" s="454">
        <f>+(I19+I20)/I18</f>
        <v>0.29411764705882354</v>
      </c>
      <c r="J21" s="248"/>
      <c r="K21" s="6"/>
    </row>
    <row r="22" spans="1:11" ht="36" customHeight="1" thickBot="1">
      <c r="A22" s="245"/>
      <c r="B22" s="426" t="s">
        <v>39</v>
      </c>
      <c r="C22" s="286"/>
      <c r="D22" s="1400" t="s">
        <v>982</v>
      </c>
      <c r="E22" s="1401"/>
      <c r="F22" s="1401"/>
      <c r="G22" s="1401"/>
      <c r="H22" s="1401"/>
      <c r="I22" s="1402"/>
      <c r="J22" s="248"/>
      <c r="K22" s="6"/>
    </row>
    <row r="23" spans="1:11" ht="36" customHeight="1" thickBot="1">
      <c r="A23" s="245"/>
      <c r="B23" s="426" t="s">
        <v>41</v>
      </c>
      <c r="C23" s="286"/>
      <c r="D23" s="1400" t="s">
        <v>165</v>
      </c>
      <c r="E23" s="1401"/>
      <c r="F23" s="1401"/>
      <c r="G23" s="1401"/>
      <c r="H23" s="1401"/>
      <c r="I23" s="1402"/>
      <c r="J23" s="248"/>
      <c r="K23" s="6"/>
    </row>
    <row r="24" spans="1:11" ht="15.75" thickBot="1">
      <c r="A24" s="245"/>
      <c r="B24" s="249"/>
      <c r="C24" s="250"/>
      <c r="D24" s="248"/>
      <c r="E24" s="248"/>
      <c r="F24" s="248"/>
      <c r="G24" s="248"/>
      <c r="H24" s="248"/>
      <c r="I24" s="248"/>
      <c r="J24" s="248"/>
      <c r="K24" s="6"/>
    </row>
    <row r="25" spans="1:11" ht="24" customHeight="1" thickBot="1">
      <c r="A25" s="245"/>
      <c r="B25" s="1388" t="s">
        <v>43</v>
      </c>
      <c r="C25" s="1389"/>
      <c r="D25" s="1389"/>
      <c r="E25" s="1390"/>
      <c r="F25" s="248"/>
      <c r="G25" s="248"/>
      <c r="H25" s="248"/>
      <c r="I25" s="248"/>
      <c r="J25" s="248"/>
      <c r="K25" s="6"/>
    </row>
    <row r="26" spans="1:11" ht="15.75" thickBot="1">
      <c r="A26" s="245"/>
      <c r="B26" s="1391">
        <v>1</v>
      </c>
      <c r="C26" s="272"/>
      <c r="D26" s="289" t="s">
        <v>44</v>
      </c>
      <c r="E26" s="167" t="s">
        <v>1642</v>
      </c>
      <c r="F26" s="248"/>
      <c r="G26" s="248"/>
      <c r="H26" s="248"/>
      <c r="I26" s="248"/>
      <c r="J26" s="248"/>
      <c r="K26" s="6"/>
    </row>
    <row r="27" spans="1:11" ht="15.75" thickBot="1">
      <c r="A27" s="245"/>
      <c r="B27" s="1392"/>
      <c r="C27" s="272"/>
      <c r="D27" s="427" t="s">
        <v>45</v>
      </c>
      <c r="E27" s="167" t="s">
        <v>1658</v>
      </c>
      <c r="F27" s="248"/>
      <c r="G27" s="248"/>
      <c r="H27" s="248"/>
      <c r="I27" s="248"/>
      <c r="J27" s="248"/>
      <c r="K27" s="6"/>
    </row>
    <row r="28" spans="1:11" ht="15.75" thickBot="1">
      <c r="A28" s="245"/>
      <c r="B28" s="1392"/>
      <c r="C28" s="272"/>
      <c r="D28" s="427" t="s">
        <v>46</v>
      </c>
      <c r="E28" s="167" t="s">
        <v>1659</v>
      </c>
      <c r="F28" s="248"/>
      <c r="G28" s="248"/>
      <c r="H28" s="248"/>
      <c r="I28" s="248"/>
      <c r="J28" s="248"/>
      <c r="K28" s="6"/>
    </row>
    <row r="29" spans="1:11" ht="15.75" thickBot="1">
      <c r="A29" s="245"/>
      <c r="B29" s="1392"/>
      <c r="C29" s="272"/>
      <c r="D29" s="427" t="s">
        <v>47</v>
      </c>
      <c r="E29" s="167" t="s">
        <v>1660</v>
      </c>
      <c r="F29" s="248"/>
      <c r="G29" s="248"/>
      <c r="H29" s="248"/>
      <c r="I29" s="248"/>
      <c r="J29" s="248"/>
      <c r="K29" s="6"/>
    </row>
    <row r="30" spans="1:11" ht="15.75" thickBot="1">
      <c r="A30" s="245"/>
      <c r="B30" s="1392"/>
      <c r="C30" s="272"/>
      <c r="D30" s="427" t="s">
        <v>48</v>
      </c>
      <c r="E30" s="167" t="s">
        <v>1661</v>
      </c>
      <c r="F30" s="248"/>
      <c r="G30" s="248"/>
      <c r="H30" s="248"/>
      <c r="I30" s="248"/>
      <c r="J30" s="248"/>
      <c r="K30" s="6"/>
    </row>
    <row r="31" spans="1:11" ht="15.75" thickBot="1">
      <c r="A31" s="245"/>
      <c r="B31" s="1392"/>
      <c r="C31" s="272"/>
      <c r="D31" s="427" t="s">
        <v>49</v>
      </c>
      <c r="E31" s="167" t="s">
        <v>1662</v>
      </c>
      <c r="F31" s="248"/>
      <c r="G31" s="248"/>
      <c r="H31" s="248"/>
      <c r="I31" s="248"/>
      <c r="J31" s="248"/>
      <c r="K31" s="6"/>
    </row>
    <row r="32" spans="1:11" ht="15.75" thickBot="1">
      <c r="A32" s="245"/>
      <c r="B32" s="1393"/>
      <c r="C32" s="429"/>
      <c r="D32" s="427" t="s">
        <v>50</v>
      </c>
      <c r="E32" s="167" t="s">
        <v>1629</v>
      </c>
      <c r="F32" s="248"/>
      <c r="G32" s="248"/>
      <c r="H32" s="248"/>
      <c r="I32" s="248"/>
      <c r="J32" s="248"/>
      <c r="K32" s="6"/>
    </row>
    <row r="33" spans="1:11" ht="15.75" thickBot="1">
      <c r="A33" s="245"/>
      <c r="B33" s="249"/>
      <c r="C33" s="250"/>
      <c r="D33" s="248"/>
      <c r="E33" s="248"/>
      <c r="F33" s="248"/>
      <c r="G33" s="248"/>
      <c r="H33" s="248"/>
      <c r="I33" s="248"/>
      <c r="J33" s="248"/>
      <c r="K33" s="6"/>
    </row>
    <row r="34" spans="1:11" ht="15.75" thickBot="1">
      <c r="A34" s="245"/>
      <c r="B34" s="1388" t="s">
        <v>51</v>
      </c>
      <c r="C34" s="1389"/>
      <c r="D34" s="1389"/>
      <c r="E34" s="1390"/>
      <c r="F34" s="248"/>
      <c r="G34" s="248"/>
      <c r="H34" s="248"/>
      <c r="I34" s="248"/>
      <c r="J34" s="248"/>
      <c r="K34" s="6"/>
    </row>
    <row r="35" spans="1:11" ht="15.75" thickBot="1">
      <c r="A35" s="245"/>
      <c r="B35" s="1391">
        <v>1</v>
      </c>
      <c r="C35" s="272"/>
      <c r="D35" s="289" t="s">
        <v>44</v>
      </c>
      <c r="E35" s="433" t="s">
        <v>52</v>
      </c>
      <c r="F35" s="248"/>
      <c r="G35" s="248"/>
      <c r="H35" s="248"/>
      <c r="I35" s="248"/>
      <c r="J35" s="248"/>
      <c r="K35" s="6"/>
    </row>
    <row r="36" spans="1:11" ht="15.75" thickBot="1">
      <c r="A36" s="245"/>
      <c r="B36" s="1392"/>
      <c r="C36" s="272"/>
      <c r="D36" s="427" t="s">
        <v>45</v>
      </c>
      <c r="E36" s="453" t="s">
        <v>53</v>
      </c>
      <c r="F36" s="248"/>
      <c r="G36" s="248"/>
      <c r="H36" s="248"/>
      <c r="I36" s="248"/>
      <c r="J36" s="248"/>
      <c r="K36" s="6"/>
    </row>
    <row r="37" spans="1:11" ht="15.75" thickBot="1">
      <c r="A37" s="245"/>
      <c r="B37" s="1392"/>
      <c r="C37" s="272"/>
      <c r="D37" s="427" t="s">
        <v>46</v>
      </c>
      <c r="E37" s="172"/>
      <c r="F37" s="248"/>
      <c r="G37" s="248"/>
      <c r="H37" s="248"/>
      <c r="I37" s="248"/>
      <c r="J37" s="248"/>
      <c r="K37" s="6"/>
    </row>
    <row r="38" spans="1:11" ht="15.75" thickBot="1">
      <c r="A38" s="245"/>
      <c r="B38" s="1392"/>
      <c r="C38" s="272"/>
      <c r="D38" s="427" t="s">
        <v>47</v>
      </c>
      <c r="E38" s="172"/>
      <c r="F38" s="248"/>
      <c r="G38" s="248"/>
      <c r="H38" s="248"/>
      <c r="I38" s="248"/>
      <c r="J38" s="248"/>
      <c r="K38" s="6"/>
    </row>
    <row r="39" spans="1:11" ht="15.75" thickBot="1">
      <c r="A39" s="245"/>
      <c r="B39" s="1392"/>
      <c r="C39" s="272"/>
      <c r="D39" s="427" t="s">
        <v>48</v>
      </c>
      <c r="E39" s="172"/>
      <c r="F39" s="248"/>
      <c r="G39" s="248"/>
      <c r="H39" s="248"/>
      <c r="I39" s="248"/>
      <c r="J39" s="248"/>
      <c r="K39" s="6"/>
    </row>
    <row r="40" spans="1:11" ht="15.75" thickBot="1">
      <c r="A40" s="245"/>
      <c r="B40" s="1392"/>
      <c r="C40" s="272"/>
      <c r="D40" s="427" t="s">
        <v>49</v>
      </c>
      <c r="E40" s="172"/>
      <c r="F40" s="248"/>
      <c r="G40" s="248"/>
      <c r="H40" s="248"/>
      <c r="I40" s="248"/>
      <c r="J40" s="248"/>
      <c r="K40" s="6"/>
    </row>
    <row r="41" spans="1:11" ht="15.75" thickBot="1">
      <c r="A41" s="245"/>
      <c r="B41" s="1393"/>
      <c r="C41" s="429"/>
      <c r="D41" s="427" t="s">
        <v>50</v>
      </c>
      <c r="E41" s="172"/>
      <c r="F41" s="248"/>
      <c r="G41" s="248"/>
      <c r="H41" s="248"/>
      <c r="I41" s="248"/>
      <c r="J41" s="248"/>
      <c r="K41" s="6"/>
    </row>
    <row r="42" spans="1:11" ht="15.75" thickBot="1">
      <c r="A42" s="245"/>
      <c r="B42" s="249"/>
      <c r="C42" s="250"/>
      <c r="D42" s="248"/>
      <c r="E42" s="248"/>
      <c r="F42" s="248"/>
      <c r="G42" s="248"/>
      <c r="H42" s="248"/>
      <c r="I42" s="248"/>
      <c r="J42" s="248"/>
      <c r="K42" s="6"/>
    </row>
    <row r="43" spans="1:11" ht="15" customHeight="1" thickBot="1">
      <c r="A43" s="245"/>
      <c r="B43" s="423" t="s">
        <v>54</v>
      </c>
      <c r="C43" s="424"/>
      <c r="D43" s="424"/>
      <c r="E43" s="425"/>
      <c r="F43" s="245"/>
      <c r="G43" s="248"/>
      <c r="H43" s="248"/>
      <c r="I43" s="248"/>
      <c r="J43" s="248"/>
      <c r="K43" s="6"/>
    </row>
    <row r="44" spans="1:11" ht="24.75" thickBot="1">
      <c r="A44" s="245"/>
      <c r="B44" s="426" t="s">
        <v>55</v>
      </c>
      <c r="C44" s="427" t="s">
        <v>56</v>
      </c>
      <c r="D44" s="427" t="s">
        <v>57</v>
      </c>
      <c r="E44" s="427" t="s">
        <v>58</v>
      </c>
      <c r="F44" s="248"/>
      <c r="G44" s="248"/>
      <c r="H44" s="248"/>
      <c r="I44" s="248"/>
      <c r="J44" s="248"/>
    </row>
    <row r="45" spans="1:11" ht="60.75" thickBot="1">
      <c r="A45" s="245"/>
      <c r="B45" s="295">
        <v>42401</v>
      </c>
      <c r="C45" s="427">
        <v>0.01</v>
      </c>
      <c r="D45" s="428" t="s">
        <v>983</v>
      </c>
      <c r="E45" s="427"/>
      <c r="F45" s="248"/>
      <c r="G45" s="248"/>
      <c r="H45" s="248"/>
      <c r="I45" s="248"/>
      <c r="J45" s="248"/>
    </row>
    <row r="46" spans="1:11" ht="15.75" thickBot="1">
      <c r="A46" s="245"/>
      <c r="B46" s="249"/>
      <c r="C46" s="250"/>
      <c r="D46" s="248"/>
      <c r="E46" s="248"/>
      <c r="F46" s="248"/>
      <c r="G46" s="248"/>
      <c r="H46" s="248"/>
      <c r="I46" s="248"/>
      <c r="J46" s="248"/>
      <c r="K46" s="6"/>
    </row>
    <row r="47" spans="1:11">
      <c r="A47" s="245"/>
      <c r="B47" s="297" t="s">
        <v>60</v>
      </c>
      <c r="C47" s="298"/>
      <c r="D47" s="248"/>
      <c r="E47" s="248"/>
      <c r="F47" s="248"/>
      <c r="G47" s="248"/>
      <c r="H47" s="248"/>
      <c r="I47" s="248"/>
      <c r="J47" s="248"/>
      <c r="K47" s="6"/>
    </row>
    <row r="48" spans="1:11">
      <c r="A48" s="245"/>
      <c r="B48" s="1619"/>
      <c r="C48" s="1620"/>
      <c r="D48" s="1620"/>
      <c r="E48" s="1621"/>
      <c r="F48" s="248"/>
      <c r="G48" s="248"/>
      <c r="H48" s="248"/>
      <c r="I48" s="248"/>
      <c r="J48" s="248"/>
      <c r="K48" s="6"/>
    </row>
    <row r="49" spans="1:11">
      <c r="A49" s="245"/>
      <c r="B49" s="1622"/>
      <c r="C49" s="1623"/>
      <c r="D49" s="1623"/>
      <c r="E49" s="1624"/>
      <c r="F49" s="248"/>
      <c r="G49" s="248"/>
      <c r="H49" s="248"/>
      <c r="I49" s="248"/>
      <c r="J49" s="248"/>
      <c r="K49" s="6"/>
    </row>
    <row r="50" spans="1:11" ht="15.75" thickBot="1">
      <c r="A50" s="245"/>
      <c r="B50" s="248"/>
      <c r="C50" s="265"/>
      <c r="D50" s="248"/>
      <c r="E50" s="248"/>
      <c r="F50" s="248"/>
      <c r="G50" s="248"/>
      <c r="H50" s="248"/>
      <c r="I50" s="248"/>
      <c r="J50" s="248"/>
      <c r="K50" s="6"/>
    </row>
    <row r="51" spans="1:11" ht="24.75" thickBot="1">
      <c r="B51" s="52" t="s">
        <v>61</v>
      </c>
      <c r="C51" s="98"/>
      <c r="D51" s="6"/>
      <c r="E51" s="6"/>
      <c r="F51" s="6"/>
      <c r="G51" s="6"/>
      <c r="H51" s="6"/>
      <c r="I51" s="6"/>
      <c r="J51" s="6"/>
      <c r="K51" s="6"/>
    </row>
    <row r="52" spans="1:11" ht="15.75" thickBot="1">
      <c r="B52" s="2"/>
      <c r="C52" s="77"/>
      <c r="D52" s="6"/>
      <c r="E52" s="6"/>
      <c r="F52" s="6"/>
      <c r="G52" s="6"/>
      <c r="H52" s="6"/>
      <c r="I52" s="6"/>
      <c r="J52" s="6"/>
      <c r="K52" s="6"/>
    </row>
    <row r="53" spans="1:11" ht="84.75" thickBot="1">
      <c r="B53" s="53" t="s">
        <v>62</v>
      </c>
      <c r="C53" s="99"/>
      <c r="D53" s="44" t="s">
        <v>964</v>
      </c>
      <c r="E53" s="6"/>
      <c r="F53" s="6"/>
      <c r="G53" s="6"/>
      <c r="H53" s="6"/>
      <c r="I53" s="6"/>
      <c r="J53" s="6"/>
      <c r="K53" s="6"/>
    </row>
    <row r="54" spans="1:11">
      <c r="B54" s="1447" t="s">
        <v>64</v>
      </c>
      <c r="C54" s="95"/>
      <c r="D54" s="54" t="s">
        <v>65</v>
      </c>
      <c r="E54" s="6"/>
      <c r="F54" s="6"/>
      <c r="G54" s="6"/>
      <c r="H54" s="6"/>
      <c r="I54" s="6"/>
      <c r="J54" s="6"/>
      <c r="K54" s="6"/>
    </row>
    <row r="55" spans="1:11" ht="72">
      <c r="B55" s="1448"/>
      <c r="C55" s="95"/>
      <c r="D55" s="54" t="s">
        <v>965</v>
      </c>
      <c r="E55" s="6"/>
      <c r="F55" s="6"/>
      <c r="G55" s="6"/>
      <c r="H55" s="6"/>
      <c r="I55" s="6"/>
      <c r="J55" s="6"/>
      <c r="K55" s="6"/>
    </row>
    <row r="56" spans="1:11">
      <c r="B56" s="1448"/>
      <c r="C56" s="95"/>
      <c r="D56" s="54" t="s">
        <v>139</v>
      </c>
      <c r="E56" s="6"/>
      <c r="F56" s="6"/>
      <c r="G56" s="6"/>
      <c r="H56" s="6"/>
      <c r="I56" s="6"/>
      <c r="J56" s="6"/>
      <c r="K56" s="6"/>
    </row>
    <row r="57" spans="1:11" ht="24">
      <c r="B57" s="1448"/>
      <c r="C57" s="95"/>
      <c r="D57" s="47" t="s">
        <v>966</v>
      </c>
      <c r="E57" s="6"/>
      <c r="F57" s="6"/>
      <c r="G57" s="6"/>
      <c r="H57" s="6"/>
      <c r="I57" s="6"/>
      <c r="J57" s="6"/>
      <c r="K57" s="6"/>
    </row>
    <row r="58" spans="1:11" ht="24">
      <c r="B58" s="1448"/>
      <c r="C58" s="95"/>
      <c r="D58" s="47" t="s">
        <v>967</v>
      </c>
      <c r="E58" s="6"/>
      <c r="F58" s="6"/>
      <c r="G58" s="6"/>
      <c r="H58" s="6"/>
      <c r="I58" s="6"/>
      <c r="J58" s="6"/>
      <c r="K58" s="6"/>
    </row>
    <row r="59" spans="1:11" ht="15.75" thickBot="1">
      <c r="B59" s="1449"/>
      <c r="C59" s="3"/>
      <c r="D59" s="41" t="s">
        <v>70</v>
      </c>
      <c r="E59" s="6"/>
      <c r="F59" s="6"/>
      <c r="G59" s="6"/>
      <c r="H59" s="6"/>
      <c r="I59" s="6"/>
      <c r="J59" s="6"/>
      <c r="K59" s="6"/>
    </row>
    <row r="60" spans="1:11" ht="24.75" thickBot="1">
      <c r="B60" s="48" t="s">
        <v>77</v>
      </c>
      <c r="C60" s="3"/>
      <c r="D60" s="41"/>
      <c r="E60" s="6"/>
      <c r="F60" s="6"/>
      <c r="G60" s="6"/>
      <c r="H60" s="6"/>
      <c r="I60" s="6"/>
      <c r="J60" s="6"/>
      <c r="K60" s="6"/>
    </row>
    <row r="61" spans="1:11" ht="132">
      <c r="B61" s="1447" t="s">
        <v>78</v>
      </c>
      <c r="C61" s="95"/>
      <c r="D61" s="47" t="s">
        <v>968</v>
      </c>
      <c r="E61" s="6"/>
      <c r="F61" s="6"/>
      <c r="G61" s="6"/>
      <c r="H61" s="6"/>
      <c r="I61" s="6"/>
      <c r="J61" s="6"/>
      <c r="K61" s="6"/>
    </row>
    <row r="62" spans="1:11" ht="324">
      <c r="B62" s="1448"/>
      <c r="C62" s="95"/>
      <c r="D62" s="47" t="s">
        <v>969</v>
      </c>
      <c r="E62" s="6"/>
      <c r="F62" s="6"/>
      <c r="G62" s="6"/>
      <c r="H62" s="6"/>
      <c r="I62" s="6"/>
      <c r="J62" s="6"/>
      <c r="K62" s="6"/>
    </row>
    <row r="63" spans="1:11" ht="84">
      <c r="B63" s="1448"/>
      <c r="C63" s="95"/>
      <c r="D63" s="47" t="s">
        <v>970</v>
      </c>
      <c r="E63" s="6"/>
      <c r="F63" s="6"/>
      <c r="G63" s="6"/>
      <c r="H63" s="6"/>
      <c r="I63" s="6"/>
      <c r="J63" s="6"/>
      <c r="K63" s="6"/>
    </row>
    <row r="64" spans="1:11" ht="72">
      <c r="B64" s="1448"/>
      <c r="C64" s="95"/>
      <c r="D64" s="47" t="s">
        <v>971</v>
      </c>
      <c r="E64" s="6"/>
      <c r="F64" s="6"/>
      <c r="G64" s="6"/>
      <c r="H64" s="6"/>
      <c r="I64" s="6"/>
      <c r="J64" s="6"/>
      <c r="K64" s="6"/>
    </row>
    <row r="65" spans="2:11" ht="60.75" thickBot="1">
      <c r="B65" s="1449"/>
      <c r="C65" s="3"/>
      <c r="D65" s="41" t="s">
        <v>972</v>
      </c>
      <c r="E65" s="6"/>
      <c r="F65" s="6"/>
      <c r="G65" s="6"/>
      <c r="H65" s="6"/>
      <c r="I65" s="6"/>
      <c r="J65" s="6"/>
      <c r="K65" s="6"/>
    </row>
    <row r="66" spans="2:11">
      <c r="B66" s="1447" t="s">
        <v>95</v>
      </c>
      <c r="C66" s="95"/>
      <c r="D66" s="47"/>
      <c r="E66" s="6"/>
      <c r="F66" s="6"/>
      <c r="G66" s="6"/>
      <c r="H66" s="6"/>
      <c r="I66" s="6"/>
      <c r="J66" s="6"/>
      <c r="K66" s="6"/>
    </row>
    <row r="67" spans="2:11">
      <c r="B67" s="1448"/>
      <c r="C67" s="95"/>
      <c r="D67" s="17"/>
      <c r="E67" s="6"/>
      <c r="F67" s="6"/>
      <c r="G67" s="6"/>
      <c r="H67" s="6"/>
      <c r="I67" s="6"/>
      <c r="J67" s="6"/>
      <c r="K67" s="6"/>
    </row>
    <row r="68" spans="2:11">
      <c r="B68" s="1448"/>
      <c r="C68" s="95"/>
      <c r="D68" s="47" t="s">
        <v>96</v>
      </c>
      <c r="E68" s="6"/>
      <c r="F68" s="6"/>
      <c r="G68" s="6"/>
      <c r="H68" s="6"/>
      <c r="I68" s="6"/>
      <c r="J68" s="6"/>
      <c r="K68" s="6"/>
    </row>
    <row r="69" spans="2:11" ht="25.5">
      <c r="B69" s="1448"/>
      <c r="C69" s="95"/>
      <c r="D69" s="47" t="s">
        <v>973</v>
      </c>
      <c r="E69" s="6"/>
      <c r="F69" s="6"/>
      <c r="G69" s="6"/>
      <c r="H69" s="6"/>
      <c r="I69" s="6"/>
      <c r="J69" s="6"/>
      <c r="K69" s="6"/>
    </row>
    <row r="70" spans="2:11" ht="37.5">
      <c r="B70" s="1448"/>
      <c r="C70" s="95"/>
      <c r="D70" s="47" t="s">
        <v>974</v>
      </c>
      <c r="E70" s="6"/>
      <c r="F70" s="6"/>
      <c r="G70" s="6"/>
      <c r="H70" s="6"/>
      <c r="I70" s="6"/>
      <c r="J70" s="6"/>
      <c r="K70" s="6"/>
    </row>
    <row r="71" spans="2:11" ht="37.5">
      <c r="B71" s="1448"/>
      <c r="C71" s="95"/>
      <c r="D71" s="47" t="s">
        <v>975</v>
      </c>
      <c r="E71" s="6"/>
      <c r="F71" s="6"/>
      <c r="G71" s="6"/>
      <c r="H71" s="6"/>
      <c r="I71" s="6"/>
      <c r="J71" s="6"/>
      <c r="K71" s="6"/>
    </row>
    <row r="72" spans="2:11" ht="36">
      <c r="B72" s="1448"/>
      <c r="C72" s="95"/>
      <c r="D72" s="47" t="s">
        <v>976</v>
      </c>
      <c r="E72" s="6"/>
      <c r="F72" s="6"/>
      <c r="G72" s="6"/>
      <c r="H72" s="6"/>
      <c r="I72" s="6"/>
      <c r="J72" s="6"/>
      <c r="K72" s="6"/>
    </row>
    <row r="73" spans="2:11" ht="120.75" thickBot="1">
      <c r="B73" s="1449"/>
      <c r="C73" s="3"/>
      <c r="D73" s="41" t="s">
        <v>977</v>
      </c>
      <c r="E73" s="6"/>
      <c r="F73" s="6"/>
      <c r="G73" s="6"/>
      <c r="H73" s="6"/>
      <c r="I73" s="6"/>
      <c r="J73" s="6"/>
      <c r="K73" s="6"/>
    </row>
    <row r="74" spans="2:11">
      <c r="B74" s="6"/>
      <c r="D74" s="6"/>
      <c r="E74" s="6"/>
      <c r="F74" s="6"/>
      <c r="G74" s="6"/>
      <c r="H74" s="6"/>
      <c r="I74" s="6"/>
      <c r="J74" s="6"/>
      <c r="K74" s="6"/>
    </row>
    <row r="75" spans="2:11">
      <c r="B75" s="6"/>
      <c r="D75" s="6"/>
      <c r="E75" s="6"/>
      <c r="F75" s="6"/>
      <c r="G75" s="6"/>
      <c r="H75" s="6"/>
      <c r="I75" s="6"/>
      <c r="J75" s="6"/>
      <c r="K75" s="6"/>
    </row>
    <row r="76" spans="2:11">
      <c r="B76" s="6"/>
      <c r="D76" s="6"/>
      <c r="E76" s="6"/>
      <c r="F76" s="6"/>
      <c r="G76" s="6"/>
      <c r="H76" s="6"/>
      <c r="I76" s="6"/>
      <c r="J76" s="6"/>
      <c r="K76" s="6"/>
    </row>
    <row r="77" spans="2:11">
      <c r="B77" s="6"/>
      <c r="D77" s="6"/>
      <c r="E77" s="6"/>
      <c r="F77" s="6"/>
      <c r="G77" s="6"/>
      <c r="H77" s="6"/>
      <c r="I77" s="6"/>
      <c r="J77" s="6"/>
      <c r="K77" s="6"/>
    </row>
    <row r="78" spans="2:11">
      <c r="B78" s="6"/>
      <c r="D78" s="6"/>
      <c r="E78" s="6"/>
      <c r="F78" s="6"/>
      <c r="G78" s="6"/>
      <c r="H78" s="6"/>
      <c r="I78" s="6"/>
      <c r="J78" s="6"/>
      <c r="K78" s="6"/>
    </row>
    <row r="79" spans="2:11">
      <c r="B79" s="6"/>
      <c r="D79" s="6"/>
      <c r="E79" s="6"/>
      <c r="F79" s="6"/>
      <c r="G79" s="6"/>
      <c r="H79" s="6"/>
      <c r="I79" s="6"/>
      <c r="J79" s="6"/>
      <c r="K79" s="6"/>
    </row>
    <row r="80" spans="2:11">
      <c r="B80" s="6"/>
      <c r="D80" s="6"/>
      <c r="E80" s="6"/>
      <c r="F80" s="6"/>
      <c r="G80" s="6"/>
      <c r="H80" s="6"/>
      <c r="I80" s="6"/>
      <c r="J80" s="6"/>
      <c r="K80" s="6"/>
    </row>
    <row r="81" spans="2:11">
      <c r="B81" s="6"/>
      <c r="D81" s="6"/>
      <c r="E81" s="6"/>
      <c r="F81" s="6"/>
      <c r="G81" s="6"/>
      <c r="H81" s="6"/>
      <c r="I81" s="6"/>
      <c r="J81" s="6"/>
      <c r="K81" s="6"/>
    </row>
    <row r="82" spans="2:11">
      <c r="B82" s="6"/>
      <c r="D82" s="6"/>
      <c r="E82" s="6"/>
      <c r="F82" s="6"/>
      <c r="G82" s="6"/>
      <c r="H82" s="6"/>
      <c r="I82" s="6"/>
      <c r="J82" s="6"/>
      <c r="K82" s="6"/>
    </row>
    <row r="83" spans="2:11">
      <c r="B83" s="6"/>
      <c r="D83" s="6"/>
      <c r="E83" s="6"/>
      <c r="F83" s="6"/>
      <c r="G83" s="6"/>
      <c r="H83" s="6"/>
      <c r="I83" s="6"/>
      <c r="J83" s="6"/>
      <c r="K83" s="6"/>
    </row>
    <row r="84" spans="2:11">
      <c r="B84" s="6"/>
      <c r="D84" s="6"/>
      <c r="E84" s="6"/>
      <c r="F84" s="6"/>
      <c r="G84" s="6"/>
      <c r="H84" s="6"/>
      <c r="I84" s="6"/>
      <c r="J84" s="6"/>
      <c r="K84" s="6"/>
    </row>
    <row r="85" spans="2:11">
      <c r="B85" s="6"/>
      <c r="D85" s="6"/>
      <c r="E85" s="6"/>
      <c r="F85" s="6"/>
      <c r="G85" s="6"/>
      <c r="H85" s="6"/>
      <c r="I85" s="6"/>
      <c r="J85" s="6"/>
      <c r="K85" s="6"/>
    </row>
    <row r="86" spans="2:11">
      <c r="B86" s="6"/>
      <c r="D86" s="6"/>
      <c r="E86" s="6"/>
      <c r="F86" s="6"/>
      <c r="G86" s="6"/>
      <c r="H86" s="6"/>
      <c r="I86" s="6"/>
      <c r="J86" s="6"/>
      <c r="K86" s="6"/>
    </row>
    <row r="87" spans="2:11">
      <c r="B87" s="6"/>
      <c r="D87" s="6"/>
      <c r="E87" s="6"/>
      <c r="F87" s="6"/>
      <c r="G87" s="6"/>
      <c r="H87" s="6"/>
      <c r="I87" s="6"/>
      <c r="J87" s="6"/>
      <c r="K87" s="6"/>
    </row>
    <row r="88" spans="2:11">
      <c r="B88" s="6"/>
      <c r="D88" s="6"/>
      <c r="E88" s="6"/>
      <c r="F88" s="6"/>
      <c r="G88" s="6"/>
      <c r="H88" s="6"/>
      <c r="I88" s="6"/>
      <c r="J88" s="6"/>
      <c r="K88" s="6"/>
    </row>
    <row r="89" spans="2:11">
      <c r="B89" s="6"/>
      <c r="D89" s="6"/>
      <c r="E89" s="6"/>
      <c r="F89" s="6"/>
      <c r="G89" s="6"/>
      <c r="H89" s="6"/>
      <c r="I89" s="6"/>
      <c r="J89" s="6"/>
      <c r="K89" s="6"/>
    </row>
    <row r="90" spans="2:11">
      <c r="B90" s="6"/>
      <c r="D90" s="6"/>
      <c r="E90" s="6"/>
      <c r="F90" s="6"/>
      <c r="G90" s="6"/>
      <c r="H90" s="6"/>
      <c r="I90" s="6"/>
      <c r="J90" s="6"/>
      <c r="K90" s="6"/>
    </row>
    <row r="91" spans="2:11">
      <c r="B91" s="6"/>
      <c r="D91" s="6"/>
      <c r="E91" s="6"/>
      <c r="F91" s="6"/>
      <c r="G91" s="6"/>
      <c r="H91" s="6"/>
      <c r="I91" s="6"/>
      <c r="J91" s="6"/>
      <c r="K91" s="6"/>
    </row>
    <row r="92" spans="2:11">
      <c r="B92" s="6"/>
      <c r="D92" s="6"/>
      <c r="E92" s="6"/>
      <c r="F92" s="6"/>
      <c r="G92" s="6"/>
      <c r="H92" s="6"/>
      <c r="I92" s="6"/>
      <c r="J92" s="6"/>
      <c r="K92" s="6"/>
    </row>
    <row r="93" spans="2:11">
      <c r="B93" s="6"/>
      <c r="D93" s="6"/>
      <c r="E93" s="6"/>
      <c r="F93" s="6"/>
      <c r="G93" s="6"/>
      <c r="H93" s="6"/>
      <c r="I93" s="6"/>
      <c r="J93" s="6"/>
      <c r="K93" s="6"/>
    </row>
    <row r="94" spans="2:11">
      <c r="B94" s="6"/>
      <c r="D94" s="6"/>
      <c r="E94" s="6"/>
      <c r="F94" s="6"/>
      <c r="G94" s="6"/>
      <c r="H94" s="6"/>
      <c r="I94" s="6"/>
      <c r="J94" s="6"/>
      <c r="K94" s="6"/>
    </row>
    <row r="95" spans="2:11">
      <c r="B95" s="6"/>
      <c r="D95" s="6"/>
      <c r="E95" s="6"/>
      <c r="F95" s="6"/>
      <c r="G95" s="6"/>
      <c r="H95" s="6"/>
      <c r="I95" s="6"/>
      <c r="J95" s="6"/>
      <c r="K95" s="6"/>
    </row>
    <row r="96" spans="2:11">
      <c r="B96" s="6"/>
      <c r="D96" s="6"/>
      <c r="E96" s="6"/>
      <c r="F96" s="6"/>
      <c r="G96" s="6"/>
      <c r="H96" s="6"/>
      <c r="I96" s="6"/>
      <c r="J96" s="6"/>
      <c r="K96" s="6"/>
    </row>
    <row r="97" spans="2:11">
      <c r="B97" s="6"/>
      <c r="D97" s="6"/>
      <c r="E97" s="6"/>
      <c r="F97" s="6"/>
      <c r="G97" s="6"/>
      <c r="H97" s="6"/>
      <c r="I97" s="6"/>
      <c r="J97" s="6"/>
      <c r="K97" s="6"/>
    </row>
    <row r="98" spans="2:11">
      <c r="B98" s="6"/>
      <c r="D98" s="6"/>
      <c r="E98" s="6"/>
      <c r="F98" s="6"/>
      <c r="G98" s="6"/>
      <c r="H98" s="6"/>
      <c r="I98" s="6"/>
      <c r="J98" s="6"/>
      <c r="K98" s="6"/>
    </row>
    <row r="99" spans="2:11">
      <c r="B99" s="6"/>
      <c r="D99" s="6"/>
      <c r="E99" s="6"/>
      <c r="F99" s="6"/>
      <c r="G99" s="6"/>
      <c r="H99" s="6"/>
      <c r="I99" s="6"/>
      <c r="J99" s="6"/>
      <c r="K99" s="6"/>
    </row>
    <row r="100" spans="2:11">
      <c r="B100" s="6"/>
      <c r="D100" s="6"/>
      <c r="E100" s="6"/>
      <c r="F100" s="6"/>
      <c r="G100" s="6"/>
      <c r="H100" s="6"/>
      <c r="I100" s="6"/>
      <c r="J100" s="6"/>
      <c r="K100" s="6"/>
    </row>
    <row r="101" spans="2:11">
      <c r="B101" s="6"/>
      <c r="D101" s="6"/>
      <c r="E101" s="6"/>
      <c r="F101" s="6"/>
      <c r="G101" s="6"/>
      <c r="H101" s="6"/>
      <c r="I101" s="6"/>
      <c r="J101" s="6"/>
      <c r="K101" s="6"/>
    </row>
    <row r="102" spans="2:11">
      <c r="B102" s="6"/>
      <c r="D102" s="6"/>
      <c r="E102" s="6"/>
      <c r="F102" s="6"/>
      <c r="G102" s="6"/>
      <c r="H102" s="6"/>
      <c r="I102" s="6"/>
      <c r="J102" s="6"/>
      <c r="K102" s="6"/>
    </row>
    <row r="103" spans="2:11">
      <c r="B103" s="6"/>
      <c r="D103" s="6"/>
      <c r="E103" s="6"/>
      <c r="F103" s="6"/>
      <c r="G103" s="6"/>
      <c r="H103" s="6"/>
      <c r="I103" s="6"/>
      <c r="J103" s="6"/>
      <c r="K103" s="6"/>
    </row>
    <row r="104" spans="2:11">
      <c r="B104" s="6"/>
      <c r="D104" s="6"/>
      <c r="E104" s="6"/>
      <c r="F104" s="6"/>
      <c r="G104" s="6"/>
      <c r="H104" s="6"/>
      <c r="I104" s="6"/>
      <c r="J104" s="6"/>
      <c r="K104" s="6"/>
    </row>
    <row r="105" spans="2:11">
      <c r="B105" s="6"/>
      <c r="D105" s="6"/>
      <c r="E105" s="6"/>
      <c r="F105" s="6"/>
      <c r="G105" s="6"/>
      <c r="H105" s="6"/>
      <c r="I105" s="6"/>
      <c r="J105" s="6"/>
      <c r="K105" s="6"/>
    </row>
    <row r="106" spans="2:11">
      <c r="B106" s="6"/>
      <c r="D106" s="6"/>
      <c r="E106" s="6"/>
      <c r="F106" s="6"/>
      <c r="G106" s="6"/>
      <c r="H106" s="6"/>
      <c r="I106" s="6"/>
      <c r="J106" s="6"/>
      <c r="K106" s="6"/>
    </row>
    <row r="107" spans="2:11">
      <c r="B107" s="6"/>
      <c r="D107" s="6"/>
      <c r="E107" s="6"/>
      <c r="F107" s="6"/>
      <c r="G107" s="6"/>
      <c r="H107" s="6"/>
      <c r="I107" s="6"/>
      <c r="J107" s="6"/>
      <c r="K107" s="6"/>
    </row>
    <row r="108" spans="2:11">
      <c r="B108" s="6"/>
      <c r="D108" s="6"/>
      <c r="E108" s="6"/>
      <c r="F108" s="6"/>
      <c r="G108" s="6"/>
      <c r="H108" s="6"/>
      <c r="I108" s="6"/>
      <c r="J108" s="6"/>
      <c r="K108" s="6"/>
    </row>
    <row r="109" spans="2:11">
      <c r="B109" s="6"/>
      <c r="D109" s="6"/>
      <c r="E109" s="6"/>
      <c r="F109" s="6"/>
      <c r="G109" s="6"/>
      <c r="H109" s="6"/>
      <c r="I109" s="6"/>
      <c r="J109" s="6"/>
      <c r="K109" s="6"/>
    </row>
    <row r="110" spans="2:11">
      <c r="B110" s="6"/>
      <c r="D110" s="6"/>
      <c r="E110" s="6"/>
      <c r="F110" s="6"/>
      <c r="G110" s="6"/>
      <c r="H110" s="6"/>
      <c r="I110" s="6"/>
      <c r="J110" s="6"/>
      <c r="K110" s="6"/>
    </row>
    <row r="111" spans="2:11">
      <c r="B111" s="6"/>
      <c r="D111" s="6"/>
      <c r="E111" s="6"/>
      <c r="F111" s="6"/>
      <c r="G111" s="6"/>
      <c r="H111" s="6"/>
      <c r="I111" s="6"/>
      <c r="J111" s="6"/>
      <c r="K111" s="6"/>
    </row>
    <row r="112" spans="2:11">
      <c r="B112" s="6"/>
      <c r="D112" s="6"/>
      <c r="E112" s="6"/>
      <c r="F112" s="6"/>
      <c r="G112" s="6"/>
      <c r="H112" s="6"/>
      <c r="I112" s="6"/>
      <c r="J112" s="6"/>
      <c r="K112" s="6"/>
    </row>
    <row r="113" spans="2:11">
      <c r="B113" s="6"/>
      <c r="D113" s="6"/>
      <c r="E113" s="6"/>
      <c r="F113" s="6"/>
      <c r="G113" s="6"/>
      <c r="H113" s="6"/>
      <c r="I113" s="6"/>
      <c r="J113" s="6"/>
      <c r="K113" s="6"/>
    </row>
    <row r="114" spans="2:11">
      <c r="B114" s="6"/>
      <c r="D114" s="6"/>
      <c r="E114" s="6"/>
      <c r="F114" s="6"/>
      <c r="G114" s="6"/>
      <c r="H114" s="6"/>
      <c r="I114" s="6"/>
      <c r="J114" s="6"/>
      <c r="K114" s="6"/>
    </row>
    <row r="115" spans="2:11">
      <c r="B115" s="6"/>
      <c r="D115" s="6"/>
      <c r="E115" s="6"/>
      <c r="F115" s="6"/>
      <c r="G115" s="6"/>
      <c r="H115" s="6"/>
      <c r="I115" s="6"/>
      <c r="J115" s="6"/>
      <c r="K115" s="6"/>
    </row>
    <row r="116" spans="2:11">
      <c r="B116" s="6"/>
      <c r="D116" s="6"/>
      <c r="E116" s="6"/>
      <c r="F116" s="6"/>
      <c r="G116" s="6"/>
      <c r="H116" s="6"/>
      <c r="I116" s="6"/>
      <c r="J116" s="6"/>
      <c r="K116" s="6"/>
    </row>
    <row r="117" spans="2:11">
      <c r="B117" s="6"/>
      <c r="D117" s="6"/>
      <c r="E117" s="6"/>
      <c r="F117" s="6"/>
      <c r="G117" s="6"/>
      <c r="H117" s="6"/>
      <c r="I117" s="6"/>
      <c r="J117" s="6"/>
      <c r="K117" s="6"/>
    </row>
    <row r="118" spans="2:11">
      <c r="B118" s="6"/>
      <c r="D118" s="6"/>
      <c r="E118" s="6"/>
      <c r="F118" s="6"/>
      <c r="G118" s="6"/>
      <c r="H118" s="6"/>
      <c r="I118" s="6"/>
      <c r="J118" s="6"/>
      <c r="K118" s="6"/>
    </row>
    <row r="119" spans="2:11">
      <c r="B119" s="6"/>
      <c r="D119" s="6"/>
      <c r="E119" s="6"/>
      <c r="F119" s="6"/>
      <c r="G119" s="6"/>
      <c r="H119" s="6"/>
      <c r="I119" s="6"/>
      <c r="J119" s="6"/>
      <c r="K119" s="6"/>
    </row>
    <row r="120" spans="2:11">
      <c r="B120" s="6"/>
      <c r="D120" s="6"/>
      <c r="E120" s="6"/>
      <c r="F120" s="6"/>
      <c r="G120" s="6"/>
      <c r="H120" s="6"/>
      <c r="I120" s="6"/>
      <c r="J120" s="6"/>
      <c r="K120" s="6"/>
    </row>
    <row r="121" spans="2:11">
      <c r="B121" s="6"/>
      <c r="D121" s="6"/>
      <c r="E121" s="6"/>
      <c r="F121" s="6"/>
      <c r="G121" s="6"/>
      <c r="H121" s="6"/>
      <c r="I121" s="6"/>
      <c r="J121" s="6"/>
      <c r="K121" s="6"/>
    </row>
    <row r="122" spans="2:11">
      <c r="B122" s="6"/>
      <c r="D122" s="6"/>
      <c r="E122" s="6"/>
      <c r="F122" s="6"/>
      <c r="G122" s="6"/>
      <c r="H122" s="6"/>
      <c r="I122" s="6"/>
      <c r="J122" s="6"/>
      <c r="K122" s="6"/>
    </row>
    <row r="123" spans="2:11">
      <c r="B123" s="6"/>
      <c r="D123" s="6"/>
      <c r="E123" s="6"/>
      <c r="F123" s="6"/>
      <c r="G123" s="6"/>
      <c r="H123" s="6"/>
      <c r="I123" s="6"/>
      <c r="J123" s="6"/>
      <c r="K123" s="6"/>
    </row>
    <row r="124" spans="2:11">
      <c r="B124" s="6"/>
      <c r="D124" s="6"/>
      <c r="E124" s="6"/>
      <c r="F124" s="6"/>
      <c r="G124" s="6"/>
      <c r="H124" s="6"/>
      <c r="I124" s="6"/>
      <c r="J124" s="6"/>
      <c r="K124" s="6"/>
    </row>
    <row r="125" spans="2:11">
      <c r="B125" s="6"/>
      <c r="D125" s="6"/>
      <c r="E125" s="6"/>
      <c r="F125" s="6"/>
      <c r="G125" s="6"/>
      <c r="H125" s="6"/>
      <c r="I125" s="6"/>
      <c r="J125" s="6"/>
      <c r="K125" s="6"/>
    </row>
    <row r="126" spans="2:11">
      <c r="B126" s="6"/>
      <c r="D126" s="6"/>
      <c r="E126" s="6"/>
      <c r="F126" s="6"/>
      <c r="G126" s="6"/>
      <c r="H126" s="6"/>
      <c r="I126" s="6"/>
      <c r="J126" s="6"/>
      <c r="K126" s="6"/>
    </row>
    <row r="127" spans="2:11">
      <c r="B127" s="6"/>
      <c r="D127" s="6"/>
      <c r="E127" s="6"/>
      <c r="F127" s="6"/>
      <c r="G127" s="6"/>
      <c r="H127" s="6"/>
      <c r="I127" s="6"/>
      <c r="J127" s="6"/>
      <c r="K127" s="6"/>
    </row>
    <row r="128" spans="2:11">
      <c r="B128" s="6"/>
      <c r="D128" s="6"/>
      <c r="E128" s="6"/>
      <c r="F128" s="6"/>
      <c r="G128" s="6"/>
      <c r="H128" s="6"/>
      <c r="I128" s="6"/>
      <c r="J128" s="6"/>
      <c r="K128" s="6"/>
    </row>
    <row r="129" spans="2:11">
      <c r="B129" s="6"/>
      <c r="D129" s="6"/>
      <c r="E129" s="6"/>
      <c r="F129" s="6"/>
      <c r="G129" s="6"/>
      <c r="H129" s="6"/>
      <c r="I129" s="6"/>
      <c r="J129" s="6"/>
      <c r="K129" s="6"/>
    </row>
    <row r="130" spans="2:11">
      <c r="B130" s="6"/>
      <c r="D130" s="6"/>
      <c r="E130" s="6"/>
      <c r="F130" s="6"/>
      <c r="G130" s="6"/>
      <c r="H130" s="6"/>
      <c r="I130" s="6"/>
      <c r="J130" s="6"/>
      <c r="K130" s="6"/>
    </row>
    <row r="131" spans="2:11">
      <c r="B131" s="6"/>
      <c r="D131" s="6"/>
      <c r="E131" s="6"/>
      <c r="F131" s="6"/>
      <c r="G131" s="6"/>
      <c r="H131" s="6"/>
      <c r="I131" s="6"/>
      <c r="J131" s="6"/>
      <c r="K131" s="6"/>
    </row>
    <row r="132" spans="2:11">
      <c r="B132" s="6"/>
      <c r="D132" s="6"/>
      <c r="E132" s="6"/>
      <c r="F132" s="6"/>
      <c r="G132" s="6"/>
      <c r="H132" s="6"/>
      <c r="I132" s="6"/>
      <c r="J132" s="6"/>
      <c r="K132" s="6"/>
    </row>
    <row r="133" spans="2:11">
      <c r="B133" s="6"/>
      <c r="D133" s="6"/>
      <c r="E133" s="6"/>
      <c r="F133" s="6"/>
      <c r="G133" s="6"/>
      <c r="H133" s="6"/>
      <c r="I133" s="6"/>
      <c r="J133" s="6"/>
      <c r="K133" s="6"/>
    </row>
    <row r="134" spans="2:11">
      <c r="B134" s="6"/>
      <c r="D134" s="6"/>
      <c r="E134" s="6"/>
      <c r="F134" s="6"/>
      <c r="G134" s="6"/>
      <c r="H134" s="6"/>
      <c r="I134" s="6"/>
      <c r="J134" s="6"/>
      <c r="K134" s="6"/>
    </row>
    <row r="135" spans="2:11">
      <c r="B135" s="6"/>
      <c r="D135" s="6"/>
      <c r="E135" s="6"/>
      <c r="F135" s="6"/>
      <c r="G135" s="6"/>
      <c r="H135" s="6"/>
      <c r="I135" s="6"/>
      <c r="J135" s="6"/>
      <c r="K135" s="6"/>
    </row>
    <row r="136" spans="2:11">
      <c r="B136" s="6"/>
      <c r="D136" s="6"/>
      <c r="E136" s="6"/>
      <c r="F136" s="6"/>
      <c r="G136" s="6"/>
      <c r="H136" s="6"/>
      <c r="I136" s="6"/>
      <c r="J136" s="6"/>
      <c r="K136" s="6"/>
    </row>
    <row r="137" spans="2:11">
      <c r="B137" s="6"/>
      <c r="D137" s="6"/>
      <c r="E137" s="6"/>
      <c r="F137" s="6"/>
      <c r="G137" s="6"/>
      <c r="H137" s="6"/>
      <c r="I137" s="6"/>
      <c r="J137" s="6"/>
      <c r="K137" s="6"/>
    </row>
    <row r="138" spans="2:11">
      <c r="B138" s="6"/>
      <c r="D138" s="6"/>
      <c r="E138" s="6"/>
      <c r="F138" s="6"/>
      <c r="G138" s="6"/>
      <c r="H138" s="6"/>
      <c r="I138" s="6"/>
      <c r="J138" s="6"/>
      <c r="K138" s="6"/>
    </row>
    <row r="139" spans="2:11">
      <c r="B139" s="6"/>
      <c r="D139" s="6"/>
      <c r="E139" s="6"/>
      <c r="F139" s="6"/>
      <c r="G139" s="6"/>
      <c r="H139" s="6"/>
      <c r="I139" s="6"/>
      <c r="J139" s="6"/>
      <c r="K139" s="6"/>
    </row>
    <row r="140" spans="2:11">
      <c r="B140" s="6"/>
      <c r="D140" s="6"/>
      <c r="E140" s="6"/>
      <c r="F140" s="6"/>
      <c r="G140" s="6"/>
      <c r="H140" s="6"/>
      <c r="I140" s="6"/>
      <c r="J140" s="6"/>
      <c r="K140" s="6"/>
    </row>
    <row r="141" spans="2:11">
      <c r="B141" s="6"/>
      <c r="D141" s="6"/>
      <c r="E141" s="6"/>
      <c r="F141" s="6"/>
      <c r="G141" s="6"/>
      <c r="H141" s="6"/>
      <c r="I141" s="6"/>
      <c r="J141" s="6"/>
      <c r="K141" s="6"/>
    </row>
    <row r="142" spans="2:11">
      <c r="B142" s="6"/>
      <c r="D142" s="6"/>
      <c r="E142" s="6"/>
      <c r="F142" s="6"/>
      <c r="G142" s="6"/>
      <c r="H142" s="6"/>
      <c r="I142" s="6"/>
      <c r="J142" s="6"/>
      <c r="K142" s="6"/>
    </row>
    <row r="143" spans="2:11">
      <c r="B143" s="6"/>
      <c r="D143" s="6"/>
      <c r="E143" s="6"/>
      <c r="F143" s="6"/>
      <c r="G143" s="6"/>
      <c r="H143" s="6"/>
      <c r="I143" s="6"/>
      <c r="J143" s="6"/>
      <c r="K143" s="6"/>
    </row>
    <row r="144" spans="2:11">
      <c r="B144" s="6"/>
      <c r="D144" s="6"/>
      <c r="E144" s="6"/>
      <c r="F144" s="6"/>
      <c r="G144" s="6"/>
      <c r="H144" s="6"/>
      <c r="I144" s="6"/>
      <c r="J144" s="6"/>
      <c r="K144" s="6"/>
    </row>
    <row r="145" spans="2:11">
      <c r="B145" s="6"/>
      <c r="D145" s="6"/>
      <c r="E145" s="6"/>
      <c r="F145" s="6"/>
      <c r="G145" s="6"/>
      <c r="H145" s="6"/>
      <c r="I145" s="6"/>
      <c r="J145" s="6"/>
      <c r="K145" s="6"/>
    </row>
    <row r="146" spans="2:11">
      <c r="B146" s="6"/>
      <c r="D146" s="6"/>
      <c r="E146" s="6"/>
      <c r="F146" s="6"/>
      <c r="G146" s="6"/>
      <c r="H146" s="6"/>
      <c r="I146" s="6"/>
      <c r="J146" s="6"/>
      <c r="K146" s="6"/>
    </row>
    <row r="147" spans="2:11">
      <c r="B147" s="6"/>
      <c r="D147" s="6"/>
      <c r="E147" s="6"/>
      <c r="F147" s="6"/>
      <c r="G147" s="6"/>
      <c r="H147" s="6"/>
      <c r="I147" s="6"/>
      <c r="J147" s="6"/>
      <c r="K147" s="6"/>
    </row>
    <row r="148" spans="2:11">
      <c r="B148" s="6"/>
      <c r="D148" s="6"/>
      <c r="E148" s="6"/>
      <c r="F148" s="6"/>
      <c r="G148" s="6"/>
      <c r="H148" s="6"/>
      <c r="I148" s="6"/>
      <c r="J148" s="6"/>
      <c r="K148" s="6"/>
    </row>
    <row r="149" spans="2:11">
      <c r="B149" s="6"/>
      <c r="D149" s="6"/>
      <c r="E149" s="6"/>
      <c r="F149" s="6"/>
      <c r="G149" s="6"/>
      <c r="H149" s="6"/>
      <c r="I149" s="6"/>
      <c r="J149" s="6"/>
      <c r="K149" s="6"/>
    </row>
    <row r="150" spans="2:11">
      <c r="B150" s="6"/>
      <c r="D150" s="6"/>
      <c r="E150" s="6"/>
      <c r="F150" s="6"/>
      <c r="G150" s="6"/>
      <c r="H150" s="6"/>
      <c r="I150" s="6"/>
      <c r="J150" s="6"/>
      <c r="K150" s="6"/>
    </row>
    <row r="151" spans="2:11">
      <c r="B151" s="6"/>
      <c r="D151" s="6"/>
      <c r="E151" s="6"/>
      <c r="F151" s="6"/>
      <c r="G151" s="6"/>
      <c r="H151" s="6"/>
      <c r="I151" s="6"/>
      <c r="J151" s="6"/>
      <c r="K151" s="6"/>
    </row>
    <row r="152" spans="2:11">
      <c r="B152" s="6"/>
      <c r="D152" s="6"/>
      <c r="E152" s="6"/>
      <c r="F152" s="6"/>
      <c r="G152" s="6"/>
      <c r="H152" s="6"/>
      <c r="I152" s="6"/>
      <c r="J152" s="6"/>
      <c r="K152" s="6"/>
    </row>
    <row r="153" spans="2:11">
      <c r="B153" s="6"/>
      <c r="D153" s="6"/>
      <c r="E153" s="6"/>
      <c r="F153" s="6"/>
      <c r="G153" s="6"/>
      <c r="H153" s="6"/>
      <c r="I153" s="6"/>
      <c r="J153" s="6"/>
      <c r="K153" s="6"/>
    </row>
    <row r="154" spans="2:11">
      <c r="B154" s="6"/>
      <c r="D154" s="6"/>
      <c r="E154" s="6"/>
      <c r="F154" s="6"/>
      <c r="G154" s="6"/>
      <c r="H154" s="6"/>
      <c r="I154" s="6"/>
      <c r="J154" s="6"/>
      <c r="K154" s="6"/>
    </row>
    <row r="155" spans="2:11">
      <c r="B155" s="6"/>
      <c r="D155" s="6"/>
      <c r="E155" s="6"/>
      <c r="F155" s="6"/>
      <c r="G155" s="6"/>
      <c r="H155" s="6"/>
      <c r="I155" s="6"/>
      <c r="J155" s="6"/>
      <c r="K155" s="6"/>
    </row>
    <row r="156" spans="2:11">
      <c r="B156" s="6"/>
      <c r="D156" s="6"/>
      <c r="E156" s="6"/>
      <c r="F156" s="6"/>
      <c r="G156" s="6"/>
      <c r="H156" s="6"/>
      <c r="I156" s="6"/>
      <c r="J156" s="6"/>
      <c r="K156" s="6"/>
    </row>
    <row r="157" spans="2:11">
      <c r="B157" s="6"/>
      <c r="D157" s="6"/>
      <c r="E157" s="6"/>
      <c r="F157" s="6"/>
      <c r="G157" s="6"/>
      <c r="H157" s="6"/>
      <c r="I157" s="6"/>
      <c r="J157" s="6"/>
      <c r="K157" s="6"/>
    </row>
    <row r="158" spans="2:11">
      <c r="B158" s="6"/>
      <c r="D158" s="6"/>
      <c r="E158" s="6"/>
      <c r="F158" s="6"/>
      <c r="G158" s="6"/>
      <c r="H158" s="6"/>
      <c r="I158" s="6"/>
      <c r="J158" s="6"/>
      <c r="K158" s="6"/>
    </row>
    <row r="159" spans="2:11">
      <c r="B159" s="6"/>
      <c r="D159" s="6"/>
      <c r="E159" s="6"/>
      <c r="F159" s="6"/>
      <c r="G159" s="6"/>
      <c r="H159" s="6"/>
      <c r="I159" s="6"/>
      <c r="J159" s="6"/>
      <c r="K159" s="6"/>
    </row>
    <row r="160" spans="2:11">
      <c r="B160" s="6"/>
      <c r="D160" s="6"/>
      <c r="E160" s="6"/>
      <c r="F160" s="6"/>
      <c r="G160" s="6"/>
      <c r="H160" s="6"/>
      <c r="I160" s="6"/>
      <c r="J160" s="6"/>
      <c r="K160" s="6"/>
    </row>
    <row r="161" spans="2:11">
      <c r="B161" s="6"/>
      <c r="D161" s="6"/>
      <c r="E161" s="6"/>
      <c r="F161" s="6"/>
      <c r="G161" s="6"/>
      <c r="H161" s="6"/>
      <c r="I161" s="6"/>
      <c r="J161" s="6"/>
      <c r="K161" s="6"/>
    </row>
    <row r="162" spans="2:11">
      <c r="B162" s="6"/>
      <c r="D162" s="6"/>
      <c r="E162" s="6"/>
      <c r="F162" s="6"/>
      <c r="G162" s="6"/>
      <c r="H162" s="6"/>
      <c r="I162" s="6"/>
      <c r="J162" s="6"/>
      <c r="K162" s="6"/>
    </row>
    <row r="163" spans="2:11">
      <c r="B163" s="6"/>
      <c r="D163" s="6"/>
      <c r="E163" s="6"/>
      <c r="F163" s="6"/>
      <c r="G163" s="6"/>
      <c r="H163" s="6"/>
      <c r="I163" s="6"/>
      <c r="J163" s="6"/>
      <c r="K163" s="6"/>
    </row>
    <row r="164" spans="2:11">
      <c r="B164" s="6"/>
      <c r="D164" s="6"/>
      <c r="E164" s="6"/>
      <c r="F164" s="6"/>
      <c r="G164" s="6"/>
      <c r="H164" s="6"/>
      <c r="I164" s="6"/>
      <c r="J164" s="6"/>
      <c r="K164" s="6"/>
    </row>
    <row r="165" spans="2:11">
      <c r="B165" s="6"/>
      <c r="D165" s="6"/>
      <c r="E165" s="6"/>
      <c r="F165" s="6"/>
      <c r="G165" s="6"/>
      <c r="H165" s="6"/>
      <c r="I165" s="6"/>
      <c r="J165" s="6"/>
      <c r="K165" s="6"/>
    </row>
    <row r="166" spans="2:11">
      <c r="B166" s="6"/>
      <c r="D166" s="6"/>
      <c r="E166" s="6"/>
      <c r="F166" s="6"/>
      <c r="G166" s="6"/>
      <c r="H166" s="6"/>
      <c r="I166" s="6"/>
      <c r="J166" s="6"/>
      <c r="K166" s="6"/>
    </row>
    <row r="167" spans="2:11">
      <c r="B167" s="6"/>
      <c r="D167" s="6"/>
      <c r="E167" s="6"/>
      <c r="F167" s="6"/>
      <c r="G167" s="6"/>
      <c r="H167" s="6"/>
      <c r="I167" s="6"/>
      <c r="J167" s="6"/>
      <c r="K167" s="6"/>
    </row>
    <row r="168" spans="2:11">
      <c r="B168" s="6"/>
      <c r="D168" s="6"/>
      <c r="E168" s="6"/>
      <c r="F168" s="6"/>
      <c r="G168" s="6"/>
      <c r="H168" s="6"/>
      <c r="I168" s="6"/>
      <c r="J168" s="6"/>
      <c r="K168" s="6"/>
    </row>
    <row r="169" spans="2:11">
      <c r="B169" s="6"/>
      <c r="D169" s="6"/>
      <c r="E169" s="6"/>
      <c r="F169" s="6"/>
      <c r="G169" s="6"/>
      <c r="H169" s="6"/>
      <c r="I169" s="6"/>
      <c r="J169" s="6"/>
      <c r="K169" s="6"/>
    </row>
    <row r="170" spans="2:11">
      <c r="B170" s="6"/>
      <c r="D170" s="6"/>
      <c r="E170" s="6"/>
      <c r="F170" s="6"/>
      <c r="G170" s="6"/>
      <c r="H170" s="6"/>
      <c r="I170" s="6"/>
      <c r="J170" s="6"/>
      <c r="K170" s="6"/>
    </row>
    <row r="171" spans="2:11">
      <c r="B171" s="6"/>
      <c r="D171" s="6"/>
      <c r="E171" s="6"/>
      <c r="F171" s="6"/>
      <c r="G171" s="6"/>
      <c r="H171" s="6"/>
      <c r="I171" s="6"/>
      <c r="J171" s="6"/>
      <c r="K171" s="6"/>
    </row>
    <row r="172" spans="2:11">
      <c r="B172" s="6"/>
      <c r="D172" s="6"/>
      <c r="E172" s="6"/>
      <c r="F172" s="6"/>
      <c r="G172" s="6"/>
      <c r="H172" s="6"/>
      <c r="I172" s="6"/>
      <c r="J172" s="6"/>
      <c r="K172" s="6"/>
    </row>
    <row r="173" spans="2:11">
      <c r="B173" s="6"/>
      <c r="D173" s="6"/>
      <c r="E173" s="6"/>
      <c r="F173" s="6"/>
      <c r="G173" s="6"/>
      <c r="H173" s="6"/>
      <c r="I173" s="6"/>
      <c r="J173" s="6"/>
      <c r="K173" s="6"/>
    </row>
    <row r="174" spans="2:11">
      <c r="B174" s="6"/>
      <c r="D174" s="6"/>
      <c r="E174" s="6"/>
      <c r="F174" s="6"/>
      <c r="G174" s="6"/>
      <c r="H174" s="6"/>
      <c r="I174" s="6"/>
      <c r="J174" s="6"/>
      <c r="K174" s="6"/>
    </row>
    <row r="175" spans="2:11">
      <c r="B175" s="6"/>
      <c r="D175" s="6"/>
      <c r="E175" s="6"/>
      <c r="F175" s="6"/>
      <c r="G175" s="6"/>
      <c r="H175" s="6"/>
      <c r="I175" s="6"/>
      <c r="J175" s="6"/>
      <c r="K175" s="6"/>
    </row>
    <row r="176" spans="2:11">
      <c r="B176" s="6"/>
      <c r="D176" s="6"/>
      <c r="E176" s="6"/>
      <c r="F176" s="6"/>
      <c r="G176" s="6"/>
      <c r="H176" s="6"/>
      <c r="I176" s="6"/>
      <c r="J176" s="6"/>
      <c r="K176" s="6"/>
    </row>
    <row r="177" spans="2:11">
      <c r="B177" s="6"/>
      <c r="D177" s="6"/>
      <c r="E177" s="6"/>
      <c r="F177" s="6"/>
      <c r="G177" s="6"/>
      <c r="H177" s="6"/>
      <c r="I177" s="6"/>
      <c r="J177" s="6"/>
      <c r="K177" s="6"/>
    </row>
    <row r="178" spans="2:11">
      <c r="B178" s="6"/>
      <c r="D178" s="6"/>
      <c r="E178" s="6"/>
      <c r="F178" s="6"/>
      <c r="G178" s="6"/>
      <c r="H178" s="6"/>
      <c r="I178" s="6"/>
      <c r="J178" s="6"/>
      <c r="K178" s="6"/>
    </row>
    <row r="179" spans="2:11">
      <c r="B179" s="6"/>
      <c r="D179" s="6"/>
      <c r="E179" s="6"/>
      <c r="F179" s="6"/>
      <c r="G179" s="6"/>
      <c r="H179" s="6"/>
      <c r="I179" s="6"/>
      <c r="J179" s="6"/>
      <c r="K179" s="6"/>
    </row>
  </sheetData>
  <sheetProtection sheet="1" objects="1" scenarios="1"/>
  <mergeCells count="23">
    <mergeCell ref="B54:B59"/>
    <mergeCell ref="B61:B65"/>
    <mergeCell ref="B66:B73"/>
    <mergeCell ref="B15:B21"/>
    <mergeCell ref="D15:I15"/>
    <mergeCell ref="D16:I16"/>
    <mergeCell ref="D22:I22"/>
    <mergeCell ref="D23:I23"/>
    <mergeCell ref="B25:E25"/>
    <mergeCell ref="B26:B32"/>
    <mergeCell ref="B34:E34"/>
    <mergeCell ref="B35:B41"/>
    <mergeCell ref="B48:E49"/>
    <mergeCell ref="B10:D10"/>
    <mergeCell ref="F10:S10"/>
    <mergeCell ref="F11:S11"/>
    <mergeCell ref="E12:R12"/>
    <mergeCell ref="E13:R13"/>
    <mergeCell ref="A1:P1"/>
    <mergeCell ref="A2:P2"/>
    <mergeCell ref="A3:P3"/>
    <mergeCell ref="A4:D4"/>
    <mergeCell ref="A5:P5"/>
  </mergeCells>
  <conditionalFormatting sqref="F10">
    <cfRule type="notContainsBlanks" dxfId="33" priority="4">
      <formula>LEN(TRIM(F10))&gt;0</formula>
    </cfRule>
  </conditionalFormatting>
  <conditionalFormatting sqref="F11:S11">
    <cfRule type="expression" dxfId="32" priority="2">
      <formula>E11="NO SE REPORTA"</formula>
    </cfRule>
    <cfRule type="expression" dxfId="31" priority="3">
      <formula>E10="NO APLICA"</formula>
    </cfRule>
  </conditionalFormatting>
  <conditionalFormatting sqref="E12:R12">
    <cfRule type="expression" dxfId="30" priority="1">
      <formula>E11="SI SE REPORTA"</formula>
    </cfRule>
  </conditionalFormatting>
  <dataValidations count="3">
    <dataValidation type="whole" operator="greaterThanOrEqual" allowBlank="1" showErrorMessage="1" errorTitle="ERROR" error="Escriba un número igual o mayor que 0" promptTitle="ERROR" prompt="Escriba un número igual o mayor que 0" sqref="E18:H20">
      <formula1>0</formula1>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3"/>
  <sheetViews>
    <sheetView zoomScale="115" zoomScaleNormal="115" zoomScaleSheetLayoutView="100" workbookViewId="0">
      <selection activeCell="D8" sqref="D8"/>
    </sheetView>
  </sheetViews>
  <sheetFormatPr baseColWidth="10" defaultRowHeight="12.75"/>
  <cols>
    <col min="1" max="1" width="47.42578125" style="555" customWidth="1"/>
    <col min="2" max="2" width="84.140625" style="555" customWidth="1"/>
    <col min="3" max="16384" width="11.42578125" style="555"/>
  </cols>
  <sheetData>
    <row r="1" spans="1:2" ht="130.5" customHeight="1" thickBot="1">
      <c r="A1" s="1339"/>
      <c r="B1" s="1339"/>
    </row>
    <row r="2" spans="1:2" ht="27" customHeight="1" thickBot="1">
      <c r="A2" s="1340" t="s">
        <v>1285</v>
      </c>
      <c r="B2" s="1341"/>
    </row>
    <row r="3" spans="1:2" ht="24.75" customHeight="1" thickBot="1">
      <c r="A3" s="1342" t="s">
        <v>1286</v>
      </c>
      <c r="B3" s="1343"/>
    </row>
    <row r="4" spans="1:2">
      <c r="A4" s="556" t="s">
        <v>1287</v>
      </c>
      <c r="B4" s="556" t="s">
        <v>1288</v>
      </c>
    </row>
    <row r="5" spans="1:2" ht="36">
      <c r="A5" s="557" t="s">
        <v>1289</v>
      </c>
      <c r="B5" s="558" t="s">
        <v>1290</v>
      </c>
    </row>
    <row r="6" spans="1:2" ht="34.5" customHeight="1">
      <c r="A6" s="557" t="s">
        <v>1291</v>
      </c>
      <c r="B6" s="558" t="s">
        <v>1292</v>
      </c>
    </row>
    <row r="7" spans="1:2" ht="24" customHeight="1">
      <c r="A7" s="557" t="s">
        <v>1293</v>
      </c>
      <c r="B7" s="558" t="s">
        <v>1294</v>
      </c>
    </row>
    <row r="8" spans="1:2" ht="32.25" customHeight="1">
      <c r="A8" s="557" t="s">
        <v>1295</v>
      </c>
      <c r="B8" s="558" t="s">
        <v>1296</v>
      </c>
    </row>
    <row r="9" spans="1:2" ht="49.5" customHeight="1">
      <c r="A9" s="557" t="s">
        <v>1297</v>
      </c>
      <c r="B9" s="558" t="s">
        <v>1298</v>
      </c>
    </row>
    <row r="10" spans="1:2" ht="21" customHeight="1">
      <c r="A10" s="557" t="s">
        <v>1299</v>
      </c>
      <c r="B10" s="558" t="s">
        <v>1300</v>
      </c>
    </row>
    <row r="11" spans="1:2" ht="40.5" customHeight="1">
      <c r="A11" s="557" t="s">
        <v>1301</v>
      </c>
      <c r="B11" s="558" t="s">
        <v>1302</v>
      </c>
    </row>
    <row r="12" spans="1:2" ht="21.75" customHeight="1">
      <c r="A12" s="557" t="s">
        <v>1303</v>
      </c>
      <c r="B12" s="558" t="s">
        <v>1304</v>
      </c>
    </row>
    <row r="13" spans="1:2" ht="21.75" customHeight="1">
      <c r="A13" s="557" t="s">
        <v>1305</v>
      </c>
      <c r="B13" s="558" t="s">
        <v>1306</v>
      </c>
    </row>
    <row r="14" spans="1:2" ht="21" customHeight="1">
      <c r="A14" s="557" t="s">
        <v>1307</v>
      </c>
      <c r="B14" s="558" t="s">
        <v>1308</v>
      </c>
    </row>
    <row r="15" spans="1:2" ht="24.75" customHeight="1">
      <c r="A15" s="557" t="s">
        <v>1309</v>
      </c>
      <c r="B15" s="558" t="s">
        <v>1310</v>
      </c>
    </row>
    <row r="16" spans="1:2" ht="22.5" customHeight="1">
      <c r="A16" s="557" t="s">
        <v>1311</v>
      </c>
      <c r="B16" s="558" t="s">
        <v>1312</v>
      </c>
    </row>
    <row r="17" spans="1:2" ht="39" customHeight="1">
      <c r="A17" s="557" t="s">
        <v>1313</v>
      </c>
      <c r="B17" s="558" t="s">
        <v>1314</v>
      </c>
    </row>
    <row r="18" spans="1:2" ht="22.5" customHeight="1">
      <c r="A18" s="557" t="s">
        <v>1315</v>
      </c>
      <c r="B18" s="558" t="s">
        <v>1316</v>
      </c>
    </row>
    <row r="19" spans="1:2" ht="21.75" customHeight="1">
      <c r="A19" s="557" t="s">
        <v>1317</v>
      </c>
      <c r="B19" s="558" t="s">
        <v>1318</v>
      </c>
    </row>
    <row r="20" spans="1:2" ht="25.5" customHeight="1">
      <c r="A20" s="557" t="s">
        <v>1319</v>
      </c>
      <c r="B20" s="558" t="s">
        <v>1320</v>
      </c>
    </row>
    <row r="21" spans="1:2" ht="25.5" customHeight="1">
      <c r="A21" s="557" t="s">
        <v>1321</v>
      </c>
      <c r="B21" s="558" t="s">
        <v>1322</v>
      </c>
    </row>
    <row r="22" spans="1:2" ht="21" customHeight="1">
      <c r="A22" s="557" t="s">
        <v>1323</v>
      </c>
      <c r="B22" s="558" t="s">
        <v>1324</v>
      </c>
    </row>
    <row r="23" spans="1:2" ht="98.25" customHeight="1" thickBot="1">
      <c r="A23" s="559" t="s">
        <v>1325</v>
      </c>
      <c r="B23" s="560" t="s">
        <v>1326</v>
      </c>
    </row>
  </sheetData>
  <mergeCells count="3">
    <mergeCell ref="A1:B1"/>
    <mergeCell ref="A2:B2"/>
    <mergeCell ref="A3:B3"/>
  </mergeCells>
  <printOptions horizontalCentered="1" verticalCentered="1"/>
  <pageMargins left="0.78740157480314965" right="0.78740157480314965" top="0.98425196850393704" bottom="0.98425196850393704" header="0" footer="0"/>
  <pageSetup scale="70" orientation="landscape" horizontalDpi="300" verticalDpi="300"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1"/>
  <sheetViews>
    <sheetView showGridLines="0" zoomScale="98" zoomScaleNormal="98" workbookViewId="0">
      <selection activeCell="A5" sqref="A5:P5"/>
    </sheetView>
  </sheetViews>
  <sheetFormatPr baseColWidth="10" defaultRowHeight="15"/>
  <cols>
    <col min="1" max="1" width="1.85546875" customWidth="1"/>
    <col min="2" max="2" width="12.85546875" customWidth="1"/>
    <col min="3" max="3" width="5" style="88" bestFit="1" customWidth="1"/>
    <col min="4" max="4" width="34.85546875" customWidth="1"/>
    <col min="5" max="5" width="12.140625" customWidth="1"/>
  </cols>
  <sheetData>
    <row r="1" spans="1:21" s="551" customFormat="1" ht="100.5" customHeight="1" thickBot="1">
      <c r="A1" s="1344"/>
      <c r="B1" s="1345"/>
      <c r="C1" s="1345"/>
      <c r="D1" s="1345"/>
      <c r="E1" s="1345"/>
      <c r="F1" s="1345"/>
      <c r="G1" s="1345"/>
      <c r="H1" s="1345"/>
      <c r="I1" s="1345"/>
      <c r="J1" s="1345"/>
      <c r="K1" s="1345"/>
      <c r="L1" s="1345"/>
      <c r="M1" s="1345"/>
      <c r="N1" s="1345"/>
      <c r="O1" s="1345"/>
      <c r="P1" s="1346"/>
      <c r="Q1" s="413"/>
      <c r="R1" s="413"/>
    </row>
    <row r="2" spans="1:21" s="552" customFormat="1" ht="16.5" thickBot="1">
      <c r="A2" s="1352" t="str">
        <f>'Datos Generales'!C5</f>
        <v>Corporación Autónoma Regional de La Guajira – CORPOGUAJIRA</v>
      </c>
      <c r="B2" s="1353"/>
      <c r="C2" s="1353"/>
      <c r="D2" s="1353"/>
      <c r="E2" s="1353"/>
      <c r="F2" s="1353"/>
      <c r="G2" s="1353"/>
      <c r="H2" s="1353"/>
      <c r="I2" s="1353"/>
      <c r="J2" s="1353"/>
      <c r="K2" s="1353"/>
      <c r="L2" s="1353"/>
      <c r="M2" s="1353"/>
      <c r="N2" s="1353"/>
      <c r="O2" s="1353"/>
      <c r="P2" s="1354"/>
      <c r="Q2" s="413"/>
      <c r="R2" s="413"/>
    </row>
    <row r="3" spans="1:21" s="552" customFormat="1" ht="16.5" thickBot="1">
      <c r="A3" s="1347" t="s">
        <v>1419</v>
      </c>
      <c r="B3" s="1348"/>
      <c r="C3" s="1348"/>
      <c r="D3" s="1348"/>
      <c r="E3" s="1348"/>
      <c r="F3" s="1348"/>
      <c r="G3" s="1348"/>
      <c r="H3" s="1348"/>
      <c r="I3" s="1348"/>
      <c r="J3" s="1348"/>
      <c r="K3" s="1348"/>
      <c r="L3" s="1348"/>
      <c r="M3" s="1348"/>
      <c r="N3" s="1348"/>
      <c r="O3" s="1348"/>
      <c r="P3" s="1349"/>
      <c r="Q3" s="413"/>
      <c r="R3" s="413"/>
    </row>
    <row r="4" spans="1:21" s="552" customFormat="1" ht="16.5" thickBot="1">
      <c r="A4" s="1350" t="s">
        <v>1418</v>
      </c>
      <c r="B4" s="1351"/>
      <c r="C4" s="1351"/>
      <c r="D4" s="1351"/>
      <c r="E4" s="571" t="str">
        <f>'Datos Generales'!C6</f>
        <v>2016-II</v>
      </c>
      <c r="F4" s="571"/>
      <c r="G4" s="571"/>
      <c r="H4" s="571"/>
      <c r="I4" s="571"/>
      <c r="J4" s="571"/>
      <c r="K4" s="571"/>
      <c r="L4" s="572"/>
      <c r="M4" s="572"/>
      <c r="N4" s="572"/>
      <c r="O4" s="572"/>
      <c r="P4" s="573"/>
      <c r="Q4" s="413"/>
      <c r="R4" s="413"/>
    </row>
    <row r="5" spans="1:21" s="245" customFormat="1" ht="16.5" customHeight="1" thickBot="1">
      <c r="A5" s="1347" t="s">
        <v>984</v>
      </c>
      <c r="B5" s="1348"/>
      <c r="C5" s="1348"/>
      <c r="D5" s="1348"/>
      <c r="E5" s="1348"/>
      <c r="F5" s="1348"/>
      <c r="G5" s="1348"/>
      <c r="H5" s="1348"/>
      <c r="I5" s="1348"/>
      <c r="J5" s="1348"/>
      <c r="K5" s="1348"/>
      <c r="L5" s="1348"/>
      <c r="M5" s="1348"/>
      <c r="N5" s="1348"/>
      <c r="O5" s="1348"/>
      <c r="P5" s="1349"/>
    </row>
    <row r="6" spans="1:21" ht="15.75" thickBot="1">
      <c r="B6" s="249" t="s">
        <v>1</v>
      </c>
      <c r="C6" s="77"/>
      <c r="D6" s="6"/>
      <c r="E6" s="75"/>
      <c r="F6" s="6" t="s">
        <v>133</v>
      </c>
      <c r="G6" s="6"/>
      <c r="H6" s="6"/>
      <c r="I6" s="6"/>
      <c r="J6" s="6"/>
      <c r="K6" s="6"/>
    </row>
    <row r="7" spans="1:21" ht="15.75" thickBot="1">
      <c r="B7" s="261" t="s">
        <v>1204</v>
      </c>
      <c r="C7" s="222">
        <v>2017</v>
      </c>
      <c r="D7" s="224">
        <f>IF(E9="NO APLICA","NO APLICA",IF(E10="NO SE REPORTA","SIN INFORMACION",+F17))</f>
        <v>0.8666666666666667</v>
      </c>
      <c r="E7" s="241"/>
      <c r="F7" s="6" t="s">
        <v>134</v>
      </c>
      <c r="G7" s="6"/>
      <c r="H7" s="6"/>
      <c r="I7" s="6"/>
      <c r="J7" s="6"/>
      <c r="K7" s="6"/>
    </row>
    <row r="8" spans="1:21">
      <c r="B8" s="507" t="s">
        <v>1205</v>
      </c>
      <c r="E8" s="223"/>
      <c r="F8" s="6" t="s">
        <v>135</v>
      </c>
      <c r="G8" s="6"/>
      <c r="H8" s="6"/>
      <c r="I8" s="6"/>
      <c r="J8" s="6"/>
      <c r="K8" s="6"/>
    </row>
    <row r="9" spans="1:21" s="413" customFormat="1">
      <c r="A9" s="245"/>
      <c r="B9" s="1412" t="s">
        <v>1265</v>
      </c>
      <c r="C9" s="1412"/>
      <c r="D9" s="1412"/>
      <c r="E9" s="513" t="s">
        <v>1262</v>
      </c>
      <c r="F9" s="1419" t="str">
        <f>IF(E9="NO APLICA","      ESCRIBA EL NÚMERO DEL ACUERDO DEL CONSEJO DIRECTIVO EN EL CUAL DECIDE LA NO PROCEDENCIA DE LA APLICACIÓN DEL INDICADOR",IF(E10="NO SE REPORTA","      ESCRIBA EL NÚMERO DEL ACUERDO DEL CONSEJO DIRECTIVO EN LA CUAL SE APRUEBA LA AGENDA DE IMPLEMENTACION DEL INDICADOR",""))</f>
        <v/>
      </c>
      <c r="G9" s="1420"/>
      <c r="H9" s="1420"/>
      <c r="I9" s="1420"/>
      <c r="J9" s="1420"/>
      <c r="K9" s="1420"/>
      <c r="L9" s="1420"/>
      <c r="M9" s="1420"/>
      <c r="N9" s="1420"/>
      <c r="O9" s="1420"/>
      <c r="P9" s="1420"/>
      <c r="Q9" s="1420"/>
      <c r="R9" s="1420"/>
      <c r="S9" s="1420"/>
      <c r="T9" s="509"/>
      <c r="U9" s="509"/>
    </row>
    <row r="10" spans="1:21" s="413" customFormat="1" ht="14.45" customHeight="1">
      <c r="A10" s="245"/>
      <c r="B10" s="510"/>
      <c r="C10" s="511"/>
      <c r="D10" s="512" t="str">
        <f>IF(E9="SI APLICA","¿El indicador no se reporta por limitaciones de información disponible? ","")</f>
        <v xml:space="preserve">¿El indicador no se reporta por limitaciones de información disponible? </v>
      </c>
      <c r="E10" s="514" t="s">
        <v>1264</v>
      </c>
      <c r="F10" s="1413"/>
      <c r="G10" s="1414"/>
      <c r="H10" s="1414"/>
      <c r="I10" s="1414"/>
      <c r="J10" s="1414"/>
      <c r="K10" s="1414"/>
      <c r="L10" s="1414"/>
      <c r="M10" s="1414"/>
      <c r="N10" s="1414"/>
      <c r="O10" s="1414"/>
      <c r="P10" s="1414"/>
      <c r="Q10" s="1414"/>
      <c r="R10" s="1414"/>
      <c r="S10" s="1414"/>
    </row>
    <row r="11" spans="1:21" s="413" customFormat="1" ht="23.45" customHeight="1">
      <c r="A11" s="245"/>
      <c r="B11" s="507"/>
      <c r="C11" s="304"/>
      <c r="D11" s="512" t="str">
        <f>IF(E10="SI SE REPORTA","¿Qué programas o proyectos del Plan de Acción están asociados al indicador? ","")</f>
        <v xml:space="preserve">¿Qué programas o proyectos del Plan de Acción están asociados al indicador? </v>
      </c>
      <c r="E11" s="1415" t="str">
        <f>'Anexo 1 Matriz Inf Gestión'!E9:H9</f>
        <v>Proyecto No 1.1.Planificación, Ordenamiento e Información Ambiental Territorial (1)</v>
      </c>
      <c r="F11" s="1415"/>
      <c r="G11" s="1415"/>
      <c r="H11" s="1415"/>
      <c r="I11" s="1415"/>
      <c r="J11" s="1415"/>
      <c r="K11" s="1415"/>
      <c r="L11" s="1415"/>
      <c r="M11" s="1415"/>
      <c r="N11" s="1415"/>
      <c r="O11" s="1415"/>
      <c r="P11" s="1415"/>
      <c r="Q11" s="1415"/>
      <c r="R11" s="1415"/>
    </row>
    <row r="12" spans="1:21" s="413" customFormat="1" ht="21.95" customHeight="1" thickBot="1">
      <c r="A12" s="245"/>
      <c r="B12" s="507"/>
      <c r="C12" s="304"/>
      <c r="D12" s="512" t="s">
        <v>1267</v>
      </c>
      <c r="E12" s="1416"/>
      <c r="F12" s="1417"/>
      <c r="G12" s="1417"/>
      <c r="H12" s="1417"/>
      <c r="I12" s="1417"/>
      <c r="J12" s="1417"/>
      <c r="K12" s="1417"/>
      <c r="L12" s="1417"/>
      <c r="M12" s="1417"/>
      <c r="N12" s="1417"/>
      <c r="O12" s="1417"/>
      <c r="P12" s="1417"/>
      <c r="Q12" s="1417"/>
      <c r="R12" s="1418"/>
    </row>
    <row r="13" spans="1:21" ht="15.75" customHeight="1" thickBot="1">
      <c r="B13" s="1505" t="s">
        <v>2</v>
      </c>
      <c r="C13" s="103"/>
      <c r="D13" s="1453" t="s">
        <v>3</v>
      </c>
      <c r="E13" s="1454"/>
      <c r="F13" s="1454"/>
      <c r="G13" s="1454"/>
      <c r="H13" s="1454"/>
      <c r="I13" s="1459"/>
      <c r="J13" s="1460"/>
      <c r="K13" s="6"/>
    </row>
    <row r="14" spans="1:21" ht="15.75" thickBot="1">
      <c r="B14" s="1537"/>
      <c r="C14" s="99" t="s">
        <v>24</v>
      </c>
      <c r="D14" s="44" t="s">
        <v>156</v>
      </c>
      <c r="E14" s="39" t="s">
        <v>25</v>
      </c>
      <c r="F14" s="39" t="s">
        <v>26</v>
      </c>
      <c r="G14" s="39" t="s">
        <v>27</v>
      </c>
      <c r="H14" s="441" t="s">
        <v>28</v>
      </c>
      <c r="I14" s="472"/>
      <c r="J14" s="473"/>
      <c r="K14" s="6"/>
    </row>
    <row r="15" spans="1:21" ht="84.75" thickBot="1">
      <c r="B15" s="1537"/>
      <c r="C15" s="3" t="s">
        <v>158</v>
      </c>
      <c r="D15" s="194" t="s">
        <v>1005</v>
      </c>
      <c r="E15" s="7">
        <v>15</v>
      </c>
      <c r="F15" s="7">
        <v>15</v>
      </c>
      <c r="G15" s="7">
        <v>15</v>
      </c>
      <c r="H15" s="470">
        <v>15</v>
      </c>
      <c r="I15" s="474"/>
      <c r="J15" s="22"/>
      <c r="K15" s="6"/>
    </row>
    <row r="16" spans="1:21" ht="84.75" thickBot="1">
      <c r="B16" s="1537"/>
      <c r="C16" s="3" t="s">
        <v>160</v>
      </c>
      <c r="D16" s="194" t="s">
        <v>1006</v>
      </c>
      <c r="E16" s="7">
        <v>15</v>
      </c>
      <c r="F16" s="7">
        <v>13</v>
      </c>
      <c r="G16" s="7"/>
      <c r="H16" s="470"/>
      <c r="I16" s="474"/>
      <c r="J16" s="22"/>
      <c r="K16" s="6"/>
    </row>
    <row r="17" spans="2:11" ht="72.599999999999994" customHeight="1" thickBot="1">
      <c r="B17" s="1537"/>
      <c r="C17" s="3" t="s">
        <v>162</v>
      </c>
      <c r="D17" s="129" t="s">
        <v>1007</v>
      </c>
      <c r="E17" s="154">
        <f>+E16/E15</f>
        <v>1</v>
      </c>
      <c r="F17" s="154">
        <f t="shared" ref="F17:H17" si="0">+F16/F15</f>
        <v>0.8666666666666667</v>
      </c>
      <c r="G17" s="154">
        <f t="shared" si="0"/>
        <v>0</v>
      </c>
      <c r="H17" s="471">
        <f t="shared" si="0"/>
        <v>0</v>
      </c>
      <c r="I17" s="475"/>
      <c r="J17" s="24"/>
      <c r="K17" s="6"/>
    </row>
    <row r="18" spans="2:11">
      <c r="B18" s="1537"/>
      <c r="C18" s="104"/>
      <c r="D18" s="1458"/>
      <c r="E18" s="1459"/>
      <c r="F18" s="1459"/>
      <c r="G18" s="1459"/>
      <c r="H18" s="1459"/>
      <c r="I18" s="1625"/>
      <c r="J18" s="1466"/>
      <c r="K18" s="6"/>
    </row>
    <row r="19" spans="2:11" ht="24" customHeight="1" thickBot="1">
      <c r="B19" s="1537"/>
      <c r="C19" s="104"/>
      <c r="D19" s="1464" t="s">
        <v>1008</v>
      </c>
      <c r="E19" s="1465"/>
      <c r="F19" s="1465"/>
      <c r="G19" s="1465"/>
      <c r="H19" s="1465"/>
      <c r="I19" s="1465"/>
      <c r="J19" s="1466"/>
      <c r="K19" s="6"/>
    </row>
    <row r="20" spans="2:11" ht="24.75" thickBot="1">
      <c r="B20" s="1537"/>
      <c r="C20" s="99" t="s">
        <v>24</v>
      </c>
      <c r="D20" s="39" t="s">
        <v>317</v>
      </c>
      <c r="E20" s="124" t="s">
        <v>1009</v>
      </c>
      <c r="F20" s="44" t="s">
        <v>1010</v>
      </c>
      <c r="G20" s="44" t="s">
        <v>60</v>
      </c>
      <c r="H20" s="6"/>
      <c r="J20" s="22"/>
      <c r="K20" s="6"/>
    </row>
    <row r="21" spans="2:11" ht="204.75" thickBot="1">
      <c r="B21" s="1537"/>
      <c r="C21" s="3">
        <v>1</v>
      </c>
      <c r="D21" s="31" t="s">
        <v>1630</v>
      </c>
      <c r="E21" s="7">
        <v>15</v>
      </c>
      <c r="F21" s="30" t="s">
        <v>1631</v>
      </c>
      <c r="G21" s="30"/>
      <c r="H21" s="6"/>
      <c r="J21" s="22"/>
      <c r="K21" s="6"/>
    </row>
    <row r="22" spans="2:11" ht="204.75" thickBot="1">
      <c r="B22" s="1537"/>
      <c r="C22" s="3">
        <v>2</v>
      </c>
      <c r="D22" s="31" t="s">
        <v>1632</v>
      </c>
      <c r="E22" s="7">
        <v>15</v>
      </c>
      <c r="F22" s="30" t="s">
        <v>1631</v>
      </c>
      <c r="G22" s="30"/>
      <c r="H22" s="6"/>
      <c r="J22" s="22"/>
      <c r="K22" s="6"/>
    </row>
    <row r="23" spans="2:11" s="413" customFormat="1" ht="204.75" thickBot="1">
      <c r="B23" s="1537"/>
      <c r="C23" s="442">
        <v>3</v>
      </c>
      <c r="D23" s="31" t="s">
        <v>1633</v>
      </c>
      <c r="E23" s="7">
        <v>15</v>
      </c>
      <c r="F23" s="30" t="s">
        <v>1631</v>
      </c>
      <c r="G23" s="30"/>
      <c r="H23" s="6"/>
      <c r="J23" s="22"/>
      <c r="K23" s="6"/>
    </row>
    <row r="24" spans="2:11" s="413" customFormat="1" ht="15.75" thickBot="1">
      <c r="B24" s="1537"/>
      <c r="C24" s="442">
        <v>4</v>
      </c>
      <c r="D24" s="31"/>
      <c r="E24" s="7"/>
      <c r="F24" s="30"/>
      <c r="G24" s="30"/>
      <c r="H24" s="6"/>
      <c r="J24" s="22"/>
      <c r="K24" s="6"/>
    </row>
    <row r="25" spans="2:11" s="413" customFormat="1" ht="15.75" thickBot="1">
      <c r="B25" s="1537"/>
      <c r="C25" s="442">
        <v>5</v>
      </c>
      <c r="D25" s="31"/>
      <c r="E25" s="7"/>
      <c r="F25" s="30"/>
      <c r="G25" s="30"/>
      <c r="H25" s="6"/>
      <c r="J25" s="22"/>
      <c r="K25" s="6"/>
    </row>
    <row r="26" spans="2:11" s="413" customFormat="1" ht="15.75" thickBot="1">
      <c r="B26" s="1537"/>
      <c r="C26" s="442">
        <v>6</v>
      </c>
      <c r="D26" s="31"/>
      <c r="E26" s="7"/>
      <c r="F26" s="30"/>
      <c r="G26" s="30"/>
      <c r="H26" s="6"/>
      <c r="J26" s="22"/>
      <c r="K26" s="6"/>
    </row>
    <row r="27" spans="2:11" s="413" customFormat="1" ht="15.75" thickBot="1">
      <c r="B27" s="1537"/>
      <c r="C27" s="442">
        <v>7</v>
      </c>
      <c r="D27" s="31"/>
      <c r="E27" s="7"/>
      <c r="F27" s="30"/>
      <c r="G27" s="30"/>
      <c r="H27" s="6"/>
      <c r="J27" s="22"/>
      <c r="K27" s="6"/>
    </row>
    <row r="28" spans="2:11" s="413" customFormat="1" ht="15.75" thickBot="1">
      <c r="B28" s="1537"/>
      <c r="C28" s="442">
        <v>8</v>
      </c>
      <c r="D28" s="31"/>
      <c r="E28" s="7"/>
      <c r="F28" s="30"/>
      <c r="G28" s="30"/>
      <c r="H28" s="6"/>
      <c r="J28" s="22"/>
      <c r="K28" s="6"/>
    </row>
    <row r="29" spans="2:11" ht="15.75" thickBot="1">
      <c r="B29" s="1537"/>
      <c r="C29" s="442">
        <v>9</v>
      </c>
      <c r="D29" s="31"/>
      <c r="E29" s="7"/>
      <c r="F29" s="30"/>
      <c r="G29" s="30"/>
      <c r="H29" s="6"/>
      <c r="J29" s="22"/>
      <c r="K29" s="6"/>
    </row>
    <row r="30" spans="2:11" ht="15.75" thickBot="1">
      <c r="B30" s="1506"/>
      <c r="C30" s="442">
        <v>10</v>
      </c>
      <c r="D30" s="31"/>
      <c r="E30" s="7"/>
      <c r="F30" s="30"/>
      <c r="G30" s="30"/>
      <c r="H30" s="23"/>
      <c r="J30" s="24"/>
      <c r="K30" s="6"/>
    </row>
    <row r="31" spans="2:11" ht="24" customHeight="1" thickBot="1">
      <c r="B31" s="61" t="s">
        <v>39</v>
      </c>
      <c r="C31" s="105"/>
      <c r="D31" s="1453" t="s">
        <v>1011</v>
      </c>
      <c r="E31" s="1454"/>
      <c r="F31" s="1454"/>
      <c r="G31" s="1454"/>
      <c r="H31" s="1454"/>
      <c r="I31" s="1454"/>
      <c r="J31" s="1455"/>
      <c r="K31" s="6"/>
    </row>
    <row r="32" spans="2:11" ht="18.75" thickBot="1">
      <c r="B32" s="61" t="s">
        <v>41</v>
      </c>
      <c r="C32" s="105"/>
      <c r="D32" s="1453" t="s">
        <v>286</v>
      </c>
      <c r="E32" s="1454"/>
      <c r="F32" s="1454"/>
      <c r="G32" s="1454"/>
      <c r="H32" s="1454"/>
      <c r="I32" s="1454"/>
      <c r="J32" s="1455"/>
      <c r="K32" s="6"/>
    </row>
    <row r="33" spans="2:11" ht="15.75" thickBot="1">
      <c r="B33" s="2"/>
      <c r="C33" s="77"/>
      <c r="D33" s="6"/>
      <c r="E33" s="6"/>
      <c r="F33" s="6"/>
      <c r="G33" s="6"/>
      <c r="H33" s="6"/>
      <c r="I33" s="6"/>
      <c r="J33" s="6"/>
      <c r="K33" s="6"/>
    </row>
    <row r="34" spans="2:11" ht="24" customHeight="1" thickBot="1">
      <c r="B34" s="1450" t="s">
        <v>43</v>
      </c>
      <c r="C34" s="1451"/>
      <c r="D34" s="1451"/>
      <c r="E34" s="1452"/>
      <c r="F34" s="6"/>
      <c r="G34" s="6"/>
      <c r="H34" s="6"/>
      <c r="I34" s="6"/>
      <c r="J34" s="6"/>
      <c r="K34" s="6"/>
    </row>
    <row r="35" spans="2:11" ht="15.75" thickBot="1">
      <c r="B35" s="1447">
        <v>1</v>
      </c>
      <c r="C35" s="95"/>
      <c r="D35" s="49" t="s">
        <v>44</v>
      </c>
      <c r="E35" s="31" t="s">
        <v>1642</v>
      </c>
      <c r="F35" s="6"/>
      <c r="G35" s="6"/>
      <c r="H35" s="6"/>
      <c r="I35" s="6"/>
      <c r="J35" s="6"/>
      <c r="K35" s="6"/>
    </row>
    <row r="36" spans="2:11" ht="15.75" thickBot="1">
      <c r="B36" s="1448"/>
      <c r="C36" s="95"/>
      <c r="D36" s="41" t="s">
        <v>45</v>
      </c>
      <c r="E36" s="31" t="s">
        <v>1643</v>
      </c>
      <c r="F36" s="6"/>
      <c r="G36" s="6"/>
      <c r="H36" s="6"/>
      <c r="I36" s="6"/>
      <c r="J36" s="6"/>
      <c r="K36" s="6"/>
    </row>
    <row r="37" spans="2:11" ht="15.75" thickBot="1">
      <c r="B37" s="1448"/>
      <c r="C37" s="95"/>
      <c r="D37" s="41" t="s">
        <v>46</v>
      </c>
      <c r="E37" s="31" t="s">
        <v>1682</v>
      </c>
      <c r="F37" s="6"/>
      <c r="G37" s="6"/>
      <c r="H37" s="6"/>
      <c r="I37" s="6"/>
      <c r="J37" s="6"/>
      <c r="K37" s="6"/>
    </row>
    <row r="38" spans="2:11" ht="15.75" thickBot="1">
      <c r="B38" s="1448"/>
      <c r="C38" s="95"/>
      <c r="D38" s="41" t="s">
        <v>47</v>
      </c>
      <c r="E38" s="31" t="s">
        <v>1660</v>
      </c>
      <c r="F38" s="6"/>
      <c r="G38" s="6"/>
      <c r="H38" s="6"/>
      <c r="I38" s="6"/>
      <c r="J38" s="6"/>
      <c r="K38" s="6"/>
    </row>
    <row r="39" spans="2:11" ht="15.75" thickBot="1">
      <c r="B39" s="1448"/>
      <c r="C39" s="95"/>
      <c r="D39" s="41" t="s">
        <v>48</v>
      </c>
      <c r="E39" s="31" t="s">
        <v>1683</v>
      </c>
      <c r="F39" s="6"/>
      <c r="G39" s="6"/>
      <c r="H39" s="6"/>
      <c r="I39" s="6"/>
      <c r="J39" s="6"/>
      <c r="K39" s="6"/>
    </row>
    <row r="40" spans="2:11" ht="15.75" thickBot="1">
      <c r="B40" s="1448"/>
      <c r="C40" s="95"/>
      <c r="D40" s="41" t="s">
        <v>49</v>
      </c>
      <c r="E40" s="31" t="s">
        <v>1689</v>
      </c>
      <c r="F40" s="6"/>
      <c r="G40" s="6"/>
      <c r="H40" s="6"/>
      <c r="I40" s="6"/>
      <c r="J40" s="6"/>
      <c r="K40" s="6"/>
    </row>
    <row r="41" spans="2:11" ht="15.75" thickBot="1">
      <c r="B41" s="1449"/>
      <c r="C41" s="3"/>
      <c r="D41" s="41" t="s">
        <v>50</v>
      </c>
      <c r="E41" s="31" t="s">
        <v>1629</v>
      </c>
      <c r="F41" s="6"/>
      <c r="G41" s="6"/>
      <c r="H41" s="6"/>
      <c r="I41" s="6"/>
      <c r="J41" s="6"/>
      <c r="K41" s="6"/>
    </row>
    <row r="42" spans="2:11" ht="15.75" thickBot="1">
      <c r="B42" s="2"/>
      <c r="C42" s="77"/>
      <c r="D42" s="6"/>
      <c r="E42" s="6"/>
      <c r="F42" s="6"/>
      <c r="G42" s="6"/>
      <c r="H42" s="6"/>
      <c r="I42" s="6"/>
      <c r="J42" s="6"/>
      <c r="K42" s="6"/>
    </row>
    <row r="43" spans="2:11" ht="15.75" thickBot="1">
      <c r="B43" s="1450" t="s">
        <v>51</v>
      </c>
      <c r="C43" s="1451"/>
      <c r="D43" s="1451"/>
      <c r="E43" s="1452"/>
      <c r="F43" s="6"/>
      <c r="G43" s="6"/>
      <c r="H43" s="6"/>
      <c r="I43" s="6"/>
      <c r="J43" s="6"/>
      <c r="K43" s="6"/>
    </row>
    <row r="44" spans="2:11" ht="15.75" thickBot="1">
      <c r="B44" s="1447">
        <v>1</v>
      </c>
      <c r="C44" s="95"/>
      <c r="D44" s="49" t="s">
        <v>44</v>
      </c>
      <c r="E44" s="445" t="s">
        <v>52</v>
      </c>
      <c r="F44" s="6"/>
      <c r="G44" s="6"/>
      <c r="H44" s="6"/>
      <c r="I44" s="6"/>
      <c r="J44" s="6"/>
      <c r="K44" s="6"/>
    </row>
    <row r="45" spans="2:11" ht="15.75" thickBot="1">
      <c r="B45" s="1448"/>
      <c r="C45" s="95"/>
      <c r="D45" s="41" t="s">
        <v>45</v>
      </c>
      <c r="E45" s="445" t="s">
        <v>53</v>
      </c>
      <c r="F45" s="6"/>
      <c r="G45" s="6"/>
      <c r="H45" s="6"/>
      <c r="I45" s="6"/>
      <c r="J45" s="6"/>
      <c r="K45" s="6"/>
    </row>
    <row r="46" spans="2:11" ht="15.75" thickBot="1">
      <c r="B46" s="1448"/>
      <c r="C46" s="95"/>
      <c r="D46" s="41" t="s">
        <v>46</v>
      </c>
      <c r="E46" s="476"/>
      <c r="F46" s="6"/>
      <c r="G46" s="6"/>
      <c r="H46" s="6"/>
      <c r="I46" s="6"/>
      <c r="J46" s="6"/>
      <c r="K46" s="6"/>
    </row>
    <row r="47" spans="2:11" ht="15.75" thickBot="1">
      <c r="B47" s="1448"/>
      <c r="C47" s="95"/>
      <c r="D47" s="41" t="s">
        <v>47</v>
      </c>
      <c r="E47" s="476"/>
      <c r="F47" s="6"/>
      <c r="G47" s="6"/>
      <c r="H47" s="6"/>
      <c r="I47" s="6"/>
      <c r="J47" s="6"/>
      <c r="K47" s="6"/>
    </row>
    <row r="48" spans="2:11" ht="15.75" thickBot="1">
      <c r="B48" s="1448"/>
      <c r="C48" s="95"/>
      <c r="D48" s="41" t="s">
        <v>48</v>
      </c>
      <c r="E48" s="476"/>
      <c r="F48" s="6"/>
      <c r="G48" s="6"/>
      <c r="H48" s="6"/>
      <c r="I48" s="6"/>
      <c r="J48" s="6"/>
      <c r="K48" s="6"/>
    </row>
    <row r="49" spans="2:11" ht="15.75" thickBot="1">
      <c r="B49" s="1448"/>
      <c r="C49" s="95"/>
      <c r="D49" s="41" t="s">
        <v>49</v>
      </c>
      <c r="E49" s="476"/>
      <c r="F49" s="6"/>
      <c r="G49" s="6"/>
      <c r="H49" s="6"/>
      <c r="I49" s="6"/>
      <c r="J49" s="6"/>
      <c r="K49" s="6"/>
    </row>
    <row r="50" spans="2:11" ht="15.75" thickBot="1">
      <c r="B50" s="1449"/>
      <c r="C50" s="3"/>
      <c r="D50" s="41" t="s">
        <v>50</v>
      </c>
      <c r="E50" s="476"/>
      <c r="F50" s="6"/>
      <c r="G50" s="6"/>
      <c r="H50" s="6"/>
      <c r="I50" s="6"/>
      <c r="J50" s="6"/>
      <c r="K50" s="6"/>
    </row>
    <row r="51" spans="2:11">
      <c r="B51" s="2"/>
      <c r="C51" s="77"/>
      <c r="D51" s="6"/>
      <c r="E51" s="6"/>
      <c r="F51" s="6"/>
      <c r="G51" s="6"/>
      <c r="H51" s="6"/>
      <c r="I51" s="6"/>
      <c r="J51" s="6"/>
      <c r="K51" s="6"/>
    </row>
    <row r="52" spans="2:11" ht="15.75" thickBot="1">
      <c r="B52" s="2"/>
      <c r="C52" s="77"/>
      <c r="D52" s="6"/>
      <c r="E52" s="6"/>
      <c r="F52" s="6"/>
      <c r="G52" s="6"/>
      <c r="H52" s="6"/>
      <c r="I52" s="6"/>
      <c r="J52" s="6"/>
      <c r="K52" s="6"/>
    </row>
    <row r="53" spans="2:11" ht="15" customHeight="1" thickBot="1">
      <c r="B53" s="121" t="s">
        <v>54</v>
      </c>
      <c r="C53" s="122"/>
      <c r="D53" s="122"/>
      <c r="E53" s="123"/>
      <c r="G53" s="6"/>
      <c r="H53" s="6"/>
      <c r="I53" s="6"/>
      <c r="J53" s="6"/>
      <c r="K53" s="6"/>
    </row>
    <row r="54" spans="2:11" ht="24.75" thickBot="1">
      <c r="B54" s="48" t="s">
        <v>55</v>
      </c>
      <c r="C54" s="41" t="s">
        <v>56</v>
      </c>
      <c r="D54" s="41" t="s">
        <v>57</v>
      </c>
      <c r="E54" s="41" t="s">
        <v>58</v>
      </c>
      <c r="F54" s="6"/>
      <c r="G54" s="6"/>
      <c r="H54" s="6"/>
      <c r="I54" s="6"/>
      <c r="J54" s="6"/>
    </row>
    <row r="55" spans="2:11" ht="120.75" thickBot="1">
      <c r="B55" s="50">
        <v>42401</v>
      </c>
      <c r="C55" s="41">
        <v>0.01</v>
      </c>
      <c r="D55" s="51" t="s">
        <v>1012</v>
      </c>
      <c r="E55" s="41"/>
      <c r="F55" s="6"/>
      <c r="G55" s="6"/>
      <c r="H55" s="6"/>
      <c r="I55" s="6"/>
      <c r="J55" s="6"/>
    </row>
    <row r="56" spans="2:11" ht="15.75" thickBot="1">
      <c r="B56" s="4"/>
      <c r="C56" s="96"/>
      <c r="D56" s="6"/>
      <c r="E56" s="6"/>
      <c r="F56" s="6"/>
      <c r="G56" s="6"/>
      <c r="H56" s="6"/>
      <c r="I56" s="6"/>
      <c r="J56" s="6"/>
      <c r="K56" s="6"/>
    </row>
    <row r="57" spans="2:11">
      <c r="B57" s="136" t="s">
        <v>60</v>
      </c>
      <c r="C57" s="97"/>
      <c r="D57" s="6"/>
      <c r="E57" s="6"/>
      <c r="F57" s="6"/>
      <c r="G57" s="6"/>
      <c r="H57" s="6"/>
      <c r="I57" s="6"/>
      <c r="J57" s="6"/>
      <c r="K57" s="6"/>
    </row>
    <row r="58" spans="2:11">
      <c r="B58" s="1619"/>
      <c r="C58" s="1620"/>
      <c r="D58" s="1620"/>
      <c r="E58" s="1621"/>
      <c r="F58" s="6"/>
      <c r="G58" s="6"/>
      <c r="H58" s="6"/>
      <c r="I58" s="6"/>
      <c r="J58" s="6"/>
      <c r="K58" s="6"/>
    </row>
    <row r="59" spans="2:11">
      <c r="B59" s="1622"/>
      <c r="C59" s="1623"/>
      <c r="D59" s="1623"/>
      <c r="E59" s="1624"/>
      <c r="F59" s="6"/>
      <c r="G59" s="6"/>
      <c r="H59" s="6"/>
      <c r="I59" s="6"/>
      <c r="J59" s="6"/>
      <c r="K59" s="6"/>
    </row>
    <row r="60" spans="2:11">
      <c r="B60" s="2"/>
      <c r="C60" s="77"/>
      <c r="D60" s="6"/>
      <c r="E60" s="6"/>
      <c r="F60" s="6"/>
      <c r="G60" s="6"/>
      <c r="H60" s="6"/>
      <c r="I60" s="6"/>
      <c r="J60" s="6"/>
      <c r="K60" s="6"/>
    </row>
    <row r="61" spans="2:11" ht="15.75" thickBot="1">
      <c r="B61" s="6"/>
      <c r="D61" s="6"/>
      <c r="E61" s="6"/>
      <c r="F61" s="6"/>
      <c r="G61" s="6"/>
      <c r="H61" s="6"/>
      <c r="I61" s="6"/>
      <c r="J61" s="6"/>
      <c r="K61" s="6"/>
    </row>
    <row r="62" spans="2:11" ht="15.75" thickBot="1">
      <c r="B62" s="1450" t="s">
        <v>61</v>
      </c>
      <c r="C62" s="1451"/>
      <c r="D62" s="1452"/>
      <c r="E62" s="6"/>
      <c r="F62" s="6"/>
      <c r="G62" s="6"/>
      <c r="H62" s="6"/>
      <c r="I62" s="6"/>
      <c r="J62" s="6"/>
      <c r="K62" s="6"/>
    </row>
    <row r="63" spans="2:11" ht="120">
      <c r="B63" s="1447" t="s">
        <v>62</v>
      </c>
      <c r="C63" s="95"/>
      <c r="D63" s="47" t="s">
        <v>985</v>
      </c>
      <c r="E63" s="6"/>
      <c r="F63" s="6"/>
      <c r="G63" s="6"/>
      <c r="H63" s="6"/>
      <c r="I63" s="6"/>
      <c r="J63" s="6"/>
      <c r="K63" s="6"/>
    </row>
    <row r="64" spans="2:11">
      <c r="B64" s="1448"/>
      <c r="C64" s="95"/>
      <c r="D64" s="54" t="s">
        <v>65</v>
      </c>
      <c r="E64" s="6"/>
      <c r="F64" s="6"/>
      <c r="G64" s="6"/>
      <c r="H64" s="6"/>
      <c r="I64" s="6"/>
      <c r="J64" s="6"/>
      <c r="K64" s="6"/>
    </row>
    <row r="65" spans="2:11" ht="144">
      <c r="B65" s="1448"/>
      <c r="C65" s="95"/>
      <c r="D65" s="47" t="s">
        <v>986</v>
      </c>
      <c r="E65" s="6"/>
      <c r="F65" s="6"/>
      <c r="G65" s="6"/>
      <c r="H65" s="6"/>
      <c r="I65" s="6"/>
      <c r="J65" s="6"/>
      <c r="K65" s="6"/>
    </row>
    <row r="66" spans="2:11">
      <c r="B66" s="1448"/>
      <c r="C66" s="95"/>
      <c r="D66" s="54" t="s">
        <v>68</v>
      </c>
      <c r="E66" s="6"/>
      <c r="F66" s="6"/>
      <c r="G66" s="6"/>
      <c r="H66" s="6"/>
      <c r="I66" s="6"/>
      <c r="J66" s="6"/>
      <c r="K66" s="6"/>
    </row>
    <row r="67" spans="2:11" ht="372.75" thickBot="1">
      <c r="B67" s="1449"/>
      <c r="C67" s="3"/>
      <c r="D67" s="41" t="s">
        <v>987</v>
      </c>
      <c r="E67" s="6"/>
      <c r="F67" s="6"/>
      <c r="G67" s="6"/>
      <c r="H67" s="6"/>
      <c r="I67" s="6"/>
      <c r="J67" s="6"/>
      <c r="K67" s="6"/>
    </row>
    <row r="68" spans="2:11" ht="348">
      <c r="B68" s="1447" t="s">
        <v>64</v>
      </c>
      <c r="C68" s="95"/>
      <c r="D68" s="26" t="s">
        <v>988</v>
      </c>
      <c r="E68" s="6"/>
      <c r="F68" s="6"/>
      <c r="G68" s="6"/>
      <c r="H68" s="6"/>
      <c r="I68" s="6"/>
      <c r="J68" s="6"/>
      <c r="K68" s="6"/>
    </row>
    <row r="69" spans="2:11" ht="264">
      <c r="B69" s="1448"/>
      <c r="C69" s="95"/>
      <c r="D69" s="26" t="s">
        <v>989</v>
      </c>
      <c r="E69" s="6"/>
      <c r="F69" s="6"/>
      <c r="G69" s="6"/>
      <c r="H69" s="6"/>
      <c r="I69" s="6"/>
      <c r="J69" s="6"/>
      <c r="K69" s="6"/>
    </row>
    <row r="70" spans="2:11" ht="36">
      <c r="B70" s="1448"/>
      <c r="C70" s="95"/>
      <c r="D70" s="26" t="s">
        <v>990</v>
      </c>
      <c r="E70" s="6"/>
      <c r="F70" s="6"/>
      <c r="G70" s="6"/>
      <c r="H70" s="6"/>
      <c r="I70" s="6"/>
      <c r="J70" s="6"/>
      <c r="K70" s="6"/>
    </row>
    <row r="71" spans="2:11" ht="24">
      <c r="B71" s="1448"/>
      <c r="C71" s="95"/>
      <c r="D71" s="26" t="s">
        <v>991</v>
      </c>
      <c r="E71" s="6"/>
      <c r="F71" s="6"/>
      <c r="G71" s="6"/>
      <c r="H71" s="6"/>
      <c r="I71" s="6"/>
      <c r="J71" s="6"/>
      <c r="K71" s="6"/>
    </row>
    <row r="72" spans="2:11">
      <c r="B72" s="1448"/>
      <c r="C72" s="95"/>
      <c r="D72" s="54" t="s">
        <v>296</v>
      </c>
      <c r="E72" s="6"/>
      <c r="F72" s="6"/>
      <c r="G72" s="6"/>
      <c r="H72" s="6"/>
      <c r="I72" s="6"/>
      <c r="J72" s="6"/>
      <c r="K72" s="6"/>
    </row>
    <row r="73" spans="2:11" ht="15.75" thickBot="1">
      <c r="B73" s="1449"/>
      <c r="C73" s="3"/>
      <c r="D73" s="41" t="s">
        <v>297</v>
      </c>
      <c r="E73" s="6"/>
      <c r="F73" s="6"/>
      <c r="G73" s="6"/>
      <c r="H73" s="6"/>
      <c r="I73" s="6"/>
      <c r="J73" s="6"/>
      <c r="K73" s="6"/>
    </row>
    <row r="74" spans="2:11" ht="24.75" thickBot="1">
      <c r="B74" s="48" t="s">
        <v>77</v>
      </c>
      <c r="C74" s="3"/>
      <c r="D74" s="41"/>
      <c r="E74" s="6"/>
      <c r="F74" s="6"/>
      <c r="G74" s="6"/>
      <c r="H74" s="6"/>
      <c r="I74" s="6"/>
      <c r="J74" s="6"/>
      <c r="K74" s="6"/>
    </row>
    <row r="75" spans="2:11" ht="396">
      <c r="B75" s="1447" t="s">
        <v>78</v>
      </c>
      <c r="C75" s="95"/>
      <c r="D75" s="47" t="s">
        <v>992</v>
      </c>
      <c r="E75" s="6"/>
      <c r="F75" s="6"/>
      <c r="G75" s="6"/>
      <c r="H75" s="6"/>
      <c r="I75" s="6"/>
      <c r="J75" s="6"/>
      <c r="K75" s="6"/>
    </row>
    <row r="76" spans="2:11" ht="216">
      <c r="B76" s="1448"/>
      <c r="C76" s="95"/>
      <c r="D76" s="47" t="s">
        <v>993</v>
      </c>
      <c r="E76" s="6"/>
      <c r="F76" s="6"/>
      <c r="G76" s="6"/>
      <c r="H76" s="6"/>
      <c r="I76" s="6"/>
      <c r="J76" s="6"/>
      <c r="K76" s="6"/>
    </row>
    <row r="77" spans="2:11" ht="120">
      <c r="B77" s="1448"/>
      <c r="C77" s="95"/>
      <c r="D77" s="47" t="s">
        <v>994</v>
      </c>
      <c r="E77" s="6"/>
      <c r="F77" s="6"/>
      <c r="G77" s="6"/>
      <c r="H77" s="6"/>
      <c r="I77" s="6"/>
      <c r="J77" s="6"/>
      <c r="K77" s="6"/>
    </row>
    <row r="78" spans="2:11" ht="108">
      <c r="B78" s="1448"/>
      <c r="C78" s="95"/>
      <c r="D78" s="47" t="s">
        <v>995</v>
      </c>
      <c r="E78" s="6"/>
      <c r="F78" s="6"/>
      <c r="G78" s="6"/>
      <c r="H78" s="6"/>
      <c r="I78" s="6"/>
      <c r="J78" s="6"/>
      <c r="K78" s="6"/>
    </row>
    <row r="79" spans="2:11" ht="252">
      <c r="B79" s="1448"/>
      <c r="C79" s="95"/>
      <c r="D79" s="47" t="s">
        <v>996</v>
      </c>
      <c r="E79" s="6"/>
      <c r="F79" s="6"/>
      <c r="G79" s="6"/>
      <c r="H79" s="6"/>
      <c r="I79" s="6"/>
      <c r="J79" s="6"/>
      <c r="K79" s="6"/>
    </row>
    <row r="80" spans="2:11" ht="48">
      <c r="B80" s="1448"/>
      <c r="C80" s="95"/>
      <c r="D80" s="47" t="s">
        <v>997</v>
      </c>
      <c r="E80" s="6"/>
      <c r="F80" s="6"/>
      <c r="G80" s="6"/>
      <c r="H80" s="6"/>
      <c r="I80" s="6"/>
      <c r="J80" s="6"/>
      <c r="K80" s="6"/>
    </row>
    <row r="81" spans="2:11" ht="96">
      <c r="B81" s="1448"/>
      <c r="C81" s="95"/>
      <c r="D81" s="62" t="s">
        <v>998</v>
      </c>
      <c r="E81" s="6"/>
      <c r="F81" s="6"/>
      <c r="G81" s="6"/>
      <c r="H81" s="6"/>
      <c r="I81" s="6"/>
      <c r="J81" s="6"/>
      <c r="K81" s="6"/>
    </row>
    <row r="82" spans="2:11" ht="60">
      <c r="B82" s="1448"/>
      <c r="C82" s="95"/>
      <c r="D82" s="62" t="s">
        <v>999</v>
      </c>
      <c r="E82" s="6"/>
      <c r="F82" s="6"/>
      <c r="G82" s="6"/>
      <c r="H82" s="6"/>
      <c r="I82" s="6"/>
      <c r="J82" s="6"/>
      <c r="K82" s="6"/>
    </row>
    <row r="83" spans="2:11" ht="52.5" thickBot="1">
      <c r="B83" s="1449"/>
      <c r="C83" s="3"/>
      <c r="D83" s="63" t="s">
        <v>1000</v>
      </c>
      <c r="E83" s="6"/>
      <c r="F83" s="6"/>
      <c r="G83" s="6"/>
      <c r="H83" s="6"/>
      <c r="I83" s="6"/>
      <c r="J83" s="6"/>
      <c r="K83" s="6"/>
    </row>
    <row r="84" spans="2:11" ht="15.75" thickBot="1">
      <c r="B84" s="2"/>
      <c r="C84" s="77"/>
      <c r="D84" s="6"/>
      <c r="E84" s="6"/>
      <c r="F84" s="6"/>
      <c r="G84" s="6"/>
      <c r="H84" s="6"/>
      <c r="I84" s="6"/>
      <c r="J84" s="6"/>
      <c r="K84" s="6"/>
    </row>
    <row r="85" spans="2:11" ht="48">
      <c r="B85" s="1447" t="s">
        <v>95</v>
      </c>
      <c r="C85" s="106"/>
      <c r="D85" s="65" t="s">
        <v>1001</v>
      </c>
      <c r="E85" s="6"/>
      <c r="F85" s="6"/>
      <c r="G85" s="6"/>
      <c r="H85" s="6"/>
      <c r="I85" s="6"/>
      <c r="J85" s="6"/>
      <c r="K85" s="6"/>
    </row>
    <row r="86" spans="2:11">
      <c r="B86" s="1448"/>
      <c r="C86" s="95"/>
      <c r="D86" s="17"/>
      <c r="E86" s="6"/>
      <c r="F86" s="6"/>
      <c r="G86" s="6"/>
      <c r="H86" s="6"/>
      <c r="I86" s="6"/>
      <c r="J86" s="6"/>
      <c r="K86" s="6"/>
    </row>
    <row r="87" spans="2:11">
      <c r="B87" s="1448"/>
      <c r="C87" s="95"/>
      <c r="D87" s="47" t="s">
        <v>96</v>
      </c>
      <c r="E87" s="6"/>
      <c r="F87" s="6"/>
      <c r="G87" s="6"/>
      <c r="H87" s="6"/>
      <c r="I87" s="6"/>
      <c r="J87" s="6"/>
      <c r="K87" s="6"/>
    </row>
    <row r="88" spans="2:11" ht="109.5">
      <c r="B88" s="1448"/>
      <c r="C88" s="95"/>
      <c r="D88" s="47" t="s">
        <v>1002</v>
      </c>
      <c r="E88" s="6"/>
      <c r="F88" s="6"/>
      <c r="G88" s="6"/>
      <c r="H88" s="6"/>
      <c r="I88" s="6"/>
      <c r="J88" s="6"/>
      <c r="K88" s="6"/>
    </row>
    <row r="89" spans="2:11" ht="97.5">
      <c r="B89" s="1448"/>
      <c r="C89" s="95"/>
      <c r="D89" s="47" t="s">
        <v>1003</v>
      </c>
      <c r="E89" s="6"/>
      <c r="F89" s="6"/>
      <c r="G89" s="6"/>
      <c r="H89" s="6"/>
      <c r="I89" s="6"/>
      <c r="J89" s="6"/>
      <c r="K89" s="6"/>
    </row>
    <row r="90" spans="2:11" ht="98.25" thickBot="1">
      <c r="B90" s="1449"/>
      <c r="C90" s="3"/>
      <c r="D90" s="41" t="s">
        <v>1004</v>
      </c>
      <c r="E90" s="6"/>
      <c r="F90" s="6"/>
      <c r="G90" s="6"/>
      <c r="H90" s="6"/>
      <c r="I90" s="6"/>
      <c r="J90" s="6"/>
      <c r="K90" s="6"/>
    </row>
    <row r="91" spans="2:11">
      <c r="B91" s="6"/>
      <c r="D91" s="6"/>
      <c r="E91" s="6"/>
      <c r="F91" s="6"/>
      <c r="G91" s="6"/>
      <c r="H91" s="6"/>
      <c r="I91" s="6"/>
      <c r="J91" s="6"/>
      <c r="K91" s="6"/>
    </row>
  </sheetData>
  <sheetProtection sheet="1" objects="1" scenarios="1" insertRows="0"/>
  <mergeCells count="26">
    <mergeCell ref="B63:B67"/>
    <mergeCell ref="B68:B73"/>
    <mergeCell ref="B75:B83"/>
    <mergeCell ref="B85:B90"/>
    <mergeCell ref="B13:B30"/>
    <mergeCell ref="D13:J13"/>
    <mergeCell ref="D18:J18"/>
    <mergeCell ref="D19:J19"/>
    <mergeCell ref="B62:D62"/>
    <mergeCell ref="D31:J31"/>
    <mergeCell ref="D32:J32"/>
    <mergeCell ref="B34:E34"/>
    <mergeCell ref="B35:B41"/>
    <mergeCell ref="B43:E43"/>
    <mergeCell ref="B44:B50"/>
    <mergeCell ref="B58:E59"/>
    <mergeCell ref="B9:D9"/>
    <mergeCell ref="F9:S9"/>
    <mergeCell ref="F10:S10"/>
    <mergeCell ref="E11:R11"/>
    <mergeCell ref="E12:R12"/>
    <mergeCell ref="A1:P1"/>
    <mergeCell ref="A2:P2"/>
    <mergeCell ref="A3:P3"/>
    <mergeCell ref="A4:D4"/>
    <mergeCell ref="A5:P5"/>
  </mergeCells>
  <conditionalFormatting sqref="F9">
    <cfRule type="notContainsBlanks" dxfId="29" priority="4">
      <formula>LEN(TRIM(F9))&gt;0</formula>
    </cfRule>
  </conditionalFormatting>
  <conditionalFormatting sqref="F10:S10">
    <cfRule type="expression" dxfId="28" priority="2">
      <formula>E10="NO SE REPORTA"</formula>
    </cfRule>
    <cfRule type="expression" dxfId="27" priority="3">
      <formula>E9="NO APLICA"</formula>
    </cfRule>
  </conditionalFormatting>
  <conditionalFormatting sqref="E11:R11">
    <cfRule type="expression" dxfId="26" priority="1">
      <formula>E10="SI SE REPORTA"</formula>
    </cfRule>
  </conditionalFormatting>
  <dataValidations count="3">
    <dataValidation type="whole" operator="greaterThanOrEqual" allowBlank="1" showErrorMessage="1" errorTitle="ERROR" error="Escriba un número igual o mayor que 0" promptTitle="ERROR" prompt="Escriba un número igual o mayor que 0" sqref="E15:H16 E21:E30">
      <formula1>0</formula1>
    </dataValidation>
    <dataValidation type="list" allowBlank="1" showInputMessage="1" showErrorMessage="1" sqref="E10">
      <formula1>REPORTE</formula1>
    </dataValidation>
    <dataValidation type="list" allowBlank="1" showInputMessage="1" showErrorMessage="1" sqref="E9">
      <formula1>SI</formula1>
    </dataValidation>
  </dataValidations>
  <hyperlinks>
    <hyperlink ref="B8" location="'ANEXO 3'!A1" display="VOLVER AL INDICE"/>
  </hyperlinks>
  <pageMargins left="0.25" right="0.25" top="0.75" bottom="0.75" header="0.3" footer="0.3"/>
  <pageSetup paperSize="178" orientation="landscape" horizontalDpi="1200" verticalDpi="1200"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39"/>
  <sheetViews>
    <sheetView showGridLines="0" zoomScale="98" zoomScaleNormal="98" workbookViewId="0">
      <selection activeCell="E13" sqref="E13:R13"/>
    </sheetView>
  </sheetViews>
  <sheetFormatPr baseColWidth="10" defaultRowHeight="15"/>
  <cols>
    <col min="1" max="1" width="1.85546875" customWidth="1"/>
    <col min="2" max="2" width="10.5703125" customWidth="1"/>
    <col min="3" max="3" width="5" style="88" bestFit="1" customWidth="1"/>
    <col min="4" max="4" width="34.85546875" customWidth="1"/>
    <col min="5" max="5" width="12.140625" customWidth="1"/>
  </cols>
  <sheetData>
    <row r="1" spans="1:21" s="551" customFormat="1" ht="100.5" customHeight="1" thickBot="1">
      <c r="A1" s="1344"/>
      <c r="B1" s="1345"/>
      <c r="C1" s="1345"/>
      <c r="D1" s="1345"/>
      <c r="E1" s="1345"/>
      <c r="F1" s="1345"/>
      <c r="G1" s="1345"/>
      <c r="H1" s="1345"/>
      <c r="I1" s="1345"/>
      <c r="J1" s="1345"/>
      <c r="K1" s="1345"/>
      <c r="L1" s="1345"/>
      <c r="M1" s="1345"/>
      <c r="N1" s="1345"/>
      <c r="O1" s="1345"/>
      <c r="P1" s="1346"/>
      <c r="Q1" s="413"/>
      <c r="R1" s="413"/>
    </row>
    <row r="2" spans="1:21" s="552" customFormat="1" ht="16.5" thickBot="1">
      <c r="A2" s="1352" t="str">
        <f>'Datos Generales'!C5</f>
        <v>Corporación Autónoma Regional de La Guajira – CORPOGUAJIRA</v>
      </c>
      <c r="B2" s="1353"/>
      <c r="C2" s="1353"/>
      <c r="D2" s="1353"/>
      <c r="E2" s="1353"/>
      <c r="F2" s="1353"/>
      <c r="G2" s="1353"/>
      <c r="H2" s="1353"/>
      <c r="I2" s="1353"/>
      <c r="J2" s="1353"/>
      <c r="K2" s="1353"/>
      <c r="L2" s="1353"/>
      <c r="M2" s="1353"/>
      <c r="N2" s="1353"/>
      <c r="O2" s="1353"/>
      <c r="P2" s="1354"/>
      <c r="Q2" s="413"/>
      <c r="R2" s="413"/>
    </row>
    <row r="3" spans="1:21" s="552" customFormat="1" ht="16.5" thickBot="1">
      <c r="A3" s="1347" t="s">
        <v>1419</v>
      </c>
      <c r="B3" s="1348"/>
      <c r="C3" s="1348"/>
      <c r="D3" s="1348"/>
      <c r="E3" s="1348"/>
      <c r="F3" s="1348"/>
      <c r="G3" s="1348"/>
      <c r="H3" s="1348"/>
      <c r="I3" s="1348"/>
      <c r="J3" s="1348"/>
      <c r="K3" s="1348"/>
      <c r="L3" s="1348"/>
      <c r="M3" s="1348"/>
      <c r="N3" s="1348"/>
      <c r="O3" s="1348"/>
      <c r="P3" s="1349"/>
      <c r="Q3" s="413"/>
      <c r="R3" s="413"/>
    </row>
    <row r="4" spans="1:21" s="552" customFormat="1" ht="16.5" thickBot="1">
      <c r="A4" s="1350" t="s">
        <v>1418</v>
      </c>
      <c r="B4" s="1351"/>
      <c r="C4" s="1351"/>
      <c r="D4" s="1351"/>
      <c r="E4" s="571" t="str">
        <f>'Datos Generales'!C6</f>
        <v>2016-II</v>
      </c>
      <c r="F4" s="571"/>
      <c r="G4" s="571"/>
      <c r="H4" s="571"/>
      <c r="I4" s="571"/>
      <c r="J4" s="571"/>
      <c r="K4" s="571"/>
      <c r="L4" s="572"/>
      <c r="M4" s="572"/>
      <c r="N4" s="572"/>
      <c r="O4" s="572"/>
      <c r="P4" s="573"/>
      <c r="Q4" s="413"/>
      <c r="R4" s="413"/>
    </row>
    <row r="5" spans="1:21" s="245" customFormat="1" ht="16.5" customHeight="1" thickBot="1">
      <c r="A5" s="1347" t="s">
        <v>1013</v>
      </c>
      <c r="B5" s="1348"/>
      <c r="C5" s="1348"/>
      <c r="D5" s="1348"/>
      <c r="E5" s="1348"/>
      <c r="F5" s="1348"/>
      <c r="G5" s="1348"/>
      <c r="H5" s="1348"/>
      <c r="I5" s="1348"/>
      <c r="J5" s="1348"/>
      <c r="K5" s="1348"/>
      <c r="L5" s="1348"/>
      <c r="M5" s="1348"/>
      <c r="N5" s="1348"/>
      <c r="O5" s="1348"/>
      <c r="P5" s="1349"/>
    </row>
    <row r="6" spans="1:21">
      <c r="B6" s="2" t="s">
        <v>1</v>
      </c>
      <c r="C6" s="77"/>
      <c r="D6" s="6"/>
      <c r="E6" s="221"/>
      <c r="F6" s="6" t="s">
        <v>133</v>
      </c>
      <c r="G6" s="6"/>
      <c r="H6" s="6"/>
      <c r="I6" s="6"/>
      <c r="J6" s="6"/>
      <c r="K6" s="6"/>
    </row>
    <row r="7" spans="1:21" ht="15.75" thickBot="1">
      <c r="B7" s="76"/>
      <c r="C7" s="78"/>
      <c r="D7" s="6"/>
      <c r="E7" s="18"/>
      <c r="F7" s="6" t="s">
        <v>134</v>
      </c>
      <c r="G7" s="6"/>
      <c r="H7" s="6"/>
      <c r="I7" s="6"/>
      <c r="J7" s="6"/>
      <c r="K7" s="6"/>
    </row>
    <row r="8" spans="1:21" ht="15.75" thickBot="1">
      <c r="B8" s="178" t="s">
        <v>1204</v>
      </c>
      <c r="C8" s="222">
        <v>2017</v>
      </c>
      <c r="D8" s="226">
        <f>IF(E10="NO APLICA","NO APLICA",IF(E11="NO SE REPORTA","SIN INFORMACION",+F81))</f>
        <v>0.15000000000000002</v>
      </c>
      <c r="E8" s="223"/>
      <c r="F8" s="6" t="s">
        <v>135</v>
      </c>
      <c r="G8" s="6"/>
      <c r="H8" s="6"/>
      <c r="I8" s="6"/>
      <c r="J8" s="6"/>
      <c r="K8" s="6"/>
    </row>
    <row r="9" spans="1:21">
      <c r="B9" s="507" t="s">
        <v>1205</v>
      </c>
      <c r="C9" s="89"/>
      <c r="D9" s="6"/>
      <c r="E9" s="6"/>
      <c r="F9" s="6"/>
      <c r="G9" s="6"/>
      <c r="H9" s="6"/>
      <c r="I9" s="6"/>
      <c r="J9" s="6"/>
      <c r="K9" s="6"/>
    </row>
    <row r="10" spans="1:21" s="413" customFormat="1">
      <c r="A10" s="245"/>
      <c r="B10" s="1412" t="s">
        <v>1265</v>
      </c>
      <c r="C10" s="1412"/>
      <c r="D10" s="1412"/>
      <c r="E10" s="513" t="s">
        <v>1262</v>
      </c>
      <c r="F10" s="1419"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420"/>
      <c r="H10" s="1420"/>
      <c r="I10" s="1420"/>
      <c r="J10" s="1420"/>
      <c r="K10" s="1420"/>
      <c r="L10" s="1420"/>
      <c r="M10" s="1420"/>
      <c r="N10" s="1420"/>
      <c r="O10" s="1420"/>
      <c r="P10" s="1420"/>
      <c r="Q10" s="1420"/>
      <c r="R10" s="1420"/>
      <c r="S10" s="1420"/>
      <c r="T10" s="509"/>
      <c r="U10" s="509"/>
    </row>
    <row r="11" spans="1:21" s="413" customFormat="1" ht="14.45" customHeight="1">
      <c r="A11" s="245"/>
      <c r="B11" s="510"/>
      <c r="C11" s="511"/>
      <c r="D11" s="512" t="str">
        <f>IF(E10="SI APLICA","¿El indicador no se reporta por limitaciones de información disponible? ","")</f>
        <v xml:space="preserve">¿El indicador no se reporta por limitaciones de información disponible? </v>
      </c>
      <c r="E11" s="514" t="s">
        <v>1264</v>
      </c>
      <c r="F11" s="1413"/>
      <c r="G11" s="1414"/>
      <c r="H11" s="1414"/>
      <c r="I11" s="1414"/>
      <c r="J11" s="1414"/>
      <c r="K11" s="1414"/>
      <c r="L11" s="1414"/>
      <c r="M11" s="1414"/>
      <c r="N11" s="1414"/>
      <c r="O11" s="1414"/>
      <c r="P11" s="1414"/>
      <c r="Q11" s="1414"/>
      <c r="R11" s="1414"/>
      <c r="S11" s="1414"/>
    </row>
    <row r="12" spans="1:21" s="413" customFormat="1" ht="23.45" customHeight="1">
      <c r="A12" s="245"/>
      <c r="B12" s="507"/>
      <c r="C12" s="304"/>
      <c r="D12" s="512" t="str">
        <f>IF(E11="SI SE REPORTA","¿Qué programas o proyectos del Plan de Acción están asociados al indicador? ","")</f>
        <v xml:space="preserve">¿Qué programas o proyectos del Plan de Acción están asociados al indicador? </v>
      </c>
      <c r="E12" s="1415" t="str">
        <f>'Anexo 1 Matriz Inf Gestión'!E19:H19</f>
        <v>Proyecto No 1.2. Gestión del Riesgo y adaptación al Cambio Climático (2)</v>
      </c>
      <c r="F12" s="1415"/>
      <c r="G12" s="1415"/>
      <c r="H12" s="1415"/>
      <c r="I12" s="1415"/>
      <c r="J12" s="1415"/>
      <c r="K12" s="1415"/>
      <c r="L12" s="1415"/>
      <c r="M12" s="1415"/>
      <c r="N12" s="1415"/>
      <c r="O12" s="1415"/>
      <c r="P12" s="1415"/>
      <c r="Q12" s="1415"/>
      <c r="R12" s="1415"/>
    </row>
    <row r="13" spans="1:21" s="413" customFormat="1" ht="21.95" customHeight="1">
      <c r="A13" s="245"/>
      <c r="B13" s="507"/>
      <c r="C13" s="304"/>
      <c r="D13" s="512" t="s">
        <v>1267</v>
      </c>
      <c r="E13" s="1416"/>
      <c r="F13" s="1417"/>
      <c r="G13" s="1417"/>
      <c r="H13" s="1417"/>
      <c r="I13" s="1417"/>
      <c r="J13" s="1417"/>
      <c r="K13" s="1417"/>
      <c r="L13" s="1417"/>
      <c r="M13" s="1417"/>
      <c r="N13" s="1417"/>
      <c r="O13" s="1417"/>
      <c r="P13" s="1417"/>
      <c r="Q13" s="1417"/>
      <c r="R13" s="1418"/>
    </row>
    <row r="14" spans="1:21" s="413" customFormat="1" ht="6.95" customHeight="1" thickBot="1">
      <c r="B14" s="507"/>
      <c r="C14" s="89"/>
      <c r="D14" s="6"/>
      <c r="E14" s="6"/>
      <c r="F14" s="6"/>
      <c r="G14" s="6"/>
      <c r="H14" s="6"/>
      <c r="I14" s="6"/>
      <c r="J14" s="6"/>
      <c r="K14" s="6"/>
    </row>
    <row r="15" spans="1:21" ht="15" customHeight="1" thickTop="1">
      <c r="B15" s="1456" t="s">
        <v>2</v>
      </c>
      <c r="C15" s="90"/>
      <c r="D15" s="1458" t="s">
        <v>3</v>
      </c>
      <c r="E15" s="1459"/>
      <c r="F15" s="1459"/>
      <c r="G15" s="1459"/>
      <c r="H15" s="1459"/>
      <c r="I15" s="1459"/>
      <c r="J15" s="1459"/>
      <c r="K15" s="1459"/>
      <c r="L15" s="1538"/>
      <c r="M15" s="1509"/>
    </row>
    <row r="16" spans="1:21">
      <c r="B16" s="1457"/>
      <c r="C16" s="93"/>
      <c r="D16" s="1566" t="s">
        <v>1032</v>
      </c>
      <c r="E16" s="1567"/>
      <c r="F16" s="1567"/>
      <c r="G16" s="1567"/>
      <c r="H16" s="1567"/>
      <c r="I16" s="1567"/>
      <c r="J16" s="1567"/>
      <c r="K16" s="1567"/>
      <c r="L16" s="1626"/>
      <c r="M16" s="1599"/>
    </row>
    <row r="17" spans="2:14" ht="15.75" thickBot="1">
      <c r="B17" s="1457"/>
      <c r="C17" s="93"/>
      <c r="D17" s="1464" t="s">
        <v>1033</v>
      </c>
      <c r="E17" s="1465"/>
      <c r="F17" s="1465"/>
      <c r="G17" s="1465"/>
      <c r="H17" s="1465"/>
      <c r="I17" s="1465"/>
      <c r="J17" s="1465"/>
      <c r="K17" s="1465"/>
      <c r="L17" s="1532"/>
      <c r="M17" s="1516"/>
    </row>
    <row r="18" spans="2:14" ht="15.75" thickBot="1">
      <c r="B18" s="1457"/>
      <c r="C18" s="95"/>
      <c r="D18" s="1631" t="s">
        <v>1034</v>
      </c>
      <c r="E18" s="1534" t="s">
        <v>1035</v>
      </c>
      <c r="F18" s="1536"/>
      <c r="G18" s="1534" t="s">
        <v>1036</v>
      </c>
      <c r="H18" s="1536"/>
      <c r="I18" s="1534" t="s">
        <v>157</v>
      </c>
      <c r="J18" s="1536"/>
      <c r="K18" s="60"/>
      <c r="M18" s="14"/>
    </row>
    <row r="19" spans="2:14" ht="15.75" thickBot="1">
      <c r="B19" s="1457"/>
      <c r="C19" s="95"/>
      <c r="D19" s="1632"/>
      <c r="E19" s="40" t="s">
        <v>1037</v>
      </c>
      <c r="F19" s="40" t="s">
        <v>1038</v>
      </c>
      <c r="G19" s="40" t="s">
        <v>1037</v>
      </c>
      <c r="H19" s="40" t="s">
        <v>1038</v>
      </c>
      <c r="I19" s="40" t="s">
        <v>1037</v>
      </c>
      <c r="J19" s="40" t="s">
        <v>1038</v>
      </c>
      <c r="M19" s="14"/>
    </row>
    <row r="20" spans="2:14" ht="15.75" thickBot="1">
      <c r="B20" s="437"/>
      <c r="C20" s="95"/>
      <c r="D20" s="40" t="s">
        <v>1039</v>
      </c>
      <c r="E20" s="7">
        <v>5</v>
      </c>
      <c r="F20" s="7">
        <v>1</v>
      </c>
      <c r="G20" s="7">
        <v>0</v>
      </c>
      <c r="H20" s="7">
        <v>0</v>
      </c>
      <c r="I20" s="219">
        <f>+E20+G20</f>
        <v>5</v>
      </c>
      <c r="J20" s="219">
        <f>+F20+H20</f>
        <v>1</v>
      </c>
      <c r="M20" s="14"/>
    </row>
    <row r="21" spans="2:14">
      <c r="B21" s="437"/>
      <c r="C21" s="102"/>
      <c r="D21" s="1464"/>
      <c r="E21" s="1465"/>
      <c r="F21" s="1465"/>
      <c r="G21" s="1465"/>
      <c r="H21" s="1465"/>
      <c r="I21" s="1465"/>
      <c r="J21" s="1465"/>
      <c r="K21" s="1465"/>
      <c r="L21" s="1532"/>
      <c r="M21" s="1516"/>
    </row>
    <row r="22" spans="2:14" ht="15.75" thickBot="1">
      <c r="B22" s="437"/>
      <c r="C22" s="93"/>
      <c r="D22" s="439"/>
      <c r="E22" s="439"/>
      <c r="F22" s="494" t="s">
        <v>60</v>
      </c>
      <c r="G22" s="439"/>
      <c r="H22" s="439"/>
      <c r="I22" s="439"/>
      <c r="J22" s="439"/>
      <c r="K22" s="439"/>
      <c r="L22" s="491"/>
      <c r="M22" s="492"/>
    </row>
    <row r="23" spans="2:14" ht="24.75" thickBot="1">
      <c r="B23" s="437"/>
      <c r="C23" s="95"/>
      <c r="D23" s="44" t="s">
        <v>1040</v>
      </c>
      <c r="E23" s="490">
        <f>+I20</f>
        <v>5</v>
      </c>
      <c r="F23" s="493"/>
      <c r="G23" s="6"/>
      <c r="H23" s="6"/>
      <c r="I23" s="6"/>
      <c r="J23" s="6"/>
      <c r="K23" s="6"/>
      <c r="M23" s="14"/>
    </row>
    <row r="24" spans="2:14" ht="24.75" thickBot="1">
      <c r="B24" s="437"/>
      <c r="C24" s="95"/>
      <c r="D24" s="41" t="s">
        <v>1041</v>
      </c>
      <c r="E24" s="490">
        <f>+J20</f>
        <v>1</v>
      </c>
      <c r="F24" s="198"/>
      <c r="G24" s="6"/>
      <c r="H24" s="6"/>
      <c r="I24" s="6"/>
      <c r="J24" s="6"/>
      <c r="K24" s="6"/>
      <c r="M24" s="14"/>
    </row>
    <row r="25" spans="2:14" ht="24.75" thickBot="1">
      <c r="B25" s="437"/>
      <c r="C25" s="95"/>
      <c r="D25" s="41" t="s">
        <v>1042</v>
      </c>
      <c r="E25" s="471">
        <f>+E24/E23</f>
        <v>0.2</v>
      </c>
      <c r="F25" s="198"/>
      <c r="G25" s="6"/>
      <c r="H25" s="6"/>
      <c r="I25" s="6"/>
      <c r="J25" s="6"/>
      <c r="K25" s="6"/>
      <c r="M25" s="14"/>
    </row>
    <row r="26" spans="2:14">
      <c r="B26" s="437"/>
      <c r="C26" s="93"/>
      <c r="D26" s="1566" t="s">
        <v>1043</v>
      </c>
      <c r="E26" s="1567"/>
      <c r="F26" s="1567"/>
      <c r="G26" s="1567"/>
      <c r="H26" s="1567"/>
      <c r="I26" s="1567"/>
      <c r="J26" s="1567"/>
      <c r="K26" s="1567"/>
      <c r="L26" s="1626"/>
      <c r="M26" s="1599"/>
    </row>
    <row r="27" spans="2:14" ht="15.75" thickBot="1">
      <c r="B27" s="437"/>
      <c r="C27" s="93"/>
      <c r="D27" s="1461" t="s">
        <v>1044</v>
      </c>
      <c r="E27" s="1462"/>
      <c r="F27" s="1462"/>
      <c r="G27" s="1462"/>
      <c r="H27" s="1462"/>
      <c r="I27" s="1462"/>
      <c r="J27" s="1462"/>
      <c r="K27" s="1462"/>
      <c r="L27" s="1531"/>
      <c r="M27" s="1517"/>
    </row>
    <row r="28" spans="2:14" ht="24.75" thickBot="1">
      <c r="B28" s="437"/>
      <c r="C28" s="95"/>
      <c r="D28" s="44" t="s">
        <v>1045</v>
      </c>
      <c r="E28" s="466">
        <v>1</v>
      </c>
      <c r="F28" s="6"/>
      <c r="G28" s="6"/>
      <c r="H28" s="6"/>
      <c r="I28" s="6"/>
      <c r="J28" s="6"/>
      <c r="K28" s="6"/>
      <c r="M28" s="14"/>
    </row>
    <row r="29" spans="2:14" ht="24.75" thickBot="1">
      <c r="B29" s="437"/>
      <c r="C29" s="95"/>
      <c r="D29" s="41" t="s">
        <v>1046</v>
      </c>
      <c r="E29" s="466">
        <v>10</v>
      </c>
      <c r="F29" s="6"/>
      <c r="G29" s="6"/>
      <c r="H29" s="6"/>
      <c r="I29" s="6"/>
      <c r="J29" s="6"/>
      <c r="K29" s="6"/>
      <c r="M29" s="14"/>
    </row>
    <row r="30" spans="2:14" ht="24.75" thickBot="1">
      <c r="B30" s="437"/>
      <c r="C30" s="95"/>
      <c r="D30" s="41" t="s">
        <v>1047</v>
      </c>
      <c r="E30" s="466">
        <v>1</v>
      </c>
      <c r="F30" s="6"/>
      <c r="G30" s="6"/>
      <c r="H30" s="6"/>
      <c r="I30" s="6"/>
      <c r="J30" s="6"/>
      <c r="K30" s="6"/>
      <c r="M30" s="14"/>
    </row>
    <row r="31" spans="2:14" ht="15.75" thickBot="1">
      <c r="B31" s="437"/>
      <c r="C31" s="93"/>
      <c r="D31" s="1492" t="s">
        <v>1048</v>
      </c>
      <c r="E31" s="1493"/>
      <c r="F31" s="1493"/>
      <c r="G31" s="1493"/>
      <c r="H31" s="1493"/>
      <c r="I31" s="1493"/>
      <c r="J31" s="1493"/>
      <c r="K31" s="1493"/>
      <c r="L31" s="1627"/>
      <c r="M31" s="1518"/>
    </row>
    <row r="32" spans="2:14" ht="15.75" thickBot="1">
      <c r="B32" s="437"/>
      <c r="C32" s="99" t="s">
        <v>24</v>
      </c>
      <c r="D32" s="44" t="s">
        <v>1049</v>
      </c>
      <c r="E32" s="436">
        <v>1</v>
      </c>
      <c r="F32" s="436" t="s">
        <v>1703</v>
      </c>
      <c r="G32" s="1034" t="s">
        <v>1703</v>
      </c>
      <c r="H32" s="1034" t="s">
        <v>1703</v>
      </c>
      <c r="I32" s="1034" t="s">
        <v>1703</v>
      </c>
      <c r="J32" s="1034" t="s">
        <v>1703</v>
      </c>
      <c r="K32" s="1034" t="s">
        <v>1703</v>
      </c>
      <c r="L32" s="1034" t="s">
        <v>1703</v>
      </c>
      <c r="M32" s="1034" t="s">
        <v>1703</v>
      </c>
      <c r="N32" s="1034" t="s">
        <v>1703</v>
      </c>
    </row>
    <row r="33" spans="2:14" ht="15.75" thickBot="1">
      <c r="B33" s="437"/>
      <c r="C33" s="3" t="s">
        <v>158</v>
      </c>
      <c r="D33" s="41" t="s">
        <v>1050</v>
      </c>
      <c r="E33" s="495" t="s">
        <v>1690</v>
      </c>
      <c r="F33" s="495" t="s">
        <v>1691</v>
      </c>
      <c r="G33" s="495" t="s">
        <v>1692</v>
      </c>
      <c r="H33" s="495" t="s">
        <v>1693</v>
      </c>
      <c r="I33" s="495" t="s">
        <v>1694</v>
      </c>
      <c r="J33" s="495" t="s">
        <v>1696</v>
      </c>
      <c r="K33" s="495" t="s">
        <v>1695</v>
      </c>
      <c r="L33" s="496" t="s">
        <v>1697</v>
      </c>
      <c r="M33" s="1039" t="s">
        <v>1698</v>
      </c>
      <c r="N33" s="1039" t="s">
        <v>1699</v>
      </c>
    </row>
    <row r="34" spans="2:14" ht="15.75" thickBot="1">
      <c r="B34" s="437"/>
      <c r="C34" s="3" t="s">
        <v>160</v>
      </c>
      <c r="D34" s="440" t="s">
        <v>1051</v>
      </c>
      <c r="E34" s="395" t="s">
        <v>1690</v>
      </c>
      <c r="F34" s="395" t="s">
        <v>1691</v>
      </c>
      <c r="G34" s="395" t="s">
        <v>1692</v>
      </c>
      <c r="H34" s="498" t="s">
        <v>1700</v>
      </c>
      <c r="I34" s="498" t="s">
        <v>1701</v>
      </c>
      <c r="J34" s="498" t="s">
        <v>1701</v>
      </c>
      <c r="K34" s="498" t="s">
        <v>1692</v>
      </c>
      <c r="L34" s="499" t="s">
        <v>1692</v>
      </c>
      <c r="M34" s="1040" t="s">
        <v>1692</v>
      </c>
      <c r="N34" s="395" t="s">
        <v>1702</v>
      </c>
    </row>
    <row r="35" spans="2:14" ht="24.75" thickBot="1">
      <c r="B35" s="437"/>
      <c r="C35" s="3" t="s">
        <v>162</v>
      </c>
      <c r="D35" s="440" t="s">
        <v>1052</v>
      </c>
      <c r="E35" s="1038">
        <v>90</v>
      </c>
      <c r="F35" s="1037">
        <v>90</v>
      </c>
      <c r="G35" s="1037">
        <v>90</v>
      </c>
      <c r="H35" s="469">
        <v>90</v>
      </c>
      <c r="I35" s="469">
        <v>90</v>
      </c>
      <c r="J35" s="469">
        <v>90</v>
      </c>
      <c r="K35" s="469">
        <v>90</v>
      </c>
      <c r="L35" s="500">
        <v>90</v>
      </c>
      <c r="M35" s="1042">
        <v>90</v>
      </c>
      <c r="N35" s="1041">
        <v>90</v>
      </c>
    </row>
    <row r="36" spans="2:14" ht="24.75" thickBot="1">
      <c r="B36" s="437"/>
      <c r="C36" s="3" t="s">
        <v>266</v>
      </c>
      <c r="D36" s="440" t="s">
        <v>1053</v>
      </c>
      <c r="E36" s="501">
        <v>22</v>
      </c>
      <c r="F36" s="502">
        <v>22</v>
      </c>
      <c r="G36" s="502">
        <v>22</v>
      </c>
      <c r="H36" s="502">
        <v>22</v>
      </c>
      <c r="I36" s="502">
        <v>22</v>
      </c>
      <c r="J36" s="502">
        <v>22</v>
      </c>
      <c r="K36" s="502">
        <v>22</v>
      </c>
      <c r="L36" s="503">
        <v>22</v>
      </c>
      <c r="M36" s="1042">
        <v>22</v>
      </c>
      <c r="N36" s="1042">
        <v>22</v>
      </c>
    </row>
    <row r="37" spans="2:14" ht="24.75" thickBot="1">
      <c r="B37" s="437"/>
      <c r="C37" s="1520" t="s">
        <v>268</v>
      </c>
      <c r="D37" s="47" t="s">
        <v>1054</v>
      </c>
      <c r="E37" s="497">
        <f>IFERROR(E36/E35,"N.A.")</f>
        <v>0.24444444444444444</v>
      </c>
      <c r="F37" s="497">
        <f t="shared" ref="F37:N37" si="0">IFERROR(F36/F35,"N.A.")</f>
        <v>0.24444444444444444</v>
      </c>
      <c r="G37" s="497">
        <f t="shared" si="0"/>
        <v>0.24444444444444444</v>
      </c>
      <c r="H37" s="497">
        <f t="shared" si="0"/>
        <v>0.24444444444444444</v>
      </c>
      <c r="I37" s="497">
        <f t="shared" si="0"/>
        <v>0.24444444444444444</v>
      </c>
      <c r="J37" s="497">
        <f t="shared" si="0"/>
        <v>0.24444444444444444</v>
      </c>
      <c r="K37" s="497">
        <f t="shared" si="0"/>
        <v>0.24444444444444444</v>
      </c>
      <c r="L37" s="497">
        <f t="shared" si="0"/>
        <v>0.24444444444444444</v>
      </c>
      <c r="M37" s="497">
        <f t="shared" si="0"/>
        <v>0.24444444444444444</v>
      </c>
      <c r="N37" s="497">
        <f t="shared" si="0"/>
        <v>0.24444444444444444</v>
      </c>
    </row>
    <row r="38" spans="2:14" ht="24.75" thickBot="1">
      <c r="B38" s="437"/>
      <c r="C38" s="1521"/>
      <c r="D38" s="41" t="s">
        <v>1055</v>
      </c>
      <c r="E38" s="156">
        <f>+IF(E37="N.A.","N.A.",IF(E37&gt;=75%,1,0))</f>
        <v>0</v>
      </c>
      <c r="F38" s="156">
        <f t="shared" ref="F38:N38" si="1">+IF(F37="N.A.","N.A.",IF(F37&gt;=75%,1,0))</f>
        <v>0</v>
      </c>
      <c r="G38" s="156">
        <f t="shared" si="1"/>
        <v>0</v>
      </c>
      <c r="H38" s="156">
        <f t="shared" si="1"/>
        <v>0</v>
      </c>
      <c r="I38" s="156">
        <f t="shared" si="1"/>
        <v>0</v>
      </c>
      <c r="J38" s="156">
        <f t="shared" si="1"/>
        <v>0</v>
      </c>
      <c r="K38" s="156">
        <f t="shared" si="1"/>
        <v>0</v>
      </c>
      <c r="L38" s="156">
        <f t="shared" si="1"/>
        <v>0</v>
      </c>
      <c r="M38" s="156">
        <f t="shared" si="1"/>
        <v>0</v>
      </c>
      <c r="N38" s="156">
        <f t="shared" si="1"/>
        <v>0</v>
      </c>
    </row>
    <row r="39" spans="2:14" ht="15.75" thickBot="1">
      <c r="B39" s="437"/>
      <c r="C39" s="3" t="s">
        <v>270</v>
      </c>
      <c r="D39" s="41" t="s">
        <v>1056</v>
      </c>
      <c r="E39" s="1628"/>
      <c r="F39" s="1629"/>
      <c r="G39" s="1629"/>
      <c r="H39" s="1629"/>
      <c r="I39" s="1629"/>
      <c r="J39" s="1629"/>
      <c r="K39" s="1629"/>
      <c r="L39" s="1629"/>
      <c r="M39" s="1629"/>
      <c r="N39" s="1630"/>
    </row>
    <row r="40" spans="2:14">
      <c r="B40" s="437"/>
      <c r="C40" s="93"/>
      <c r="D40" s="1458"/>
      <c r="E40" s="1459"/>
      <c r="F40" s="1459"/>
      <c r="G40" s="1459"/>
      <c r="H40" s="1459"/>
      <c r="I40" s="1459"/>
      <c r="J40" s="1459"/>
      <c r="K40" s="1459"/>
      <c r="L40" s="1538"/>
      <c r="M40" s="1516"/>
    </row>
    <row r="41" spans="2:14" ht="15.75" thickBot="1">
      <c r="B41" s="437"/>
      <c r="C41" s="93"/>
      <c r="D41" s="1464" t="s">
        <v>1057</v>
      </c>
      <c r="E41" s="1465"/>
      <c r="F41" s="1465"/>
      <c r="G41" s="1465"/>
      <c r="H41" s="1465"/>
      <c r="I41" s="1465"/>
      <c r="J41" s="1465"/>
      <c r="K41" s="1465"/>
      <c r="L41" s="1532"/>
      <c r="M41" s="1516"/>
    </row>
    <row r="42" spans="2:14" ht="15.75" thickBot="1">
      <c r="B42" s="437"/>
      <c r="C42" s="99" t="s">
        <v>24</v>
      </c>
      <c r="D42" s="44" t="s">
        <v>1058</v>
      </c>
      <c r="E42" s="7">
        <v>1</v>
      </c>
      <c r="F42" s="7">
        <v>1</v>
      </c>
      <c r="G42" s="7"/>
      <c r="H42" s="44" t="s">
        <v>157</v>
      </c>
      <c r="I42" s="6"/>
      <c r="J42" s="163" t="s">
        <v>1198</v>
      </c>
      <c r="K42" s="6"/>
      <c r="M42" s="14"/>
    </row>
    <row r="43" spans="2:14" ht="15.75" thickBot="1">
      <c r="B43" s="437"/>
      <c r="C43" s="3" t="s">
        <v>272</v>
      </c>
      <c r="D43" s="41" t="s">
        <v>1059</v>
      </c>
      <c r="E43" s="1043">
        <v>1</v>
      </c>
      <c r="F43" s="31">
        <v>1</v>
      </c>
      <c r="G43" s="31"/>
      <c r="H43" s="157">
        <f>MAX(E42:G42)</f>
        <v>1</v>
      </c>
      <c r="I43" s="6"/>
      <c r="K43" s="6"/>
      <c r="M43" s="14"/>
    </row>
    <row r="44" spans="2:14" ht="15.75" thickBot="1">
      <c r="B44" s="437"/>
      <c r="C44" s="3" t="s">
        <v>274</v>
      </c>
      <c r="D44" s="41" t="s">
        <v>1063</v>
      </c>
      <c r="E44" s="7">
        <v>10</v>
      </c>
      <c r="F44" s="7"/>
      <c r="G44" s="7"/>
      <c r="H44" s="158">
        <f>SUM(E44:G44)</f>
        <v>10</v>
      </c>
      <c r="I44" s="6"/>
      <c r="J44" s="6"/>
      <c r="K44" s="6"/>
      <c r="M44" s="14"/>
    </row>
    <row r="45" spans="2:14" ht="36.75" thickBot="1">
      <c r="B45" s="437"/>
      <c r="C45" s="3" t="s">
        <v>276</v>
      </c>
      <c r="D45" s="41" t="s">
        <v>1064</v>
      </c>
      <c r="E45" s="7">
        <v>0</v>
      </c>
      <c r="F45" s="7"/>
      <c r="G45" s="7"/>
      <c r="H45" s="158">
        <f>SUM(E45:G45)</f>
        <v>0</v>
      </c>
      <c r="I45" s="6"/>
      <c r="J45" s="6"/>
      <c r="K45" s="6"/>
      <c r="M45" s="14"/>
    </row>
    <row r="46" spans="2:14" ht="24.75" thickBot="1">
      <c r="B46" s="437"/>
      <c r="C46" s="1520" t="s">
        <v>1065</v>
      </c>
      <c r="D46" s="47" t="s">
        <v>1066</v>
      </c>
      <c r="E46" s="155">
        <f>IFERROR(E45/E44,"N.A.")</f>
        <v>0</v>
      </c>
      <c r="F46" s="155" t="str">
        <f t="shared" ref="F46:G46" si="2">IFERROR(F45/F44,"N.A.")</f>
        <v>N.A.</v>
      </c>
      <c r="G46" s="155" t="str">
        <f t="shared" si="2"/>
        <v>N.A.</v>
      </c>
      <c r="H46" s="159"/>
      <c r="I46" s="6"/>
      <c r="J46" s="6"/>
      <c r="K46" s="6"/>
      <c r="M46" s="14"/>
    </row>
    <row r="47" spans="2:14" ht="24.75" thickBot="1">
      <c r="B47" s="437"/>
      <c r="C47" s="1521"/>
      <c r="D47" s="41" t="s">
        <v>1067</v>
      </c>
      <c r="E47" s="156">
        <f>+IF(E46="N.A.","N.A.",IF(E46&gt;=75%,1,0))</f>
        <v>0</v>
      </c>
      <c r="F47" s="156" t="str">
        <f t="shared" ref="F47:G47" si="3">+IF(F46="N.A.","N.A.",IF(F46&gt;=75%,1,0))</f>
        <v>N.A.</v>
      </c>
      <c r="G47" s="156" t="str">
        <f t="shared" si="3"/>
        <v>N.A.</v>
      </c>
      <c r="H47" s="158">
        <f>SUM(E47:G47)</f>
        <v>0</v>
      </c>
      <c r="I47" s="6"/>
      <c r="J47" s="6"/>
      <c r="K47" s="6"/>
      <c r="M47" s="14"/>
    </row>
    <row r="48" spans="2:14" ht="15.75" thickBot="1">
      <c r="B48" s="437"/>
      <c r="C48" s="3" t="s">
        <v>1068</v>
      </c>
      <c r="D48" s="1453" t="s">
        <v>1069</v>
      </c>
      <c r="E48" s="1454"/>
      <c r="F48" s="1454"/>
      <c r="G48" s="1455"/>
      <c r="H48" s="220">
        <f>IFERROR(H47/H43,"N.A.")</f>
        <v>0</v>
      </c>
      <c r="I48" s="6"/>
      <c r="J48" s="6"/>
      <c r="K48" s="6"/>
      <c r="M48" s="14"/>
    </row>
    <row r="49" spans="2:18" ht="15.75" thickBot="1">
      <c r="B49" s="437"/>
      <c r="C49" s="93"/>
      <c r="D49" s="1566" t="s">
        <v>1070</v>
      </c>
      <c r="E49" s="1567"/>
      <c r="F49" s="1567"/>
      <c r="G49" s="1567"/>
      <c r="H49" s="1567"/>
      <c r="I49" s="1567"/>
      <c r="J49" s="1567"/>
      <c r="K49" s="1567"/>
      <c r="L49" s="1626"/>
      <c r="M49" s="1599"/>
      <c r="P49">
        <f>390/1560</f>
        <v>0.25</v>
      </c>
      <c r="R49">
        <f>300/1200</f>
        <v>0.25</v>
      </c>
    </row>
    <row r="50" spans="2:18" ht="24.75" thickBot="1">
      <c r="B50" s="437"/>
      <c r="C50" s="95"/>
      <c r="D50" s="44" t="s">
        <v>1045</v>
      </c>
      <c r="E50" s="7">
        <v>0</v>
      </c>
      <c r="F50" s="6"/>
      <c r="G50" s="6"/>
      <c r="H50" s="6"/>
      <c r="I50" s="6"/>
      <c r="J50" s="6"/>
      <c r="K50" s="6"/>
      <c r="M50" s="14"/>
    </row>
    <row r="51" spans="2:18" ht="24.75" thickBot="1">
      <c r="B51" s="437"/>
      <c r="C51" s="95"/>
      <c r="D51" s="41" t="s">
        <v>1046</v>
      </c>
      <c r="E51" s="7">
        <v>0</v>
      </c>
      <c r="F51" s="6"/>
      <c r="G51" s="6"/>
      <c r="H51" s="6"/>
      <c r="I51" s="6"/>
      <c r="J51" s="6"/>
      <c r="K51" s="6"/>
      <c r="M51" s="14"/>
    </row>
    <row r="52" spans="2:18" ht="24.75" thickBot="1">
      <c r="B52" s="437"/>
      <c r="C52" s="95"/>
      <c r="D52" s="41" t="s">
        <v>1047</v>
      </c>
      <c r="E52" s="7">
        <v>0</v>
      </c>
      <c r="F52" s="6"/>
      <c r="G52" s="6"/>
      <c r="H52" s="6"/>
      <c r="I52" s="6"/>
      <c r="J52" s="6"/>
      <c r="K52" s="6"/>
      <c r="M52" s="14"/>
    </row>
    <row r="53" spans="2:18" ht="15.75" thickBot="1">
      <c r="B53" s="437"/>
      <c r="C53" s="93"/>
      <c r="D53" s="1492" t="s">
        <v>1048</v>
      </c>
      <c r="E53" s="1493"/>
      <c r="F53" s="1493"/>
      <c r="G53" s="1493"/>
      <c r="H53" s="1493"/>
      <c r="I53" s="1493"/>
      <c r="J53" s="1493"/>
      <c r="K53" s="1493"/>
      <c r="L53" s="1627"/>
      <c r="M53" s="1518"/>
    </row>
    <row r="54" spans="2:18" ht="15.75" thickBot="1">
      <c r="B54" s="437"/>
      <c r="C54" s="99" t="s">
        <v>24</v>
      </c>
      <c r="D54" s="44" t="s">
        <v>1049</v>
      </c>
      <c r="E54" s="1044">
        <v>0</v>
      </c>
      <c r="F54" s="436"/>
      <c r="G54" s="436"/>
      <c r="H54" s="436"/>
      <c r="I54" s="436"/>
      <c r="J54" s="436"/>
      <c r="K54" s="436"/>
      <c r="L54" s="467"/>
      <c r="M54" s="120"/>
    </row>
    <row r="55" spans="2:18" ht="15.75" thickBot="1">
      <c r="B55" s="437"/>
      <c r="C55" s="3" t="s">
        <v>158</v>
      </c>
      <c r="D55" s="41" t="s">
        <v>1050</v>
      </c>
      <c r="E55" s="1043">
        <v>0</v>
      </c>
      <c r="F55" s="31"/>
      <c r="G55" s="31"/>
      <c r="H55" s="31"/>
      <c r="I55" s="31"/>
      <c r="J55" s="31"/>
      <c r="K55" s="31"/>
      <c r="L55" s="468"/>
      <c r="M55" s="12"/>
    </row>
    <row r="56" spans="2:18" ht="15.75" thickBot="1">
      <c r="B56" s="437"/>
      <c r="C56" s="3" t="s">
        <v>160</v>
      </c>
      <c r="D56" s="41" t="s">
        <v>1051</v>
      </c>
      <c r="E56" s="31"/>
      <c r="F56" s="31"/>
      <c r="G56" s="31"/>
      <c r="H56" s="31"/>
      <c r="I56" s="31"/>
      <c r="J56" s="31"/>
      <c r="K56" s="31"/>
      <c r="L56" s="468"/>
      <c r="M56" s="12"/>
    </row>
    <row r="57" spans="2:18" ht="24.75" thickBot="1">
      <c r="B57" s="437"/>
      <c r="C57" s="3" t="s">
        <v>162</v>
      </c>
      <c r="D57" s="41" t="s">
        <v>1052</v>
      </c>
      <c r="E57" s="469">
        <v>0</v>
      </c>
      <c r="F57" s="469"/>
      <c r="G57" s="469"/>
      <c r="H57" s="469"/>
      <c r="I57" s="469"/>
      <c r="J57" s="469"/>
      <c r="K57" s="469"/>
      <c r="L57" s="469"/>
      <c r="M57" s="12"/>
    </row>
    <row r="58" spans="2:18" ht="24.75" thickBot="1">
      <c r="B58" s="437"/>
      <c r="C58" s="3" t="s">
        <v>266</v>
      </c>
      <c r="D58" s="41" t="s">
        <v>1053</v>
      </c>
      <c r="E58" s="469">
        <v>0</v>
      </c>
      <c r="F58" s="469"/>
      <c r="G58" s="469"/>
      <c r="H58" s="469"/>
      <c r="I58" s="469"/>
      <c r="J58" s="469"/>
      <c r="K58" s="469"/>
      <c r="L58" s="469"/>
      <c r="M58" s="12"/>
    </row>
    <row r="59" spans="2:18" ht="24.75" thickBot="1">
      <c r="B59" s="437"/>
      <c r="C59" s="1520" t="s">
        <v>268</v>
      </c>
      <c r="D59" s="47" t="s">
        <v>1054</v>
      </c>
      <c r="E59" s="155" t="str">
        <f>IFERROR(E58/E57,"N.A.")</f>
        <v>N.A.</v>
      </c>
      <c r="F59" s="155" t="str">
        <f t="shared" ref="F59" si="4">IFERROR(F58/F57,"N.A.")</f>
        <v>N.A.</v>
      </c>
      <c r="G59" s="155" t="str">
        <f t="shared" ref="G59" si="5">IFERROR(G58/G57,"N.A.")</f>
        <v>N.A.</v>
      </c>
      <c r="H59" s="155" t="str">
        <f t="shared" ref="H59" si="6">IFERROR(H58/H57,"N.A.")</f>
        <v>N.A.</v>
      </c>
      <c r="I59" s="155" t="str">
        <f t="shared" ref="I59" si="7">IFERROR(I58/I57,"N.A.")</f>
        <v>N.A.</v>
      </c>
      <c r="J59" s="155" t="str">
        <f t="shared" ref="J59" si="8">IFERROR(J58/J57,"N.A.")</f>
        <v>N.A.</v>
      </c>
      <c r="K59" s="155" t="str">
        <f t="shared" ref="K59" si="9">IFERROR(K58/K57,"N.A.")</f>
        <v>N.A.</v>
      </c>
      <c r="L59" s="155" t="str">
        <f t="shared" ref="L59" si="10">IFERROR(L58/L57,"N.A.")</f>
        <v>N.A.</v>
      </c>
      <c r="M59" s="12"/>
    </row>
    <row r="60" spans="2:18" ht="24.75" thickBot="1">
      <c r="B60" s="437"/>
      <c r="C60" s="1521"/>
      <c r="D60" s="41" t="s">
        <v>1071</v>
      </c>
      <c r="E60" s="156" t="str">
        <f>+IF(E59="N.A.","N.A.",IF(E59&gt;=75%,1,0))</f>
        <v>N.A.</v>
      </c>
      <c r="F60" s="156" t="str">
        <f t="shared" ref="F60:L60" si="11">+IF(F59="N.A.","N.A.",IF(F59&gt;=75%,1,0))</f>
        <v>N.A.</v>
      </c>
      <c r="G60" s="156" t="str">
        <f t="shared" si="11"/>
        <v>N.A.</v>
      </c>
      <c r="H60" s="156" t="str">
        <f t="shared" si="11"/>
        <v>N.A.</v>
      </c>
      <c r="I60" s="156" t="str">
        <f t="shared" si="11"/>
        <v>N.A.</v>
      </c>
      <c r="J60" s="156" t="str">
        <f t="shared" si="11"/>
        <v>N.A.</v>
      </c>
      <c r="K60" s="156" t="str">
        <f t="shared" si="11"/>
        <v>N.A.</v>
      </c>
      <c r="L60" s="156" t="str">
        <f t="shared" si="11"/>
        <v>N.A.</v>
      </c>
      <c r="M60" s="12"/>
    </row>
    <row r="61" spans="2:18" ht="15.75" thickBot="1">
      <c r="B61" s="437"/>
      <c r="C61" s="3" t="s">
        <v>270</v>
      </c>
      <c r="D61" s="41" t="s">
        <v>1056</v>
      </c>
      <c r="E61" s="30"/>
      <c r="F61" s="31"/>
      <c r="G61" s="31"/>
      <c r="H61" s="31"/>
      <c r="I61" s="31"/>
      <c r="J61" s="31"/>
      <c r="K61" s="31"/>
      <c r="L61" s="468"/>
      <c r="M61" s="13"/>
    </row>
    <row r="62" spans="2:18">
      <c r="B62" s="437"/>
      <c r="C62" s="93"/>
      <c r="D62" s="1458"/>
      <c r="E62" s="1459"/>
      <c r="F62" s="1459"/>
      <c r="G62" s="1459"/>
      <c r="H62" s="1459"/>
      <c r="I62" s="1459"/>
      <c r="J62" s="1459"/>
      <c r="K62" s="1459"/>
      <c r="L62" s="1538"/>
      <c r="M62" s="1509"/>
    </row>
    <row r="63" spans="2:18" ht="15.75" thickBot="1">
      <c r="B63" s="437"/>
      <c r="C63" s="93"/>
      <c r="D63" s="1464" t="s">
        <v>1057</v>
      </c>
      <c r="E63" s="1465"/>
      <c r="F63" s="1465"/>
      <c r="G63" s="1465"/>
      <c r="H63" s="1465"/>
      <c r="I63" s="1465"/>
      <c r="J63" s="1465"/>
      <c r="K63" s="1465"/>
      <c r="L63" s="1532"/>
      <c r="M63" s="1516"/>
    </row>
    <row r="64" spans="2:18" ht="15.75" thickBot="1">
      <c r="B64" s="437"/>
      <c r="C64" s="99" t="s">
        <v>24</v>
      </c>
      <c r="D64" s="44" t="s">
        <v>1058</v>
      </c>
      <c r="E64" s="124">
        <v>1</v>
      </c>
      <c r="F64" s="124">
        <v>2</v>
      </c>
      <c r="G64" s="124">
        <v>3</v>
      </c>
      <c r="H64" s="124" t="s">
        <v>157</v>
      </c>
      <c r="I64" s="6"/>
      <c r="J64" s="6"/>
      <c r="K64" s="6"/>
      <c r="M64" s="14"/>
    </row>
    <row r="65" spans="2:13" ht="15.75" thickBot="1">
      <c r="B65" s="437"/>
      <c r="C65" s="3" t="s">
        <v>272</v>
      </c>
      <c r="D65" s="41" t="s">
        <v>1059</v>
      </c>
      <c r="E65" s="40" t="s">
        <v>1060</v>
      </c>
      <c r="F65" s="40" t="s">
        <v>1061</v>
      </c>
      <c r="G65" s="40" t="s">
        <v>1062</v>
      </c>
      <c r="H65" s="157">
        <f>MAX(E64:G64)</f>
        <v>3</v>
      </c>
      <c r="I65" s="6"/>
      <c r="J65" s="6"/>
      <c r="K65" s="6"/>
      <c r="M65" s="14"/>
    </row>
    <row r="66" spans="2:13" ht="15.75" thickBot="1">
      <c r="B66" s="437"/>
      <c r="C66" s="3" t="s">
        <v>274</v>
      </c>
      <c r="D66" s="41" t="s">
        <v>1063</v>
      </c>
      <c r="E66" s="7">
        <v>0</v>
      </c>
      <c r="F66" s="7"/>
      <c r="G66" s="7"/>
      <c r="H66" s="158">
        <f>SUM(E66:G66)</f>
        <v>0</v>
      </c>
      <c r="I66" s="6"/>
      <c r="J66" s="6"/>
      <c r="K66" s="6"/>
      <c r="M66" s="14"/>
    </row>
    <row r="67" spans="2:13" ht="36.75" thickBot="1">
      <c r="B67" s="437"/>
      <c r="C67" s="3" t="s">
        <v>276</v>
      </c>
      <c r="D67" s="41" t="s">
        <v>1072</v>
      </c>
      <c r="E67" s="7">
        <v>0</v>
      </c>
      <c r="F67" s="7"/>
      <c r="G67" s="7"/>
      <c r="H67" s="158">
        <f>SUM(E67:G67)</f>
        <v>0</v>
      </c>
      <c r="I67" s="6"/>
      <c r="J67" s="6"/>
      <c r="K67" s="6"/>
      <c r="M67" s="14"/>
    </row>
    <row r="68" spans="2:13" ht="24.75" thickBot="1">
      <c r="B68" s="437"/>
      <c r="C68" s="1520" t="s">
        <v>1065</v>
      </c>
      <c r="D68" s="47" t="s">
        <v>1066</v>
      </c>
      <c r="E68" s="155" t="e">
        <f>+E67/E66</f>
        <v>#DIV/0!</v>
      </c>
      <c r="F68" s="155" t="e">
        <f t="shared" ref="F68" si="12">+F67/F66</f>
        <v>#DIV/0!</v>
      </c>
      <c r="G68" s="155" t="e">
        <f t="shared" ref="G68" si="13">+G67/G66</f>
        <v>#DIV/0!</v>
      </c>
      <c r="H68" s="159"/>
      <c r="I68" s="6"/>
      <c r="J68" s="6"/>
      <c r="K68" s="6"/>
      <c r="M68" s="14"/>
    </row>
    <row r="69" spans="2:13" ht="24.75" thickBot="1">
      <c r="B69" s="437"/>
      <c r="C69" s="1521"/>
      <c r="D69" s="41" t="s">
        <v>1067</v>
      </c>
      <c r="E69" s="156" t="e">
        <f>+IF(E68&gt;=75%,1,0)</f>
        <v>#DIV/0!</v>
      </c>
      <c r="F69" s="156" t="e">
        <f t="shared" ref="F69" si="14">+IF(F68&gt;=75%,1,0)</f>
        <v>#DIV/0!</v>
      </c>
      <c r="G69" s="156" t="e">
        <f t="shared" ref="G69" si="15">+IF(G68&gt;=75%,1,0)</f>
        <v>#DIV/0!</v>
      </c>
      <c r="H69" s="158" t="e">
        <f>SUM(E69:G69)</f>
        <v>#DIV/0!</v>
      </c>
      <c r="I69" s="6"/>
      <c r="J69" s="6"/>
      <c r="K69" s="6"/>
      <c r="M69" s="14"/>
    </row>
    <row r="70" spans="2:13" ht="15.75" thickBot="1">
      <c r="B70" s="437"/>
      <c r="C70" s="3" t="s">
        <v>1068</v>
      </c>
      <c r="D70" s="1453" t="s">
        <v>1069</v>
      </c>
      <c r="E70" s="1454"/>
      <c r="F70" s="1454"/>
      <c r="G70" s="1455"/>
      <c r="H70" s="160" t="str">
        <f>IFERROR(H69/H65,"N.A.")</f>
        <v>N.A.</v>
      </c>
      <c r="I70" s="6"/>
      <c r="J70" s="6"/>
      <c r="K70" s="6"/>
      <c r="M70" s="14"/>
    </row>
    <row r="71" spans="2:13">
      <c r="B71" s="437"/>
      <c r="C71" s="93"/>
      <c r="D71" s="1464"/>
      <c r="E71" s="1465"/>
      <c r="F71" s="1465"/>
      <c r="G71" s="1465"/>
      <c r="H71" s="1465"/>
      <c r="I71" s="1465"/>
      <c r="J71" s="1465"/>
      <c r="K71" s="1465"/>
      <c r="L71" s="1532"/>
      <c r="M71" s="1516"/>
    </row>
    <row r="72" spans="2:13" ht="15.75" thickBot="1">
      <c r="B72" s="437"/>
      <c r="C72" s="93"/>
      <c r="D72" s="1461" t="s">
        <v>1073</v>
      </c>
      <c r="E72" s="1462"/>
      <c r="F72" s="1462"/>
      <c r="G72" s="1462"/>
      <c r="H72" s="1462"/>
      <c r="I72" s="1462"/>
      <c r="J72" s="1462"/>
      <c r="K72" s="1462"/>
      <c r="L72" s="1531"/>
      <c r="M72" s="1517"/>
    </row>
    <row r="73" spans="2:13" ht="15.75" thickBot="1">
      <c r="B73" s="437"/>
      <c r="C73" s="99" t="s">
        <v>1074</v>
      </c>
      <c r="D73" s="39" t="s">
        <v>1075</v>
      </c>
      <c r="E73" s="161">
        <f>+H48</f>
        <v>0</v>
      </c>
      <c r="F73" s="6"/>
      <c r="G73" s="6"/>
      <c r="H73" s="6"/>
      <c r="I73" s="6"/>
      <c r="J73" s="6"/>
      <c r="K73" s="6"/>
      <c r="M73" s="14"/>
    </row>
    <row r="74" spans="2:13" ht="15.75" thickBot="1">
      <c r="B74" s="437"/>
      <c r="C74" s="3" t="s">
        <v>1076</v>
      </c>
      <c r="D74" s="40" t="s">
        <v>1077</v>
      </c>
      <c r="E74" s="162" t="str">
        <f>+H70</f>
        <v>N.A.</v>
      </c>
      <c r="F74" s="6"/>
      <c r="G74" s="6"/>
      <c r="H74" s="6"/>
      <c r="I74" s="6"/>
      <c r="J74" s="6"/>
      <c r="K74" s="6"/>
      <c r="M74" s="14"/>
    </row>
    <row r="75" spans="2:13" ht="36.75" thickBot="1">
      <c r="B75" s="437"/>
      <c r="C75" s="3" t="s">
        <v>24</v>
      </c>
      <c r="D75" s="129" t="s">
        <v>1078</v>
      </c>
      <c r="E75" s="162">
        <f>AVERAGE(E73:E74)</f>
        <v>0</v>
      </c>
      <c r="F75" s="6"/>
      <c r="G75" s="6"/>
      <c r="H75" s="6"/>
      <c r="I75" s="6"/>
      <c r="J75" s="6"/>
      <c r="K75" s="6"/>
      <c r="M75" s="14"/>
    </row>
    <row r="76" spans="2:13">
      <c r="B76" s="437"/>
      <c r="C76" s="93"/>
      <c r="D76" s="1464"/>
      <c r="E76" s="1465"/>
      <c r="F76" s="1465"/>
      <c r="G76" s="1465"/>
      <c r="H76" s="1465"/>
      <c r="I76" s="1465"/>
      <c r="J76" s="1465"/>
      <c r="K76" s="1465"/>
      <c r="L76" s="1532"/>
      <c r="M76" s="1516"/>
    </row>
    <row r="77" spans="2:13" ht="15.75" thickBot="1">
      <c r="B77" s="437"/>
      <c r="C77" s="93"/>
      <c r="D77" s="1461" t="s">
        <v>1079</v>
      </c>
      <c r="E77" s="1462"/>
      <c r="F77" s="1462"/>
      <c r="G77" s="1462"/>
      <c r="H77" s="1462"/>
      <c r="I77" s="1462"/>
      <c r="J77" s="1462"/>
      <c r="K77" s="1462"/>
      <c r="L77" s="1531"/>
      <c r="M77" s="1517"/>
    </row>
    <row r="78" spans="2:13" ht="15.75" thickBot="1">
      <c r="B78" s="437"/>
      <c r="C78" s="95"/>
      <c r="D78" s="25"/>
      <c r="E78" s="39" t="s">
        <v>1080</v>
      </c>
      <c r="F78" s="39" t="s">
        <v>1081</v>
      </c>
      <c r="H78" s="6"/>
      <c r="I78" s="6"/>
      <c r="J78" s="6"/>
      <c r="K78" s="6"/>
      <c r="M78" s="14"/>
    </row>
    <row r="79" spans="2:13" ht="24.75" thickBot="1">
      <c r="B79" s="437"/>
      <c r="C79" s="95"/>
      <c r="D79" s="129" t="s">
        <v>1082</v>
      </c>
      <c r="E79" s="149">
        <f>+E25</f>
        <v>0.2</v>
      </c>
      <c r="F79" s="32">
        <v>0.75</v>
      </c>
      <c r="G79" s="6"/>
      <c r="H79" s="6"/>
      <c r="I79" s="6"/>
      <c r="J79" s="6"/>
      <c r="K79" s="6"/>
      <c r="M79" s="14"/>
    </row>
    <row r="80" spans="2:13" ht="24.75" thickBot="1">
      <c r="B80" s="437"/>
      <c r="C80" s="95"/>
      <c r="D80" s="129" t="s">
        <v>1083</v>
      </c>
      <c r="E80" s="149">
        <f>+E75</f>
        <v>0</v>
      </c>
      <c r="F80" s="32">
        <v>0.25</v>
      </c>
      <c r="G80" s="6"/>
      <c r="H80" s="6"/>
      <c r="I80" s="6"/>
      <c r="J80" s="6"/>
      <c r="K80" s="6"/>
      <c r="M80" s="14"/>
    </row>
    <row r="81" spans="2:13" ht="24.75" thickBot="1">
      <c r="B81" s="438"/>
      <c r="C81" s="3"/>
      <c r="D81" s="129" t="s">
        <v>1013</v>
      </c>
      <c r="E81" s="216" t="str">
        <f>Formulas!$D$29</f>
        <v/>
      </c>
      <c r="F81" s="208">
        <f>IFERROR(Formulas!$E$29,0)</f>
        <v>0.15000000000000002</v>
      </c>
      <c r="G81" s="23"/>
      <c r="H81" s="23"/>
      <c r="I81" s="23"/>
      <c r="J81" s="23"/>
      <c r="K81" s="23"/>
      <c r="L81" s="15"/>
      <c r="M81" s="11"/>
    </row>
    <row r="82" spans="2:13" ht="24" customHeight="1" thickBot="1">
      <c r="B82" s="48" t="s">
        <v>39</v>
      </c>
      <c r="C82" s="94"/>
      <c r="D82" s="1453" t="s">
        <v>1084</v>
      </c>
      <c r="E82" s="1454"/>
      <c r="F82" s="1454"/>
      <c r="G82" s="1454"/>
      <c r="H82" s="1454"/>
      <c r="I82" s="1454"/>
      <c r="J82" s="1454"/>
      <c r="K82" s="1454"/>
      <c r="L82" s="1528"/>
      <c r="M82" s="1519"/>
    </row>
    <row r="83" spans="2:13" ht="48.75" thickBot="1">
      <c r="B83" s="48" t="s">
        <v>41</v>
      </c>
      <c r="C83" s="94"/>
      <c r="D83" s="1453" t="s">
        <v>165</v>
      </c>
      <c r="E83" s="1454"/>
      <c r="F83" s="1454"/>
      <c r="G83" s="1454"/>
      <c r="H83" s="1454"/>
      <c r="I83" s="1454"/>
      <c r="J83" s="1454"/>
      <c r="K83" s="1454"/>
      <c r="L83" s="1528"/>
      <c r="M83" s="1519"/>
    </row>
    <row r="84" spans="2:13" ht="15.75" thickBot="1">
      <c r="B84" s="2"/>
      <c r="C84" s="77"/>
      <c r="D84" s="6"/>
      <c r="E84" s="6"/>
      <c r="F84" s="6"/>
      <c r="G84" s="6"/>
      <c r="H84" s="6"/>
      <c r="I84" s="6"/>
      <c r="J84" s="6"/>
      <c r="K84" s="6"/>
    </row>
    <row r="85" spans="2:13" ht="24" customHeight="1" thickBot="1">
      <c r="B85" s="1450" t="s">
        <v>43</v>
      </c>
      <c r="C85" s="1451"/>
      <c r="D85" s="1451"/>
      <c r="E85" s="1452"/>
      <c r="F85" s="6"/>
      <c r="G85" s="6"/>
      <c r="H85" s="6"/>
      <c r="I85" s="6"/>
      <c r="J85" s="6"/>
      <c r="K85" s="6"/>
    </row>
    <row r="86" spans="2:13" ht="15.75" thickBot="1">
      <c r="B86" s="1447">
        <v>1</v>
      </c>
      <c r="C86" s="95"/>
      <c r="D86" s="49" t="s">
        <v>44</v>
      </c>
      <c r="E86" s="167" t="s">
        <v>1642</v>
      </c>
      <c r="F86" s="6"/>
      <c r="G86" s="6"/>
      <c r="H86" s="6"/>
      <c r="I86" s="6"/>
      <c r="J86" s="6"/>
      <c r="K86" s="6"/>
    </row>
    <row r="87" spans="2:13" ht="15.75" thickBot="1">
      <c r="B87" s="1448"/>
      <c r="C87" s="95"/>
      <c r="D87" s="41" t="s">
        <v>45</v>
      </c>
      <c r="E87" s="167" t="s">
        <v>1844</v>
      </c>
      <c r="F87" s="6"/>
      <c r="G87" s="6"/>
      <c r="H87" s="6"/>
      <c r="I87" s="6"/>
      <c r="J87" s="6"/>
      <c r="K87" s="6"/>
    </row>
    <row r="88" spans="2:13" ht="15.75" thickBot="1">
      <c r="B88" s="1448"/>
      <c r="C88" s="95"/>
      <c r="D88" s="41" t="s">
        <v>46</v>
      </c>
      <c r="E88" s="167" t="s">
        <v>1845</v>
      </c>
      <c r="F88" s="6"/>
      <c r="G88" s="6"/>
      <c r="H88" s="6"/>
      <c r="I88" s="6"/>
      <c r="J88" s="6"/>
      <c r="K88" s="6"/>
    </row>
    <row r="89" spans="2:13" ht="15.75" thickBot="1">
      <c r="B89" s="1448"/>
      <c r="C89" s="95"/>
      <c r="D89" s="41" t="s">
        <v>47</v>
      </c>
      <c r="E89" s="167" t="s">
        <v>1660</v>
      </c>
      <c r="F89" s="6"/>
      <c r="G89" s="6"/>
      <c r="H89" s="6"/>
      <c r="I89" s="6"/>
      <c r="J89" s="6"/>
      <c r="K89" s="6"/>
    </row>
    <row r="90" spans="2:13" ht="15.75" thickBot="1">
      <c r="B90" s="1448"/>
      <c r="C90" s="95"/>
      <c r="D90" s="41" t="s">
        <v>48</v>
      </c>
      <c r="E90" s="167" t="s">
        <v>1846</v>
      </c>
      <c r="F90" s="6"/>
      <c r="G90" s="6"/>
      <c r="H90" s="6"/>
      <c r="I90" s="6"/>
      <c r="J90" s="6"/>
      <c r="K90" s="6"/>
    </row>
    <row r="91" spans="2:13" ht="15.75" thickBot="1">
      <c r="B91" s="1448"/>
      <c r="C91" s="95"/>
      <c r="D91" s="41" t="s">
        <v>49</v>
      </c>
      <c r="E91" s="167" t="s">
        <v>1847</v>
      </c>
      <c r="F91" s="6"/>
      <c r="G91" s="6"/>
      <c r="H91" s="6"/>
      <c r="I91" s="6"/>
      <c r="J91" s="6"/>
      <c r="K91" s="6"/>
    </row>
    <row r="92" spans="2:13" ht="15.75" thickBot="1">
      <c r="B92" s="1449"/>
      <c r="C92" s="3"/>
      <c r="D92" s="41" t="s">
        <v>50</v>
      </c>
      <c r="E92" s="167" t="s">
        <v>1733</v>
      </c>
      <c r="F92" s="6"/>
      <c r="G92" s="6"/>
      <c r="H92" s="6"/>
      <c r="I92" s="6"/>
      <c r="J92" s="6"/>
      <c r="K92" s="6"/>
    </row>
    <row r="93" spans="2:13" ht="15.75" thickBot="1">
      <c r="B93" s="2"/>
      <c r="C93" s="77"/>
      <c r="D93" s="6"/>
      <c r="E93" s="6"/>
      <c r="F93" s="6"/>
      <c r="G93" s="6"/>
      <c r="H93" s="6"/>
      <c r="I93" s="6"/>
      <c r="J93" s="6"/>
      <c r="K93" s="6"/>
    </row>
    <row r="94" spans="2:13" ht="15.75" thickBot="1">
      <c r="B94" s="1450" t="s">
        <v>51</v>
      </c>
      <c r="C94" s="1451"/>
      <c r="D94" s="1451"/>
      <c r="E94" s="1452"/>
      <c r="F94" s="6"/>
      <c r="G94" s="6"/>
      <c r="H94" s="6"/>
      <c r="I94" s="6"/>
      <c r="J94" s="6"/>
      <c r="K94" s="6"/>
    </row>
    <row r="95" spans="2:13" ht="15.75" thickBot="1">
      <c r="B95" s="1447">
        <v>1</v>
      </c>
      <c r="C95" s="95"/>
      <c r="D95" s="49" t="s">
        <v>44</v>
      </c>
      <c r="E95" s="445" t="s">
        <v>52</v>
      </c>
      <c r="F95" s="6"/>
      <c r="G95" s="6"/>
      <c r="H95" s="6"/>
      <c r="I95" s="6"/>
      <c r="J95" s="6"/>
      <c r="K95" s="6"/>
    </row>
    <row r="96" spans="2:13" ht="15.75" thickBot="1">
      <c r="B96" s="1448"/>
      <c r="C96" s="95"/>
      <c r="D96" s="41" t="s">
        <v>45</v>
      </c>
      <c r="E96" s="445" t="s">
        <v>166</v>
      </c>
      <c r="F96" s="6"/>
      <c r="G96" s="6"/>
      <c r="H96" s="6"/>
      <c r="I96" s="6"/>
      <c r="J96" s="6"/>
      <c r="K96" s="6"/>
    </row>
    <row r="97" spans="2:11" ht="15.75" thickBot="1">
      <c r="B97" s="1448"/>
      <c r="C97" s="95"/>
      <c r="D97" s="41" t="s">
        <v>46</v>
      </c>
      <c r="E97" s="172"/>
      <c r="F97" s="6"/>
      <c r="G97" s="6"/>
      <c r="H97" s="6"/>
      <c r="I97" s="6"/>
      <c r="J97" s="6"/>
      <c r="K97" s="6"/>
    </row>
    <row r="98" spans="2:11" ht="15.75" thickBot="1">
      <c r="B98" s="1448"/>
      <c r="C98" s="95"/>
      <c r="D98" s="41" t="s">
        <v>47</v>
      </c>
      <c r="E98" s="172"/>
      <c r="F98" s="6"/>
      <c r="G98" s="6"/>
      <c r="H98" s="6"/>
      <c r="I98" s="6"/>
      <c r="J98" s="6"/>
      <c r="K98" s="6"/>
    </row>
    <row r="99" spans="2:11" ht="15.75" thickBot="1">
      <c r="B99" s="1448"/>
      <c r="C99" s="95"/>
      <c r="D99" s="41" t="s">
        <v>48</v>
      </c>
      <c r="E99" s="172"/>
      <c r="F99" s="6"/>
      <c r="G99" s="6"/>
      <c r="H99" s="6"/>
      <c r="I99" s="6"/>
      <c r="J99" s="6"/>
      <c r="K99" s="6"/>
    </row>
    <row r="100" spans="2:11" ht="15.75" thickBot="1">
      <c r="B100" s="1448"/>
      <c r="C100" s="95"/>
      <c r="D100" s="41" t="s">
        <v>49</v>
      </c>
      <c r="E100" s="172"/>
      <c r="F100" s="6"/>
      <c r="G100" s="6"/>
      <c r="H100" s="6"/>
      <c r="I100" s="6"/>
      <c r="J100" s="6"/>
      <c r="K100" s="6"/>
    </row>
    <row r="101" spans="2:11" ht="15.75" thickBot="1">
      <c r="B101" s="1449"/>
      <c r="C101" s="3"/>
      <c r="D101" s="41" t="s">
        <v>50</v>
      </c>
      <c r="E101" s="172"/>
      <c r="F101" s="6"/>
      <c r="G101" s="6"/>
      <c r="H101" s="6"/>
      <c r="I101" s="6"/>
      <c r="J101" s="6"/>
      <c r="K101" s="6"/>
    </row>
    <row r="102" spans="2:11" ht="15.75" thickBot="1">
      <c r="B102" s="2"/>
      <c r="C102" s="77"/>
      <c r="D102" s="6"/>
      <c r="E102" s="6"/>
      <c r="F102" s="6"/>
      <c r="G102" s="6"/>
      <c r="H102" s="6"/>
      <c r="I102" s="6"/>
      <c r="J102" s="6"/>
      <c r="K102" s="6"/>
    </row>
    <row r="103" spans="2:11" ht="15" customHeight="1" thickBot="1">
      <c r="B103" s="125" t="s">
        <v>54</v>
      </c>
      <c r="C103" s="126"/>
      <c r="D103" s="126"/>
      <c r="E103" s="127"/>
      <c r="G103" s="6"/>
      <c r="H103" s="6"/>
      <c r="I103" s="6"/>
      <c r="J103" s="6"/>
      <c r="K103" s="6"/>
    </row>
    <row r="104" spans="2:11" ht="24.75" thickBot="1">
      <c r="B104" s="48" t="s">
        <v>55</v>
      </c>
      <c r="C104" s="41" t="s">
        <v>56</v>
      </c>
      <c r="D104" s="41" t="s">
        <v>57</v>
      </c>
      <c r="E104" s="41" t="s">
        <v>58</v>
      </c>
      <c r="F104" s="6"/>
      <c r="G104" s="6"/>
      <c r="H104" s="6"/>
      <c r="I104" s="6"/>
      <c r="J104" s="6"/>
    </row>
    <row r="105" spans="2:11" ht="72.75" thickBot="1">
      <c r="B105" s="50">
        <v>42401</v>
      </c>
      <c r="C105" s="41">
        <v>1</v>
      </c>
      <c r="D105" s="51" t="s">
        <v>1085</v>
      </c>
      <c r="E105" s="41"/>
      <c r="F105" s="6"/>
      <c r="G105" s="6"/>
      <c r="H105" s="6"/>
      <c r="I105" s="6"/>
      <c r="J105" s="6"/>
    </row>
    <row r="106" spans="2:11" ht="15.75" thickBot="1">
      <c r="B106" s="4"/>
      <c r="C106" s="96"/>
      <c r="D106" s="6"/>
      <c r="E106" s="6"/>
      <c r="F106" s="6"/>
      <c r="G106" s="6"/>
      <c r="H106" s="6"/>
      <c r="I106" s="6"/>
      <c r="J106" s="6"/>
      <c r="K106" s="6"/>
    </row>
    <row r="107" spans="2:11" ht="24.75" thickBot="1">
      <c r="B107" s="136" t="s">
        <v>60</v>
      </c>
      <c r="C107" s="97"/>
      <c r="D107" s="6"/>
      <c r="E107" s="6"/>
      <c r="F107" s="6"/>
      <c r="G107" s="6"/>
      <c r="H107" s="6"/>
      <c r="I107" s="6"/>
      <c r="J107" s="6"/>
      <c r="K107" s="6"/>
    </row>
    <row r="108" spans="2:11">
      <c r="B108" s="1601"/>
      <c r="C108" s="1602"/>
      <c r="D108" s="1602"/>
      <c r="E108" s="1602"/>
      <c r="F108" s="1602"/>
      <c r="G108" s="1602"/>
      <c r="H108" s="1602"/>
      <c r="I108" s="1603"/>
      <c r="J108" s="6"/>
      <c r="K108" s="6"/>
    </row>
    <row r="109" spans="2:11" ht="15.75" thickBot="1">
      <c r="B109" s="1604"/>
      <c r="C109" s="1605"/>
      <c r="D109" s="1605"/>
      <c r="E109" s="1605"/>
      <c r="F109" s="1605"/>
      <c r="G109" s="1605"/>
      <c r="H109" s="1605"/>
      <c r="I109" s="1606"/>
      <c r="J109" s="6"/>
      <c r="K109" s="6"/>
    </row>
    <row r="110" spans="2:11" ht="15.75" thickBot="1">
      <c r="B110" s="6"/>
      <c r="D110" s="6"/>
      <c r="E110" s="6"/>
      <c r="F110" s="6"/>
      <c r="G110" s="6"/>
      <c r="H110" s="6"/>
      <c r="I110" s="6"/>
      <c r="J110" s="6"/>
      <c r="K110" s="6"/>
    </row>
    <row r="111" spans="2:11" ht="24.75" thickBot="1">
      <c r="B111" s="52" t="s">
        <v>61</v>
      </c>
      <c r="C111" s="98"/>
      <c r="D111" s="6"/>
      <c r="E111" s="6"/>
      <c r="F111" s="6"/>
      <c r="G111" s="6"/>
      <c r="H111" s="6"/>
      <c r="I111" s="6"/>
      <c r="J111" s="6"/>
      <c r="K111" s="6"/>
    </row>
    <row r="112" spans="2:11" ht="15.75" thickBot="1">
      <c r="B112" s="2"/>
      <c r="C112" s="77"/>
      <c r="D112" s="6"/>
      <c r="E112" s="6"/>
      <c r="F112" s="6"/>
      <c r="G112" s="6"/>
      <c r="H112" s="6"/>
      <c r="I112" s="6"/>
      <c r="J112" s="6"/>
      <c r="K112" s="6"/>
    </row>
    <row r="113" spans="2:11" ht="72.75" thickBot="1">
      <c r="B113" s="53" t="s">
        <v>62</v>
      </c>
      <c r="C113" s="99"/>
      <c r="D113" s="44" t="s">
        <v>1014</v>
      </c>
      <c r="E113" s="6"/>
      <c r="F113" s="6"/>
      <c r="G113" s="6"/>
      <c r="H113" s="6"/>
      <c r="I113" s="6"/>
      <c r="J113" s="6"/>
      <c r="K113" s="6"/>
    </row>
    <row r="114" spans="2:11">
      <c r="B114" s="1447" t="s">
        <v>64</v>
      </c>
      <c r="C114" s="95"/>
      <c r="D114" s="54" t="s">
        <v>65</v>
      </c>
      <c r="E114" s="6"/>
      <c r="F114" s="6"/>
      <c r="G114" s="6"/>
      <c r="H114" s="6"/>
      <c r="I114" s="6"/>
      <c r="J114" s="6"/>
      <c r="K114" s="6"/>
    </row>
    <row r="115" spans="2:11" ht="108">
      <c r="B115" s="1448"/>
      <c r="C115" s="95"/>
      <c r="D115" s="47" t="s">
        <v>1015</v>
      </c>
      <c r="E115" s="6"/>
      <c r="F115" s="6"/>
      <c r="G115" s="6"/>
      <c r="H115" s="6"/>
      <c r="I115" s="6"/>
      <c r="J115" s="6"/>
      <c r="K115" s="6"/>
    </row>
    <row r="116" spans="2:11">
      <c r="B116" s="1448"/>
      <c r="C116" s="95"/>
      <c r="D116" s="54" t="s">
        <v>139</v>
      </c>
      <c r="E116" s="6"/>
      <c r="F116" s="6"/>
      <c r="G116" s="6"/>
      <c r="H116" s="6"/>
      <c r="I116" s="6"/>
      <c r="J116" s="6"/>
      <c r="K116" s="6"/>
    </row>
    <row r="117" spans="2:11">
      <c r="B117" s="1448"/>
      <c r="C117" s="95"/>
      <c r="D117" s="47" t="s">
        <v>1016</v>
      </c>
      <c r="E117" s="6"/>
      <c r="F117" s="6"/>
      <c r="G117" s="6"/>
      <c r="H117" s="6"/>
      <c r="I117" s="6"/>
      <c r="J117" s="6"/>
      <c r="K117" s="6"/>
    </row>
    <row r="118" spans="2:11" ht="48">
      <c r="B118" s="1448"/>
      <c r="C118" s="95"/>
      <c r="D118" s="47" t="s">
        <v>1017</v>
      </c>
      <c r="E118" s="6"/>
      <c r="F118" s="6"/>
      <c r="G118" s="6"/>
      <c r="H118" s="6"/>
      <c r="I118" s="6"/>
      <c r="J118" s="6"/>
      <c r="K118" s="6"/>
    </row>
    <row r="119" spans="2:11">
      <c r="B119" s="1448"/>
      <c r="C119" s="95"/>
      <c r="D119" s="56" t="s">
        <v>1018</v>
      </c>
      <c r="E119" s="6"/>
      <c r="F119" s="6"/>
      <c r="G119" s="6"/>
      <c r="H119" s="6"/>
      <c r="I119" s="6"/>
      <c r="J119" s="6"/>
      <c r="K119" s="6"/>
    </row>
    <row r="120" spans="2:11" ht="15.75" thickBot="1">
      <c r="B120" s="1449"/>
      <c r="C120" s="3"/>
      <c r="D120" s="57" t="s">
        <v>1019</v>
      </c>
      <c r="E120" s="6"/>
      <c r="F120" s="6"/>
      <c r="G120" s="6"/>
      <c r="H120" s="6"/>
      <c r="I120" s="6"/>
      <c r="J120" s="6"/>
      <c r="K120" s="6"/>
    </row>
    <row r="121" spans="2:11" ht="24.75" thickBot="1">
      <c r="B121" s="48" t="s">
        <v>77</v>
      </c>
      <c r="C121" s="3"/>
      <c r="D121" s="41"/>
      <c r="E121" s="6"/>
      <c r="F121" s="6"/>
      <c r="G121" s="6"/>
      <c r="H121" s="6"/>
      <c r="I121" s="6"/>
      <c r="J121" s="6"/>
      <c r="K121" s="6"/>
    </row>
    <row r="122" spans="2:11" ht="72">
      <c r="B122" s="1447" t="s">
        <v>78</v>
      </c>
      <c r="C122" s="95"/>
      <c r="D122" s="47" t="s">
        <v>1020</v>
      </c>
      <c r="E122" s="6"/>
      <c r="F122" s="6"/>
      <c r="G122" s="6"/>
      <c r="H122" s="6"/>
      <c r="I122" s="6"/>
      <c r="J122" s="6"/>
      <c r="K122" s="6"/>
    </row>
    <row r="123" spans="2:11" ht="228">
      <c r="B123" s="1448"/>
      <c r="C123" s="95"/>
      <c r="D123" s="47" t="s">
        <v>1021</v>
      </c>
      <c r="E123" s="6"/>
      <c r="F123" s="6"/>
      <c r="G123" s="6"/>
      <c r="H123" s="6"/>
      <c r="I123" s="6"/>
      <c r="J123" s="6"/>
      <c r="K123" s="6"/>
    </row>
    <row r="124" spans="2:11" ht="84">
      <c r="B124" s="1448"/>
      <c r="C124" s="95"/>
      <c r="D124" s="47" t="s">
        <v>1022</v>
      </c>
      <c r="E124" s="6"/>
      <c r="F124" s="6"/>
      <c r="G124" s="6"/>
      <c r="H124" s="6"/>
      <c r="I124" s="6"/>
      <c r="J124" s="6"/>
      <c r="K124" s="6"/>
    </row>
    <row r="125" spans="2:11" ht="216.75" thickBot="1">
      <c r="B125" s="1449"/>
      <c r="C125" s="3"/>
      <c r="D125" s="41" t="s">
        <v>1023</v>
      </c>
      <c r="E125" s="6"/>
      <c r="F125" s="6"/>
      <c r="G125" s="6"/>
      <c r="H125" s="6"/>
      <c r="I125" s="6"/>
      <c r="J125" s="6"/>
      <c r="K125" s="6"/>
    </row>
    <row r="126" spans="2:11">
      <c r="B126" s="1447" t="s">
        <v>95</v>
      </c>
      <c r="C126" s="95"/>
      <c r="D126" s="47"/>
      <c r="E126" s="6"/>
      <c r="F126" s="6"/>
      <c r="G126" s="6"/>
      <c r="H126" s="6"/>
      <c r="I126" s="6"/>
      <c r="J126" s="6"/>
      <c r="K126" s="6"/>
    </row>
    <row r="127" spans="2:11">
      <c r="B127" s="1448"/>
      <c r="C127" s="95"/>
      <c r="D127" s="17"/>
      <c r="E127" s="6"/>
      <c r="F127" s="6"/>
      <c r="G127" s="6"/>
      <c r="H127" s="6"/>
      <c r="I127" s="6"/>
      <c r="J127" s="6"/>
      <c r="K127" s="6"/>
    </row>
    <row r="128" spans="2:11">
      <c r="B128" s="1448"/>
      <c r="C128" s="95"/>
      <c r="D128" s="47" t="s">
        <v>96</v>
      </c>
      <c r="E128" s="6"/>
      <c r="F128" s="6"/>
      <c r="G128" s="6"/>
      <c r="H128" s="6"/>
      <c r="I128" s="6"/>
      <c r="J128" s="6"/>
      <c r="K128" s="6"/>
    </row>
    <row r="129" spans="2:11" ht="37.5">
      <c r="B129" s="1448"/>
      <c r="C129" s="95"/>
      <c r="D129" s="47" t="s">
        <v>1024</v>
      </c>
      <c r="E129" s="6"/>
      <c r="F129" s="6"/>
      <c r="G129" s="6"/>
      <c r="H129" s="6"/>
      <c r="I129" s="6"/>
      <c r="J129" s="6"/>
      <c r="K129" s="6"/>
    </row>
    <row r="130" spans="2:11" ht="37.5">
      <c r="B130" s="1448"/>
      <c r="C130" s="95"/>
      <c r="D130" s="47" t="s">
        <v>1025</v>
      </c>
      <c r="E130" s="6"/>
      <c r="F130" s="6"/>
      <c r="G130" s="6"/>
      <c r="H130" s="6"/>
      <c r="I130" s="6"/>
      <c r="J130" s="6"/>
      <c r="K130" s="6"/>
    </row>
    <row r="131" spans="2:11" ht="37.5">
      <c r="B131" s="1448"/>
      <c r="C131" s="95"/>
      <c r="D131" s="47" t="s">
        <v>1026</v>
      </c>
      <c r="E131" s="6"/>
      <c r="F131" s="6"/>
      <c r="G131" s="6"/>
      <c r="H131" s="6"/>
      <c r="I131" s="6"/>
      <c r="J131" s="6"/>
      <c r="K131" s="6"/>
    </row>
    <row r="132" spans="2:11" ht="37.5">
      <c r="B132" s="1448"/>
      <c r="C132" s="95"/>
      <c r="D132" s="47" t="s">
        <v>1027</v>
      </c>
      <c r="E132" s="6"/>
      <c r="F132" s="6"/>
      <c r="G132" s="6"/>
      <c r="H132" s="6"/>
      <c r="I132" s="6"/>
      <c r="J132" s="6"/>
      <c r="K132" s="6"/>
    </row>
    <row r="133" spans="2:11">
      <c r="B133" s="1448"/>
      <c r="C133" s="95"/>
      <c r="D133" s="47" t="s">
        <v>1028</v>
      </c>
      <c r="E133" s="6"/>
      <c r="F133" s="6"/>
      <c r="G133" s="6"/>
      <c r="H133" s="6"/>
      <c r="I133" s="6"/>
      <c r="J133" s="6"/>
      <c r="K133" s="6"/>
    </row>
    <row r="134" spans="2:11">
      <c r="B134" s="1448"/>
      <c r="C134" s="95"/>
      <c r="D134" s="47" t="s">
        <v>1029</v>
      </c>
      <c r="E134" s="6"/>
      <c r="F134" s="6"/>
      <c r="G134" s="6"/>
      <c r="H134" s="6"/>
      <c r="I134" s="6"/>
      <c r="J134" s="6"/>
      <c r="K134" s="6"/>
    </row>
    <row r="135" spans="2:11">
      <c r="B135" s="1448"/>
      <c r="C135" s="95"/>
      <c r="D135" s="47" t="s">
        <v>1030</v>
      </c>
      <c r="E135" s="6"/>
      <c r="F135" s="6"/>
      <c r="G135" s="6"/>
      <c r="H135" s="6"/>
      <c r="I135" s="6"/>
      <c r="J135" s="6"/>
      <c r="K135" s="6"/>
    </row>
    <row r="136" spans="2:11">
      <c r="B136" s="1448"/>
      <c r="C136" s="95"/>
      <c r="D136" s="47" t="s">
        <v>104</v>
      </c>
      <c r="E136" s="6"/>
      <c r="F136" s="6"/>
      <c r="G136" s="6"/>
      <c r="H136" s="6"/>
      <c r="I136" s="6"/>
      <c r="J136" s="6"/>
      <c r="K136" s="6"/>
    </row>
    <row r="137" spans="2:11" ht="60.75" thickBot="1">
      <c r="B137" s="1449"/>
      <c r="C137" s="3"/>
      <c r="D137" s="41" t="s">
        <v>1031</v>
      </c>
      <c r="E137" s="6"/>
      <c r="F137" s="6"/>
      <c r="G137" s="6"/>
      <c r="H137" s="6"/>
      <c r="I137" s="6"/>
      <c r="J137" s="6"/>
      <c r="K137" s="6"/>
    </row>
    <row r="138" spans="2:11">
      <c r="B138" s="6"/>
      <c r="D138" s="6"/>
      <c r="E138" s="6"/>
      <c r="F138" s="6"/>
      <c r="G138" s="6"/>
      <c r="H138" s="6"/>
      <c r="I138" s="6"/>
      <c r="J138" s="6"/>
      <c r="K138" s="6"/>
    </row>
    <row r="139" spans="2:11">
      <c r="B139" s="6"/>
      <c r="D139" s="6"/>
      <c r="E139" s="6"/>
      <c r="F139" s="6"/>
      <c r="G139" s="6"/>
      <c r="H139" s="6"/>
      <c r="I139" s="6"/>
      <c r="J139" s="6"/>
      <c r="K139" s="6"/>
    </row>
  </sheetData>
  <sheetProtection insertColumns="0" insertRows="0"/>
  <mergeCells count="49">
    <mergeCell ref="B15:B19"/>
    <mergeCell ref="B108:I109"/>
    <mergeCell ref="D83:M83"/>
    <mergeCell ref="B85:E85"/>
    <mergeCell ref="B86:B92"/>
    <mergeCell ref="B94:E94"/>
    <mergeCell ref="B95:B101"/>
    <mergeCell ref="D41:M41"/>
    <mergeCell ref="D15:M15"/>
    <mergeCell ref="D16:M16"/>
    <mergeCell ref="D17:M17"/>
    <mergeCell ref="D26:M26"/>
    <mergeCell ref="D27:M27"/>
    <mergeCell ref="D31:M31"/>
    <mergeCell ref="D40:M40"/>
    <mergeCell ref="D18:D19"/>
    <mergeCell ref="E18:F18"/>
    <mergeCell ref="D62:M62"/>
    <mergeCell ref="D48:G48"/>
    <mergeCell ref="C59:C60"/>
    <mergeCell ref="D49:M49"/>
    <mergeCell ref="D53:M53"/>
    <mergeCell ref="I18:J18"/>
    <mergeCell ref="C37:C38"/>
    <mergeCell ref="G18:H18"/>
    <mergeCell ref="D21:M21"/>
    <mergeCell ref="C46:C47"/>
    <mergeCell ref="E39:N39"/>
    <mergeCell ref="D77:M77"/>
    <mergeCell ref="B114:B120"/>
    <mergeCell ref="B122:B125"/>
    <mergeCell ref="B126:B137"/>
    <mergeCell ref="D82:M82"/>
    <mergeCell ref="D76:M76"/>
    <mergeCell ref="D70:G70"/>
    <mergeCell ref="C68:C69"/>
    <mergeCell ref="D63:M63"/>
    <mergeCell ref="D71:M71"/>
    <mergeCell ref="D72:M72"/>
    <mergeCell ref="B10:D10"/>
    <mergeCell ref="F10:S10"/>
    <mergeCell ref="F11:S11"/>
    <mergeCell ref="E12:R12"/>
    <mergeCell ref="E13:R13"/>
    <mergeCell ref="A1:P1"/>
    <mergeCell ref="A2:P2"/>
    <mergeCell ref="A3:P3"/>
    <mergeCell ref="A4:D4"/>
    <mergeCell ref="A5:P5"/>
  </mergeCells>
  <conditionalFormatting sqref="E81">
    <cfRule type="containsText" dxfId="25" priority="5" operator="containsText" text="ERROR">
      <formula>NOT(ISERROR(SEARCH("ERROR",E81)))</formula>
    </cfRule>
  </conditionalFormatting>
  <conditionalFormatting sqref="F10">
    <cfRule type="notContainsBlanks" dxfId="24" priority="4">
      <formula>LEN(TRIM(F10))&gt;0</formula>
    </cfRule>
  </conditionalFormatting>
  <conditionalFormatting sqref="F11:S11">
    <cfRule type="expression" dxfId="23" priority="2">
      <formula>E11="NO SE REPORTA"</formula>
    </cfRule>
    <cfRule type="expression" dxfId="22" priority="3">
      <formula>E10="NO APLICA"</formula>
    </cfRule>
  </conditionalFormatting>
  <conditionalFormatting sqref="E12:R12">
    <cfRule type="expression" dxfId="21" priority="1">
      <formula>E11="SI SE REPORTA"</formula>
    </cfRule>
  </conditionalFormatting>
  <dataValidations count="4">
    <dataValidation type="whole" operator="greaterThanOrEqual" allowBlank="1" showErrorMessage="1" errorTitle="ERROR" error="Escriba un número igual o mayor que 0" promptTitle="ERROR" prompt="Escriba un número igual o mayor que 0" sqref="E20:J20 E57:L58 E35:L36 E28:E30 E66:G67 E50:E52 E44:G45">
      <formula1>0</formula1>
    </dataValidation>
    <dataValidation type="decimal" allowBlank="1" showInputMessage="1" showErrorMessage="1" errorTitle="ERROR" error="Escriba un valor entre 0% y 100%" sqref="F79:F80">
      <formula1>0</formula1>
      <formula2>1</formula2>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D119" r:id="rId1" display="http://www.sisaire.gov.co/"/>
    <hyperlink ref="D120" r:id="rId2" display="http://www.sirh.ideam.gov.co/"/>
    <hyperlink ref="B9" location="'ANEXO 3'!A1" display="VOLVER AL INDICE"/>
  </hyperlinks>
  <pageMargins left="0.25" right="0.25" top="0.75" bottom="0.75" header="0.3" footer="0.3"/>
  <pageSetup paperSize="178" orientation="landscape" horizontalDpi="1200" verticalDpi="1200" r:id="rId3"/>
  <drawing r:id="rId4"/>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83"/>
  <sheetViews>
    <sheetView showGridLines="0" zoomScale="98" zoomScaleNormal="98" workbookViewId="0">
      <selection activeCell="K25" sqref="K25"/>
    </sheetView>
  </sheetViews>
  <sheetFormatPr baseColWidth="10" defaultRowHeight="15"/>
  <cols>
    <col min="1" max="1" width="1.85546875" customWidth="1"/>
    <col min="2" max="2" width="12.85546875" customWidth="1"/>
    <col min="3" max="3" width="5.140625" style="88" bestFit="1" customWidth="1"/>
    <col min="4" max="4" width="34.85546875" customWidth="1"/>
    <col min="5" max="5" width="12.140625" customWidth="1"/>
    <col min="11" max="11" width="22" customWidth="1"/>
  </cols>
  <sheetData>
    <row r="1" spans="1:21" s="551" customFormat="1" ht="100.5" customHeight="1" thickBot="1">
      <c r="A1" s="1344"/>
      <c r="B1" s="1345"/>
      <c r="C1" s="1345"/>
      <c r="D1" s="1345"/>
      <c r="E1" s="1345"/>
      <c r="F1" s="1345"/>
      <c r="G1" s="1345"/>
      <c r="H1" s="1345"/>
      <c r="I1" s="1345"/>
      <c r="J1" s="1345"/>
      <c r="K1" s="1345"/>
      <c r="L1" s="1345"/>
      <c r="M1" s="1345"/>
      <c r="N1" s="1345"/>
      <c r="O1" s="1345"/>
      <c r="P1" s="1346"/>
      <c r="Q1" s="413"/>
      <c r="R1" s="413"/>
    </row>
    <row r="2" spans="1:21" s="552" customFormat="1" ht="16.5" thickBot="1">
      <c r="A2" s="1352" t="str">
        <f>'Datos Generales'!C5</f>
        <v>Corporación Autónoma Regional de La Guajira – CORPOGUAJIRA</v>
      </c>
      <c r="B2" s="1353"/>
      <c r="C2" s="1353"/>
      <c r="D2" s="1353"/>
      <c r="E2" s="1353"/>
      <c r="F2" s="1353"/>
      <c r="G2" s="1353"/>
      <c r="H2" s="1353"/>
      <c r="I2" s="1353"/>
      <c r="J2" s="1353"/>
      <c r="K2" s="1353"/>
      <c r="L2" s="1353"/>
      <c r="M2" s="1353"/>
      <c r="N2" s="1353"/>
      <c r="O2" s="1353"/>
      <c r="P2" s="1354"/>
      <c r="Q2" s="413"/>
      <c r="R2" s="413"/>
    </row>
    <row r="3" spans="1:21" s="552" customFormat="1" ht="16.5" thickBot="1">
      <c r="A3" s="1347" t="s">
        <v>1419</v>
      </c>
      <c r="B3" s="1348"/>
      <c r="C3" s="1348"/>
      <c r="D3" s="1348"/>
      <c r="E3" s="1348"/>
      <c r="F3" s="1348"/>
      <c r="G3" s="1348"/>
      <c r="H3" s="1348"/>
      <c r="I3" s="1348"/>
      <c r="J3" s="1348"/>
      <c r="K3" s="1348"/>
      <c r="L3" s="1348"/>
      <c r="M3" s="1348"/>
      <c r="N3" s="1348"/>
      <c r="O3" s="1348"/>
      <c r="P3" s="1349"/>
      <c r="Q3" s="413"/>
      <c r="R3" s="413"/>
    </row>
    <row r="4" spans="1:21" s="552" customFormat="1" ht="16.5" thickBot="1">
      <c r="A4" s="1350" t="s">
        <v>1418</v>
      </c>
      <c r="B4" s="1351"/>
      <c r="C4" s="1351"/>
      <c r="D4" s="1351"/>
      <c r="E4" s="571" t="str">
        <f>'Datos Generales'!C6</f>
        <v>2016-II</v>
      </c>
      <c r="F4" s="571"/>
      <c r="G4" s="571"/>
      <c r="H4" s="571"/>
      <c r="I4" s="571"/>
      <c r="J4" s="571"/>
      <c r="K4" s="571"/>
      <c r="L4" s="572"/>
      <c r="M4" s="572"/>
      <c r="N4" s="572"/>
      <c r="O4" s="572"/>
      <c r="P4" s="573"/>
      <c r="Q4" s="413"/>
      <c r="R4" s="413"/>
    </row>
    <row r="5" spans="1:21" s="245" customFormat="1" ht="16.5" customHeight="1" thickBot="1">
      <c r="A5" s="1347" t="s">
        <v>1086</v>
      </c>
      <c r="B5" s="1348"/>
      <c r="C5" s="1348"/>
      <c r="D5" s="1348"/>
      <c r="E5" s="1348"/>
      <c r="F5" s="1348"/>
      <c r="G5" s="1348"/>
      <c r="H5" s="1348"/>
      <c r="I5" s="1348"/>
      <c r="J5" s="1348"/>
      <c r="K5" s="1348"/>
      <c r="L5" s="1348"/>
      <c r="M5" s="1348"/>
      <c r="N5" s="1348"/>
      <c r="O5" s="1348"/>
      <c r="P5" s="1349"/>
    </row>
    <row r="6" spans="1:21">
      <c r="B6" s="2" t="s">
        <v>1</v>
      </c>
      <c r="C6" s="77"/>
      <c r="D6" s="6"/>
      <c r="E6" s="75"/>
      <c r="F6" s="6" t="s">
        <v>133</v>
      </c>
      <c r="G6" s="6"/>
      <c r="H6" s="6"/>
      <c r="I6" s="6"/>
      <c r="J6" s="6"/>
      <c r="K6" s="6"/>
    </row>
    <row r="7" spans="1:21" ht="15.75" thickBot="1">
      <c r="B7" s="76"/>
      <c r="C7" s="78"/>
      <c r="D7" s="6"/>
      <c r="E7" s="18"/>
      <c r="F7" s="6" t="s">
        <v>134</v>
      </c>
      <c r="G7" s="6"/>
      <c r="H7" s="6"/>
      <c r="I7" s="6"/>
      <c r="J7" s="6"/>
      <c r="K7" s="6"/>
    </row>
    <row r="8" spans="1:21" ht="15.75" thickBot="1">
      <c r="B8" s="178" t="s">
        <v>1204</v>
      </c>
      <c r="C8" s="222">
        <v>2017</v>
      </c>
      <c r="D8" s="226">
        <f>IF(E10="NO APLICA","NO APLICA",IF(E11="NO SE REPORTA","SIN INFORMACION",+E30))</f>
        <v>0.56338855039350089</v>
      </c>
      <c r="E8" s="223"/>
      <c r="F8" s="6" t="s">
        <v>135</v>
      </c>
      <c r="G8" s="6"/>
      <c r="H8" s="6"/>
      <c r="I8" s="6"/>
      <c r="J8" s="6"/>
      <c r="K8" s="6"/>
    </row>
    <row r="9" spans="1:21">
      <c r="B9" s="507" t="s">
        <v>1205</v>
      </c>
      <c r="D9" s="6"/>
      <c r="E9" s="6"/>
      <c r="F9" s="6"/>
      <c r="G9" s="6"/>
      <c r="H9" s="6"/>
      <c r="I9" s="6"/>
      <c r="J9" s="6"/>
      <c r="K9" s="6"/>
    </row>
    <row r="10" spans="1:21" s="413" customFormat="1">
      <c r="A10" s="245"/>
      <c r="B10" s="1412" t="s">
        <v>1265</v>
      </c>
      <c r="C10" s="1412"/>
      <c r="D10" s="1412"/>
      <c r="E10" s="513" t="s">
        <v>1262</v>
      </c>
      <c r="F10" s="1419"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420"/>
      <c r="H10" s="1420"/>
      <c r="I10" s="1420"/>
      <c r="J10" s="1420"/>
      <c r="K10" s="1420"/>
      <c r="L10" s="1420"/>
      <c r="M10" s="1420"/>
      <c r="N10" s="1420"/>
      <c r="O10" s="1420"/>
      <c r="P10" s="1420"/>
      <c r="Q10" s="1420"/>
      <c r="R10" s="1420"/>
      <c r="S10" s="1420"/>
      <c r="T10" s="509"/>
      <c r="U10" s="509"/>
    </row>
    <row r="11" spans="1:21" s="413" customFormat="1" ht="14.45" customHeight="1">
      <c r="A11" s="245"/>
      <c r="B11" s="510"/>
      <c r="C11" s="511"/>
      <c r="D11" s="512" t="str">
        <f>IF(E10="SI APLICA","¿El indicador no se reporta por limitaciones de información disponible? ","")</f>
        <v xml:space="preserve">¿El indicador no se reporta por limitaciones de información disponible? </v>
      </c>
      <c r="E11" s="514" t="s">
        <v>1264</v>
      </c>
      <c r="F11" s="1413"/>
      <c r="G11" s="1414"/>
      <c r="H11" s="1414"/>
      <c r="I11" s="1414"/>
      <c r="J11" s="1414"/>
      <c r="K11" s="1414"/>
      <c r="L11" s="1414"/>
      <c r="M11" s="1414"/>
      <c r="N11" s="1414"/>
      <c r="O11" s="1414"/>
      <c r="P11" s="1414"/>
      <c r="Q11" s="1414"/>
      <c r="R11" s="1414"/>
      <c r="S11" s="1414"/>
    </row>
    <row r="12" spans="1:21" s="413" customFormat="1" ht="23.45" customHeight="1">
      <c r="A12" s="245"/>
      <c r="B12" s="507"/>
      <c r="C12" s="304"/>
      <c r="D12" s="512" t="str">
        <f>IF(E11="SI SE REPORTA","¿Qué programas o proyectos del Plan de Acción están asociados al indicador? ","")</f>
        <v xml:space="preserve">¿Qué programas o proyectos del Plan de Acción están asociados al indicador? </v>
      </c>
      <c r="E12" s="1415" t="str">
        <f>'Anexo 1 Matriz Inf Gestión'!E9:H9</f>
        <v>Proyecto No 1.1.Planificación, Ordenamiento e Información Ambiental Territorial (1)</v>
      </c>
      <c r="F12" s="1415"/>
      <c r="G12" s="1415"/>
      <c r="H12" s="1415"/>
      <c r="I12" s="1415"/>
      <c r="J12" s="1415"/>
      <c r="K12" s="1415"/>
      <c r="L12" s="1415"/>
      <c r="M12" s="1415"/>
      <c r="N12" s="1415"/>
      <c r="O12" s="1415"/>
      <c r="P12" s="1415"/>
      <c r="Q12" s="1415"/>
      <c r="R12" s="1415"/>
    </row>
    <row r="13" spans="1:21" s="413" customFormat="1" ht="21.95" customHeight="1">
      <c r="A13" s="245"/>
      <c r="B13" s="507"/>
      <c r="C13" s="304"/>
      <c r="D13" s="512" t="s">
        <v>1267</v>
      </c>
      <c r="E13" s="1416"/>
      <c r="F13" s="1417"/>
      <c r="G13" s="1417"/>
      <c r="H13" s="1417"/>
      <c r="I13" s="1417"/>
      <c r="J13" s="1417"/>
      <c r="K13" s="1417"/>
      <c r="L13" s="1417"/>
      <c r="M13" s="1417"/>
      <c r="N13" s="1417"/>
      <c r="O13" s="1417"/>
      <c r="P13" s="1417"/>
      <c r="Q13" s="1417"/>
      <c r="R13" s="1418"/>
    </row>
    <row r="14" spans="1:21" s="413" customFormat="1" ht="6.95" customHeight="1" thickBot="1">
      <c r="B14" s="507"/>
      <c r="C14" s="88"/>
      <c r="D14" s="6"/>
      <c r="E14" s="6"/>
      <c r="F14" s="6"/>
      <c r="G14" s="6"/>
      <c r="H14" s="6"/>
      <c r="I14" s="6"/>
      <c r="J14" s="6"/>
      <c r="K14" s="6"/>
    </row>
    <row r="15" spans="1:21">
      <c r="B15" s="1447" t="s">
        <v>2</v>
      </c>
      <c r="C15" s="90"/>
      <c r="D15" s="1633" t="s">
        <v>1100</v>
      </c>
      <c r="E15" s="1634"/>
      <c r="F15" s="1634"/>
      <c r="G15" s="1634"/>
      <c r="H15" s="1589"/>
      <c r="I15" s="6"/>
      <c r="J15" s="6"/>
      <c r="K15" s="6"/>
      <c r="L15" s="6"/>
      <c r="M15" s="6"/>
      <c r="N15" s="6"/>
      <c r="O15" s="6"/>
    </row>
    <row r="16" spans="1:21">
      <c r="B16" s="1448"/>
      <c r="C16" s="93"/>
      <c r="D16" s="1461" t="s">
        <v>1118</v>
      </c>
      <c r="E16" s="1462"/>
      <c r="F16" s="1462"/>
      <c r="G16" s="1462"/>
      <c r="H16" s="1463"/>
      <c r="I16" s="6"/>
      <c r="J16" s="6"/>
      <c r="K16" s="6"/>
      <c r="L16" s="6"/>
      <c r="M16" s="6"/>
      <c r="N16" s="6"/>
      <c r="O16" s="6"/>
    </row>
    <row r="17" spans="1:15" ht="15.75" thickBot="1">
      <c r="B17" s="1448"/>
      <c r="C17" s="93"/>
      <c r="D17" s="1492" t="s">
        <v>3</v>
      </c>
      <c r="E17" s="1493"/>
      <c r="F17" s="1493"/>
      <c r="G17" s="1493"/>
      <c r="H17" s="1494"/>
      <c r="I17" s="6"/>
      <c r="J17" s="6"/>
      <c r="K17" s="6"/>
      <c r="L17" s="6"/>
      <c r="M17" s="6"/>
      <c r="N17" s="6"/>
      <c r="O17" s="6"/>
    </row>
    <row r="18" spans="1:15" ht="15.75" thickBot="1">
      <c r="B18" s="1448"/>
      <c r="C18" s="99" t="s">
        <v>24</v>
      </c>
      <c r="D18" s="39" t="s">
        <v>1119</v>
      </c>
      <c r="E18" s="39" t="s">
        <v>1120</v>
      </c>
      <c r="F18" s="39" t="s">
        <v>1121</v>
      </c>
      <c r="G18" s="39" t="s">
        <v>1122</v>
      </c>
      <c r="H18" s="117"/>
      <c r="I18" s="6"/>
      <c r="J18" s="6"/>
      <c r="K18" s="6"/>
      <c r="L18" s="6"/>
      <c r="M18" s="6"/>
      <c r="N18" s="6"/>
      <c r="O18" s="6"/>
    </row>
    <row r="19" spans="1:15" ht="24.75" thickBot="1">
      <c r="B19" s="1448"/>
      <c r="C19" s="3" t="s">
        <v>158</v>
      </c>
      <c r="D19" s="129" t="s">
        <v>1123</v>
      </c>
      <c r="E19" s="153">
        <v>96</v>
      </c>
      <c r="F19" s="153">
        <v>275</v>
      </c>
      <c r="G19" s="153"/>
      <c r="H19" s="118"/>
      <c r="I19" s="6"/>
      <c r="J19" s="6"/>
      <c r="K19" s="6"/>
      <c r="L19" s="6"/>
      <c r="M19" s="6"/>
      <c r="N19" s="6"/>
      <c r="O19" s="6"/>
    </row>
    <row r="20" spans="1:15" ht="24.75" thickBot="1">
      <c r="B20" s="1448"/>
      <c r="C20" s="3" t="s">
        <v>160</v>
      </c>
      <c r="D20" s="129" t="s">
        <v>1124</v>
      </c>
      <c r="E20" s="153">
        <v>101</v>
      </c>
      <c r="F20" s="153">
        <v>1560</v>
      </c>
      <c r="G20" s="153">
        <v>0</v>
      </c>
      <c r="H20" s="118"/>
      <c r="I20" s="6"/>
      <c r="J20" s="6"/>
      <c r="K20" s="6"/>
      <c r="L20" s="6"/>
      <c r="M20" s="6"/>
      <c r="N20" s="6"/>
      <c r="O20" s="6"/>
    </row>
    <row r="21" spans="1:15" ht="24.75" thickBot="1">
      <c r="B21" s="1448"/>
      <c r="C21" s="3" t="s">
        <v>162</v>
      </c>
      <c r="D21" s="129" t="s">
        <v>1125</v>
      </c>
      <c r="E21" s="154">
        <f>IFERROR(E19/E20,"N.A")</f>
        <v>0.95049504950495045</v>
      </c>
      <c r="F21" s="154">
        <f t="shared" ref="F21:G21" si="0">IFERROR(F19/F20,"N.A")</f>
        <v>0.17628205128205129</v>
      </c>
      <c r="G21" s="154" t="str">
        <f t="shared" si="0"/>
        <v>N.A</v>
      </c>
      <c r="H21" s="119"/>
      <c r="I21" s="6"/>
      <c r="J21" s="6" t="s">
        <v>1214</v>
      </c>
      <c r="K21" s="6"/>
      <c r="L21" s="6"/>
      <c r="M21" s="6"/>
      <c r="N21" s="6"/>
      <c r="O21" s="6"/>
    </row>
    <row r="22" spans="1:15">
      <c r="B22" s="1448"/>
      <c r="C22" s="93"/>
      <c r="D22" s="1458"/>
      <c r="E22" s="1459"/>
      <c r="F22" s="1459"/>
      <c r="G22" s="1459"/>
      <c r="H22" s="1460"/>
      <c r="I22" s="6"/>
      <c r="J22" s="6"/>
      <c r="K22" s="6"/>
      <c r="L22" s="6"/>
      <c r="M22" s="6"/>
      <c r="N22" s="6"/>
      <c r="O22" s="6"/>
    </row>
    <row r="23" spans="1:15" ht="24" customHeight="1" thickBot="1">
      <c r="B23" s="1448"/>
      <c r="C23" s="93"/>
      <c r="D23" s="1461" t="s">
        <v>1113</v>
      </c>
      <c r="E23" s="1462"/>
      <c r="F23" s="1462"/>
      <c r="G23" s="1462"/>
      <c r="H23" s="1463"/>
      <c r="I23" s="6"/>
      <c r="J23" s="6"/>
      <c r="K23" s="6"/>
      <c r="L23" s="6"/>
      <c r="M23" s="6"/>
      <c r="N23" s="6"/>
      <c r="O23" s="6"/>
    </row>
    <row r="24" spans="1:15" ht="15.75" thickBot="1">
      <c r="B24" s="1448"/>
      <c r="C24" s="99" t="s">
        <v>24</v>
      </c>
      <c r="D24" s="39" t="s">
        <v>1119</v>
      </c>
      <c r="E24" s="39" t="s">
        <v>1126</v>
      </c>
      <c r="F24" s="39" t="s">
        <v>1127</v>
      </c>
      <c r="H24" s="22"/>
      <c r="I24" s="6"/>
      <c r="J24" s="6"/>
      <c r="K24" s="6"/>
      <c r="L24" s="6"/>
      <c r="M24" s="6"/>
      <c r="N24" s="6"/>
      <c r="O24" s="6"/>
    </row>
    <row r="25" spans="1:15" ht="24.75" thickBot="1">
      <c r="B25" s="1448"/>
      <c r="C25" s="3" t="s">
        <v>158</v>
      </c>
      <c r="D25" s="129" t="s">
        <v>1128</v>
      </c>
      <c r="E25" s="153"/>
      <c r="F25" s="153"/>
      <c r="H25" s="22"/>
      <c r="I25" s="6"/>
      <c r="J25" s="6"/>
      <c r="K25" s="6"/>
      <c r="L25" s="6"/>
      <c r="M25" s="6"/>
      <c r="N25" s="6"/>
      <c r="O25" s="6"/>
    </row>
    <row r="26" spans="1:15" ht="24.75" thickBot="1">
      <c r="B26" s="1448"/>
      <c r="C26" s="3" t="s">
        <v>160</v>
      </c>
      <c r="D26" s="129" t="s">
        <v>1129</v>
      </c>
      <c r="E26" s="153"/>
      <c r="F26" s="153"/>
      <c r="H26" s="22"/>
      <c r="I26" s="6"/>
      <c r="J26" s="6"/>
      <c r="K26" s="6"/>
      <c r="L26" s="6"/>
      <c r="M26" s="6"/>
      <c r="N26" s="6"/>
      <c r="O26" s="6"/>
    </row>
    <row r="27" spans="1:15" ht="24.75" thickBot="1">
      <c r="B27" s="1448"/>
      <c r="C27" s="130" t="s">
        <v>162</v>
      </c>
      <c r="D27" s="129" t="s">
        <v>1199</v>
      </c>
      <c r="E27" s="154" t="str">
        <f>IFERROR(E25/E26,"N.A.")</f>
        <v>N.A.</v>
      </c>
      <c r="F27" s="154" t="str">
        <f>IFERROR(F25/F26,"N.A.")</f>
        <v>N.A.</v>
      </c>
      <c r="H27" s="22"/>
      <c r="I27" s="6"/>
      <c r="J27" s="6" t="s">
        <v>1214</v>
      </c>
      <c r="K27" s="6"/>
    </row>
    <row r="28" spans="1:15" ht="15.75" thickBot="1">
      <c r="B28" s="1449"/>
      <c r="C28" s="130"/>
      <c r="D28" s="128"/>
      <c r="E28" s="128"/>
      <c r="F28" s="128"/>
      <c r="G28" s="128"/>
      <c r="H28" s="24"/>
      <c r="I28" s="6"/>
      <c r="J28" s="6"/>
      <c r="K28" s="6"/>
    </row>
    <row r="29" spans="1:15" s="413" customFormat="1" ht="15.75" thickBot="1">
      <c r="A29" s="6"/>
      <c r="B29" s="6"/>
      <c r="C29" s="6"/>
      <c r="D29" s="6"/>
      <c r="E29" s="6"/>
      <c r="F29" s="6"/>
      <c r="G29" s="6"/>
      <c r="H29" s="6"/>
      <c r="I29" s="6"/>
      <c r="J29" s="6"/>
      <c r="K29" s="6"/>
    </row>
    <row r="30" spans="1:15" s="413" customFormat="1" ht="25.7" customHeight="1" thickBot="1">
      <c r="A30" s="6"/>
      <c r="B30" s="6"/>
      <c r="C30" s="6"/>
      <c r="D30" s="53" t="s">
        <v>1260</v>
      </c>
      <c r="E30" s="154">
        <f>AVERAGE(E21:G21,E27:F27)</f>
        <v>0.56338855039350089</v>
      </c>
      <c r="F30" s="432"/>
      <c r="G30" s="432"/>
      <c r="H30" s="430"/>
      <c r="I30" s="6"/>
      <c r="J30" s="6"/>
      <c r="K30" s="6"/>
    </row>
    <row r="31" spans="1:15" s="413" customFormat="1">
      <c r="A31" s="6"/>
      <c r="B31" s="6"/>
      <c r="C31" s="6"/>
      <c r="D31" s="6"/>
      <c r="E31" s="6"/>
      <c r="F31" s="6"/>
      <c r="G31" s="6"/>
      <c r="H31" s="6"/>
      <c r="I31" s="6"/>
      <c r="J31" s="6"/>
      <c r="K31" s="6"/>
    </row>
    <row r="32" spans="1:15" s="413" customFormat="1" ht="15.75" thickBot="1">
      <c r="A32" s="6"/>
      <c r="B32" s="6"/>
      <c r="C32" s="6"/>
      <c r="D32" s="6"/>
      <c r="E32" s="6"/>
      <c r="F32" s="6"/>
      <c r="G32" s="6"/>
      <c r="H32" s="6"/>
      <c r="I32" s="6"/>
      <c r="J32" s="6"/>
      <c r="K32" s="6"/>
    </row>
    <row r="33" spans="2:11" ht="36" customHeight="1" thickBot="1">
      <c r="B33" s="53" t="s">
        <v>39</v>
      </c>
      <c r="C33" s="431"/>
      <c r="D33" s="1453" t="s">
        <v>1130</v>
      </c>
      <c r="E33" s="1454"/>
      <c r="F33" s="1454"/>
      <c r="G33" s="1454"/>
      <c r="H33" s="1455"/>
      <c r="I33" s="6"/>
      <c r="J33" s="6"/>
      <c r="K33" s="6"/>
    </row>
    <row r="34" spans="2:11" ht="48" customHeight="1" thickBot="1">
      <c r="B34" s="48" t="s">
        <v>41</v>
      </c>
      <c r="C34" s="94"/>
      <c r="D34" s="1453" t="s">
        <v>1131</v>
      </c>
      <c r="E34" s="1454"/>
      <c r="F34" s="1454"/>
      <c r="G34" s="1454"/>
      <c r="H34" s="1455"/>
      <c r="I34" s="6"/>
      <c r="J34" s="6"/>
      <c r="K34" s="6"/>
    </row>
    <row r="35" spans="2:11" ht="15.75" thickBot="1">
      <c r="B35" s="2"/>
      <c r="C35" s="77"/>
      <c r="D35" s="6"/>
      <c r="E35" s="6"/>
      <c r="F35" s="6"/>
      <c r="G35" s="6"/>
      <c r="H35" s="6"/>
      <c r="I35" s="6"/>
      <c r="J35" s="6"/>
      <c r="K35" s="6"/>
    </row>
    <row r="36" spans="2:11" ht="24" customHeight="1" thickBot="1">
      <c r="B36" s="1450" t="s">
        <v>43</v>
      </c>
      <c r="C36" s="1451"/>
      <c r="D36" s="1451"/>
      <c r="E36" s="1452"/>
      <c r="F36" s="6"/>
      <c r="G36" s="6"/>
      <c r="H36" s="6"/>
      <c r="I36" s="6"/>
      <c r="J36" s="6"/>
      <c r="K36" s="6"/>
    </row>
    <row r="37" spans="2:11" ht="15.75" thickBot="1">
      <c r="B37" s="1447">
        <v>1</v>
      </c>
      <c r="C37" s="95"/>
      <c r="D37" s="49" t="s">
        <v>44</v>
      </c>
      <c r="E37" s="167" t="s">
        <v>1642</v>
      </c>
      <c r="F37" s="6"/>
      <c r="G37" s="6"/>
      <c r="H37" s="6"/>
      <c r="I37" s="6"/>
      <c r="J37" s="6"/>
      <c r="K37" s="6"/>
    </row>
    <row r="38" spans="2:11" ht="15.75" thickBot="1">
      <c r="B38" s="1448"/>
      <c r="C38" s="95"/>
      <c r="D38" s="41" t="s">
        <v>45</v>
      </c>
      <c r="E38" s="167" t="s">
        <v>1646</v>
      </c>
      <c r="F38" s="6"/>
      <c r="G38" s="6"/>
      <c r="H38" s="6"/>
      <c r="I38" s="6"/>
      <c r="J38" s="6"/>
      <c r="K38" s="6"/>
    </row>
    <row r="39" spans="2:11" ht="15.75" thickBot="1">
      <c r="B39" s="1448"/>
      <c r="C39" s="95"/>
      <c r="D39" s="41" t="s">
        <v>46</v>
      </c>
      <c r="E39" s="167" t="s">
        <v>1645</v>
      </c>
      <c r="F39" s="6"/>
      <c r="G39" s="6"/>
      <c r="H39" s="6"/>
      <c r="I39" s="6"/>
      <c r="J39" s="6"/>
      <c r="K39" s="6"/>
    </row>
    <row r="40" spans="2:11" ht="15.75" thickBot="1">
      <c r="B40" s="1448"/>
      <c r="C40" s="95"/>
      <c r="D40" s="41" t="s">
        <v>47</v>
      </c>
      <c r="E40" s="167" t="s">
        <v>1647</v>
      </c>
      <c r="F40" s="6"/>
      <c r="G40" s="6"/>
      <c r="H40" s="6"/>
      <c r="I40" s="6"/>
      <c r="J40" s="6"/>
      <c r="K40" s="6"/>
    </row>
    <row r="41" spans="2:11" ht="15.75" thickBot="1">
      <c r="B41" s="1448"/>
      <c r="C41" s="95"/>
      <c r="D41" s="41" t="s">
        <v>48</v>
      </c>
      <c r="E41" s="167" t="s">
        <v>1648</v>
      </c>
      <c r="F41" s="6"/>
      <c r="G41" s="6"/>
      <c r="H41" s="6"/>
      <c r="I41" s="6"/>
      <c r="J41" s="6"/>
      <c r="K41" s="6"/>
    </row>
    <row r="42" spans="2:11" ht="15.75" thickBot="1">
      <c r="B42" s="1448"/>
      <c r="C42" s="95"/>
      <c r="D42" s="41" t="s">
        <v>49</v>
      </c>
      <c r="E42" s="167"/>
      <c r="F42" s="6"/>
      <c r="G42" s="6"/>
      <c r="H42" s="6"/>
      <c r="I42" s="6"/>
      <c r="J42" s="6"/>
      <c r="K42" s="6"/>
    </row>
    <row r="43" spans="2:11" ht="15.75" thickBot="1">
      <c r="B43" s="1449"/>
      <c r="C43" s="3"/>
      <c r="D43" s="41" t="s">
        <v>50</v>
      </c>
      <c r="E43" s="167" t="s">
        <v>1629</v>
      </c>
      <c r="F43" s="6"/>
      <c r="G43" s="6"/>
      <c r="H43" s="6"/>
      <c r="I43" s="6"/>
      <c r="J43" s="6"/>
      <c r="K43" s="6"/>
    </row>
    <row r="44" spans="2:11" ht="15.75" thickBot="1">
      <c r="B44" s="2"/>
      <c r="C44" s="77"/>
      <c r="D44" s="6"/>
      <c r="E44" s="6"/>
      <c r="F44" s="6"/>
      <c r="G44" s="6"/>
      <c r="H44" s="6"/>
      <c r="I44" s="6"/>
      <c r="J44" s="6"/>
      <c r="K44" s="6"/>
    </row>
    <row r="45" spans="2:11" ht="15.75" thickBot="1">
      <c r="B45" s="1450" t="s">
        <v>51</v>
      </c>
      <c r="C45" s="1451"/>
      <c r="D45" s="1451"/>
      <c r="E45" s="1452"/>
      <c r="F45" s="6"/>
      <c r="G45" s="6"/>
      <c r="H45" s="6"/>
      <c r="I45" s="6"/>
      <c r="J45" s="6"/>
      <c r="K45" s="6"/>
    </row>
    <row r="46" spans="2:11" ht="15.75" thickBot="1">
      <c r="B46" s="1447">
        <v>1</v>
      </c>
      <c r="C46" s="95"/>
      <c r="D46" s="49" t="s">
        <v>44</v>
      </c>
      <c r="E46" s="19" t="s">
        <v>52</v>
      </c>
      <c r="F46" s="6"/>
      <c r="G46" s="6"/>
      <c r="H46" s="6"/>
      <c r="I46" s="6"/>
      <c r="J46" s="6"/>
      <c r="K46" s="6"/>
    </row>
    <row r="47" spans="2:11" ht="15.75" thickBot="1">
      <c r="B47" s="1448"/>
      <c r="C47" s="95"/>
      <c r="D47" s="41" t="s">
        <v>45</v>
      </c>
      <c r="E47" s="19" t="s">
        <v>166</v>
      </c>
      <c r="F47" s="6"/>
      <c r="G47" s="6"/>
      <c r="H47" s="6"/>
      <c r="I47" s="6"/>
      <c r="J47" s="6"/>
      <c r="K47" s="6"/>
    </row>
    <row r="48" spans="2:11" ht="15.75" thickBot="1">
      <c r="B48" s="1448"/>
      <c r="C48" s="95"/>
      <c r="D48" s="41" t="s">
        <v>46</v>
      </c>
      <c r="E48" s="172"/>
      <c r="F48" s="6"/>
      <c r="G48" s="6"/>
      <c r="H48" s="6"/>
      <c r="I48" s="6"/>
      <c r="J48" s="6"/>
      <c r="K48" s="6"/>
    </row>
    <row r="49" spans="2:11" ht="15.75" thickBot="1">
      <c r="B49" s="1448"/>
      <c r="C49" s="95"/>
      <c r="D49" s="41" t="s">
        <v>47</v>
      </c>
      <c r="E49" s="172"/>
      <c r="F49" s="6"/>
      <c r="G49" s="6"/>
      <c r="H49" s="6"/>
      <c r="I49" s="6"/>
      <c r="J49" s="6"/>
      <c r="K49" s="6"/>
    </row>
    <row r="50" spans="2:11" ht="15.75" thickBot="1">
      <c r="B50" s="1448"/>
      <c r="C50" s="95"/>
      <c r="D50" s="41" t="s">
        <v>48</v>
      </c>
      <c r="E50" s="172"/>
      <c r="F50" s="6"/>
      <c r="G50" s="6"/>
      <c r="H50" s="6"/>
      <c r="I50" s="6"/>
      <c r="J50" s="6"/>
      <c r="K50" s="6"/>
    </row>
    <row r="51" spans="2:11" ht="15.75" thickBot="1">
      <c r="B51" s="1448"/>
      <c r="C51" s="95"/>
      <c r="D51" s="41" t="s">
        <v>49</v>
      </c>
      <c r="E51" s="172"/>
      <c r="F51" s="6"/>
      <c r="G51" s="6"/>
      <c r="H51" s="6"/>
      <c r="I51" s="6"/>
      <c r="J51" s="6"/>
      <c r="K51" s="6"/>
    </row>
    <row r="52" spans="2:11" ht="15.75" thickBot="1">
      <c r="B52" s="1449"/>
      <c r="C52" s="3"/>
      <c r="D52" s="41" t="s">
        <v>50</v>
      </c>
      <c r="E52" s="172"/>
      <c r="F52" s="6"/>
      <c r="G52" s="6"/>
      <c r="H52" s="6"/>
      <c r="I52" s="6"/>
      <c r="J52" s="6"/>
      <c r="K52" s="6"/>
    </row>
    <row r="53" spans="2:11" ht="15.75" thickBot="1">
      <c r="B53" s="2"/>
      <c r="C53" s="77"/>
      <c r="D53" s="6"/>
      <c r="E53" s="6"/>
      <c r="F53" s="6"/>
      <c r="G53" s="6"/>
      <c r="H53" s="6"/>
      <c r="I53" s="6"/>
      <c r="J53" s="6"/>
      <c r="K53" s="6"/>
    </row>
    <row r="54" spans="2:11" ht="15" customHeight="1" thickBot="1">
      <c r="B54" s="125" t="s">
        <v>54</v>
      </c>
      <c r="C54" s="126"/>
      <c r="D54" s="126"/>
      <c r="E54" s="127"/>
      <c r="G54" s="6"/>
      <c r="H54" s="6"/>
      <c r="I54" s="6"/>
      <c r="J54" s="6"/>
      <c r="K54" s="6"/>
    </row>
    <row r="55" spans="2:11" ht="24.75" thickBot="1">
      <c r="B55" s="48" t="s">
        <v>55</v>
      </c>
      <c r="C55" s="41" t="s">
        <v>56</v>
      </c>
      <c r="D55" s="41" t="s">
        <v>57</v>
      </c>
      <c r="E55" s="41" t="s">
        <v>58</v>
      </c>
      <c r="F55" s="6"/>
      <c r="G55" s="6"/>
      <c r="H55" s="6"/>
      <c r="I55" s="6"/>
      <c r="J55" s="6"/>
    </row>
    <row r="56" spans="2:11" ht="60.75" thickBot="1">
      <c r="B56" s="50">
        <v>42401</v>
      </c>
      <c r="C56" s="41">
        <v>0.01</v>
      </c>
      <c r="D56" s="51" t="s">
        <v>1132</v>
      </c>
      <c r="E56" s="41"/>
      <c r="F56" s="6"/>
      <c r="G56" s="6"/>
      <c r="H56" s="6"/>
      <c r="I56" s="6"/>
      <c r="J56" s="6"/>
    </row>
    <row r="57" spans="2:11" ht="15.75" thickBot="1">
      <c r="B57" s="4"/>
      <c r="C57" s="96"/>
      <c r="D57" s="6"/>
      <c r="E57" s="6"/>
      <c r="F57" s="6"/>
      <c r="G57" s="6"/>
      <c r="H57" s="6"/>
      <c r="I57" s="6"/>
      <c r="J57" s="6"/>
      <c r="K57" s="6"/>
    </row>
    <row r="58" spans="2:11" ht="15.75" thickBot="1">
      <c r="B58" s="136" t="s">
        <v>60</v>
      </c>
      <c r="C58" s="97"/>
      <c r="D58" s="6"/>
      <c r="E58" s="6"/>
      <c r="F58" s="6"/>
      <c r="G58" s="6"/>
      <c r="H58" s="6"/>
      <c r="I58" s="6"/>
      <c r="J58" s="6"/>
      <c r="K58" s="6"/>
    </row>
    <row r="59" spans="2:11">
      <c r="B59" s="1560"/>
      <c r="C59" s="1561"/>
      <c r="D59" s="1561"/>
      <c r="E59" s="1562"/>
      <c r="F59" s="6"/>
      <c r="G59" s="6"/>
      <c r="H59" s="6"/>
      <c r="I59" s="6"/>
      <c r="J59" s="6"/>
      <c r="K59" s="6"/>
    </row>
    <row r="60" spans="2:11" ht="15.75" thickBot="1">
      <c r="B60" s="1563"/>
      <c r="C60" s="1564"/>
      <c r="D60" s="1564"/>
      <c r="E60" s="1565"/>
      <c r="F60" s="6"/>
      <c r="G60" s="6"/>
      <c r="H60" s="6"/>
      <c r="I60" s="6"/>
      <c r="J60" s="6"/>
      <c r="K60" s="6"/>
    </row>
    <row r="61" spans="2:11" ht="15.75" thickBot="1">
      <c r="B61" s="6"/>
      <c r="D61" s="6"/>
      <c r="E61" s="6"/>
      <c r="F61" s="6"/>
      <c r="G61" s="6"/>
      <c r="H61" s="6"/>
      <c r="I61" s="6"/>
      <c r="J61" s="6"/>
      <c r="K61" s="6"/>
    </row>
    <row r="62" spans="2:11" ht="24.75" thickBot="1">
      <c r="B62" s="52" t="s">
        <v>61</v>
      </c>
      <c r="C62" s="98"/>
      <c r="D62" s="6"/>
      <c r="E62" s="6"/>
      <c r="F62" s="6"/>
      <c r="G62" s="6"/>
      <c r="H62" s="6"/>
      <c r="I62" s="6"/>
      <c r="J62" s="6"/>
      <c r="K62" s="6"/>
    </row>
    <row r="63" spans="2:11" ht="15.75" thickBot="1">
      <c r="B63" s="2"/>
      <c r="C63" s="77"/>
      <c r="D63" s="6"/>
      <c r="E63" s="6"/>
      <c r="F63" s="6"/>
      <c r="G63" s="6"/>
      <c r="H63" s="6"/>
      <c r="I63" s="6"/>
      <c r="J63" s="6"/>
      <c r="K63" s="6"/>
    </row>
    <row r="64" spans="2:11" ht="60.75" thickBot="1">
      <c r="B64" s="53" t="s">
        <v>62</v>
      </c>
      <c r="C64" s="99"/>
      <c r="D64" s="44" t="s">
        <v>1087</v>
      </c>
      <c r="E64" s="6"/>
      <c r="F64" s="6"/>
      <c r="G64" s="6"/>
      <c r="H64" s="6"/>
      <c r="I64" s="6"/>
      <c r="J64" s="6"/>
      <c r="K64" s="6"/>
    </row>
    <row r="65" spans="2:11">
      <c r="B65" s="1447" t="s">
        <v>64</v>
      </c>
      <c r="C65" s="95"/>
      <c r="D65" s="54" t="s">
        <v>65</v>
      </c>
      <c r="E65" s="6"/>
      <c r="F65" s="6"/>
      <c r="G65" s="6"/>
      <c r="H65" s="6"/>
      <c r="I65" s="6"/>
      <c r="J65" s="6"/>
      <c r="K65" s="6"/>
    </row>
    <row r="66" spans="2:11" ht="48">
      <c r="B66" s="1448"/>
      <c r="C66" s="95"/>
      <c r="D66" s="47" t="s">
        <v>1088</v>
      </c>
      <c r="E66" s="6"/>
      <c r="F66" s="6"/>
      <c r="G66" s="6"/>
      <c r="H66" s="6"/>
      <c r="I66" s="6"/>
      <c r="J66" s="6"/>
      <c r="K66" s="6"/>
    </row>
    <row r="67" spans="2:11">
      <c r="B67" s="1448"/>
      <c r="C67" s="95"/>
      <c r="D67" s="54" t="s">
        <v>139</v>
      </c>
      <c r="E67" s="6"/>
      <c r="F67" s="6"/>
      <c r="G67" s="6"/>
      <c r="H67" s="6"/>
      <c r="I67" s="6"/>
      <c r="J67" s="6"/>
      <c r="K67" s="6"/>
    </row>
    <row r="68" spans="2:11">
      <c r="B68" s="1448"/>
      <c r="C68" s="95"/>
      <c r="D68" s="47" t="s">
        <v>70</v>
      </c>
      <c r="E68" s="6"/>
      <c r="F68" s="6"/>
      <c r="G68" s="6"/>
      <c r="H68" s="6"/>
      <c r="I68" s="6"/>
      <c r="J68" s="6"/>
      <c r="K68" s="6"/>
    </row>
    <row r="69" spans="2:11">
      <c r="B69" s="1448"/>
      <c r="C69" s="95"/>
      <c r="D69" s="47" t="s">
        <v>1016</v>
      </c>
      <c r="E69" s="6"/>
      <c r="F69" s="6"/>
      <c r="G69" s="6"/>
      <c r="H69" s="6"/>
      <c r="I69" s="6"/>
      <c r="J69" s="6"/>
      <c r="K69" s="6"/>
    </row>
    <row r="70" spans="2:11" ht="48">
      <c r="B70" s="1448"/>
      <c r="C70" s="95"/>
      <c r="D70" s="47" t="s">
        <v>1017</v>
      </c>
      <c r="E70" s="6"/>
      <c r="F70" s="6"/>
      <c r="G70" s="6"/>
      <c r="H70" s="6"/>
      <c r="I70" s="6"/>
      <c r="J70" s="6"/>
      <c r="K70" s="6"/>
    </row>
    <row r="71" spans="2:11" ht="24">
      <c r="B71" s="1448"/>
      <c r="C71" s="95"/>
      <c r="D71" s="47" t="s">
        <v>1089</v>
      </c>
      <c r="E71" s="6"/>
      <c r="F71" s="6"/>
      <c r="G71" s="6"/>
      <c r="H71" s="6"/>
      <c r="I71" s="6"/>
      <c r="J71" s="6"/>
      <c r="K71" s="6"/>
    </row>
    <row r="72" spans="2:11">
      <c r="B72" s="1448"/>
      <c r="C72" s="95"/>
      <c r="D72" s="47" t="s">
        <v>1090</v>
      </c>
      <c r="E72" s="6"/>
      <c r="F72" s="6"/>
      <c r="G72" s="6"/>
      <c r="H72" s="6"/>
      <c r="I72" s="6"/>
      <c r="J72" s="6"/>
      <c r="K72" s="6"/>
    </row>
    <row r="73" spans="2:11">
      <c r="B73" s="1448"/>
      <c r="C73" s="95"/>
      <c r="D73" s="54" t="s">
        <v>1091</v>
      </c>
      <c r="E73" s="6"/>
      <c r="F73" s="6"/>
      <c r="G73" s="6"/>
      <c r="H73" s="6"/>
      <c r="I73" s="6"/>
      <c r="J73" s="6"/>
      <c r="K73" s="6"/>
    </row>
    <row r="74" spans="2:11" ht="60">
      <c r="B74" s="1448"/>
      <c r="C74" s="95"/>
      <c r="D74" s="47" t="s">
        <v>1092</v>
      </c>
      <c r="E74" s="6"/>
      <c r="F74" s="6"/>
      <c r="G74" s="6"/>
      <c r="H74" s="6"/>
      <c r="I74" s="6"/>
      <c r="J74" s="6"/>
      <c r="K74" s="6"/>
    </row>
    <row r="75" spans="2:11">
      <c r="B75" s="1448"/>
      <c r="C75" s="95"/>
      <c r="D75" s="56" t="s">
        <v>1018</v>
      </c>
      <c r="E75" s="6"/>
      <c r="F75" s="6"/>
      <c r="G75" s="6"/>
      <c r="H75" s="6"/>
      <c r="I75" s="6"/>
      <c r="J75" s="6"/>
      <c r="K75" s="6"/>
    </row>
    <row r="76" spans="2:11" ht="15.75" thickBot="1">
      <c r="B76" s="1449"/>
      <c r="C76" s="3"/>
      <c r="D76" s="57" t="s">
        <v>1019</v>
      </c>
      <c r="E76" s="6"/>
      <c r="F76" s="6"/>
      <c r="G76" s="6"/>
      <c r="H76" s="6"/>
      <c r="I76" s="6"/>
      <c r="J76" s="6"/>
      <c r="K76" s="6"/>
    </row>
    <row r="77" spans="2:11" ht="24.75" thickBot="1">
      <c r="B77" s="48" t="s">
        <v>77</v>
      </c>
      <c r="C77" s="3"/>
      <c r="D77" s="41" t="s">
        <v>1093</v>
      </c>
      <c r="E77" s="6"/>
      <c r="F77" s="6"/>
      <c r="G77" s="6"/>
      <c r="H77" s="6"/>
      <c r="I77" s="6"/>
      <c r="J77" s="6"/>
      <c r="K77" s="6"/>
    </row>
    <row r="78" spans="2:11" ht="108">
      <c r="B78" s="1447" t="s">
        <v>78</v>
      </c>
      <c r="C78" s="95"/>
      <c r="D78" s="47" t="s">
        <v>1094</v>
      </c>
      <c r="E78" s="6"/>
      <c r="F78" s="6"/>
      <c r="G78" s="6"/>
      <c r="H78" s="6"/>
      <c r="I78" s="6"/>
      <c r="J78" s="6"/>
      <c r="K78" s="6"/>
    </row>
    <row r="79" spans="2:11" ht="204">
      <c r="B79" s="1448"/>
      <c r="C79" s="95"/>
      <c r="D79" s="47" t="s">
        <v>1095</v>
      </c>
      <c r="E79" s="6"/>
      <c r="F79" s="6"/>
      <c r="G79" s="6"/>
      <c r="H79" s="6"/>
      <c r="I79" s="6"/>
      <c r="J79" s="6"/>
      <c r="K79" s="6"/>
    </row>
    <row r="80" spans="2:11" ht="240">
      <c r="B80" s="1448"/>
      <c r="C80" s="95"/>
      <c r="D80" s="47" t="s">
        <v>1096</v>
      </c>
      <c r="E80" s="6"/>
      <c r="F80" s="6"/>
      <c r="G80" s="6"/>
      <c r="H80" s="6"/>
      <c r="I80" s="6"/>
      <c r="J80" s="6"/>
      <c r="K80" s="6"/>
    </row>
    <row r="81" spans="2:11" ht="84">
      <c r="B81" s="1448"/>
      <c r="C81" s="95"/>
      <c r="D81" s="47" t="s">
        <v>1097</v>
      </c>
      <c r="E81" s="6"/>
      <c r="F81" s="6"/>
      <c r="G81" s="6"/>
      <c r="H81" s="6"/>
      <c r="I81" s="6"/>
      <c r="J81" s="6"/>
      <c r="K81" s="6"/>
    </row>
    <row r="82" spans="2:11" ht="216">
      <c r="B82" s="1448"/>
      <c r="C82" s="95"/>
      <c r="D82" s="47" t="s">
        <v>1023</v>
      </c>
      <c r="E82" s="6"/>
      <c r="F82" s="6"/>
      <c r="G82" s="6"/>
      <c r="H82" s="6"/>
      <c r="I82" s="6"/>
      <c r="J82" s="6"/>
      <c r="K82" s="6"/>
    </row>
    <row r="83" spans="2:11" ht="180">
      <c r="B83" s="1448"/>
      <c r="C83" s="95"/>
      <c r="D83" s="47" t="s">
        <v>1098</v>
      </c>
      <c r="E83" s="6"/>
      <c r="F83" s="6"/>
      <c r="G83" s="6"/>
      <c r="H83" s="6"/>
      <c r="I83" s="6"/>
      <c r="J83" s="6"/>
      <c r="K83" s="6"/>
    </row>
    <row r="84" spans="2:11" ht="132.75" thickBot="1">
      <c r="B84" s="1449"/>
      <c r="C84" s="3"/>
      <c r="D84" s="41" t="s">
        <v>1099</v>
      </c>
      <c r="E84" s="6"/>
      <c r="F84" s="6"/>
      <c r="G84" s="6"/>
      <c r="H84" s="6"/>
      <c r="I84" s="6"/>
      <c r="J84" s="6"/>
      <c r="K84" s="6"/>
    </row>
    <row r="85" spans="2:11" ht="24">
      <c r="B85" s="1447" t="s">
        <v>95</v>
      </c>
      <c r="C85" s="95"/>
      <c r="D85" s="58" t="s">
        <v>1100</v>
      </c>
      <c r="E85" s="6"/>
      <c r="F85" s="6"/>
      <c r="G85" s="6"/>
      <c r="H85" s="6"/>
      <c r="I85" s="6"/>
      <c r="J85" s="6"/>
      <c r="K85" s="6"/>
    </row>
    <row r="86" spans="2:11">
      <c r="B86" s="1448"/>
      <c r="C86" s="95"/>
      <c r="D86" s="17"/>
      <c r="E86" s="6"/>
      <c r="F86" s="6"/>
      <c r="G86" s="6"/>
      <c r="H86" s="6"/>
      <c r="I86" s="6"/>
      <c r="J86" s="6"/>
      <c r="K86" s="6"/>
    </row>
    <row r="87" spans="2:11">
      <c r="B87" s="1448"/>
      <c r="C87" s="95"/>
      <c r="D87" s="47" t="s">
        <v>96</v>
      </c>
      <c r="E87" s="6"/>
      <c r="F87" s="6"/>
      <c r="G87" s="6"/>
      <c r="H87" s="6"/>
      <c r="I87" s="6"/>
      <c r="J87" s="6"/>
      <c r="K87" s="6"/>
    </row>
    <row r="88" spans="2:11" ht="37.5">
      <c r="B88" s="1448"/>
      <c r="C88" s="95"/>
      <c r="D88" s="47" t="s">
        <v>1101</v>
      </c>
      <c r="E88" s="6"/>
      <c r="F88" s="6"/>
      <c r="G88" s="6"/>
      <c r="H88" s="6"/>
      <c r="I88" s="6"/>
      <c r="J88" s="6"/>
      <c r="K88" s="6"/>
    </row>
    <row r="89" spans="2:11" ht="37.5">
      <c r="B89" s="1448"/>
      <c r="C89" s="95"/>
      <c r="D89" s="47" t="s">
        <v>1102</v>
      </c>
      <c r="E89" s="6"/>
      <c r="F89" s="6"/>
      <c r="G89" s="6"/>
      <c r="H89" s="6"/>
      <c r="I89" s="6"/>
      <c r="J89" s="6"/>
      <c r="K89" s="6"/>
    </row>
    <row r="90" spans="2:11">
      <c r="B90" s="1448"/>
      <c r="C90" s="95"/>
      <c r="D90" s="47" t="s">
        <v>1103</v>
      </c>
      <c r="E90" s="6"/>
      <c r="F90" s="6"/>
      <c r="G90" s="6"/>
      <c r="H90" s="6"/>
      <c r="I90" s="6"/>
      <c r="J90" s="6"/>
      <c r="K90" s="6"/>
    </row>
    <row r="91" spans="2:11" ht="49.5">
      <c r="B91" s="1448"/>
      <c r="C91" s="95"/>
      <c r="D91" s="47" t="s">
        <v>1104</v>
      </c>
      <c r="E91" s="6"/>
      <c r="F91" s="6"/>
      <c r="G91" s="6"/>
      <c r="H91" s="6"/>
      <c r="I91" s="6"/>
      <c r="J91" s="6"/>
      <c r="K91" s="6"/>
    </row>
    <row r="92" spans="2:11" ht="60">
      <c r="B92" s="1448"/>
      <c r="C92" s="95"/>
      <c r="D92" s="47" t="s">
        <v>1105</v>
      </c>
      <c r="E92" s="6"/>
      <c r="F92" s="6"/>
      <c r="G92" s="6"/>
      <c r="H92" s="6"/>
      <c r="I92" s="6"/>
      <c r="J92" s="6"/>
      <c r="K92" s="6"/>
    </row>
    <row r="93" spans="2:11" ht="48">
      <c r="B93" s="1448"/>
      <c r="C93" s="95"/>
      <c r="D93" s="47" t="s">
        <v>1106</v>
      </c>
      <c r="E93" s="6"/>
      <c r="F93" s="6"/>
      <c r="G93" s="6"/>
      <c r="H93" s="6"/>
      <c r="I93" s="6"/>
      <c r="J93" s="6"/>
      <c r="K93" s="6"/>
    </row>
    <row r="94" spans="2:11" ht="24">
      <c r="B94" s="1448"/>
      <c r="C94" s="95"/>
      <c r="D94" s="54" t="s">
        <v>1107</v>
      </c>
      <c r="E94" s="6"/>
      <c r="F94" s="6"/>
      <c r="G94" s="6"/>
      <c r="H94" s="6"/>
      <c r="I94" s="6"/>
      <c r="J94" s="6"/>
      <c r="K94" s="6"/>
    </row>
    <row r="95" spans="2:11">
      <c r="B95" s="1448"/>
      <c r="C95" s="95"/>
      <c r="D95" s="17"/>
      <c r="E95" s="6"/>
      <c r="F95" s="6"/>
      <c r="G95" s="6"/>
      <c r="H95" s="6"/>
      <c r="I95" s="6"/>
      <c r="J95" s="6"/>
      <c r="K95" s="6"/>
    </row>
    <row r="96" spans="2:11">
      <c r="B96" s="1448"/>
      <c r="C96" s="95"/>
      <c r="D96" s="47" t="s">
        <v>96</v>
      </c>
      <c r="E96" s="6"/>
      <c r="F96" s="6"/>
      <c r="G96" s="6"/>
      <c r="H96" s="6"/>
      <c r="I96" s="6"/>
      <c r="J96" s="6"/>
      <c r="K96" s="6"/>
    </row>
    <row r="97" spans="2:11" ht="37.5">
      <c r="B97" s="1448"/>
      <c r="C97" s="95"/>
      <c r="D97" s="47" t="s">
        <v>1108</v>
      </c>
      <c r="E97" s="6"/>
      <c r="F97" s="6"/>
      <c r="G97" s="6"/>
      <c r="H97" s="6"/>
      <c r="I97" s="6"/>
      <c r="J97" s="6"/>
      <c r="K97" s="6"/>
    </row>
    <row r="98" spans="2:11" ht="25.5">
      <c r="B98" s="1448"/>
      <c r="C98" s="95"/>
      <c r="D98" s="47" t="s">
        <v>1109</v>
      </c>
      <c r="E98" s="6"/>
      <c r="F98" s="6"/>
      <c r="G98" s="6"/>
      <c r="H98" s="6"/>
      <c r="I98" s="6"/>
      <c r="J98" s="6"/>
      <c r="K98" s="6"/>
    </row>
    <row r="99" spans="2:11" ht="37.5">
      <c r="B99" s="1448"/>
      <c r="C99" s="95"/>
      <c r="D99" s="47" t="s">
        <v>1110</v>
      </c>
      <c r="E99" s="6"/>
      <c r="F99" s="6"/>
      <c r="G99" s="6"/>
      <c r="H99" s="6"/>
      <c r="I99" s="6"/>
      <c r="J99" s="6"/>
      <c r="K99" s="6"/>
    </row>
    <row r="100" spans="2:11">
      <c r="B100" s="1448"/>
      <c r="C100" s="95"/>
      <c r="D100" s="59" t="s">
        <v>1111</v>
      </c>
      <c r="E100" s="6"/>
      <c r="F100" s="6"/>
      <c r="G100" s="6"/>
      <c r="H100" s="6"/>
      <c r="I100" s="6"/>
      <c r="J100" s="6"/>
      <c r="K100" s="6"/>
    </row>
    <row r="101" spans="2:11" ht="72">
      <c r="B101" s="1448"/>
      <c r="C101" s="95"/>
      <c r="D101" s="47" t="s">
        <v>1112</v>
      </c>
      <c r="E101" s="6"/>
      <c r="F101" s="6"/>
      <c r="G101" s="6"/>
      <c r="H101" s="6"/>
      <c r="I101" s="6"/>
      <c r="J101" s="6"/>
      <c r="K101" s="6"/>
    </row>
    <row r="102" spans="2:11" ht="36">
      <c r="B102" s="1448"/>
      <c r="C102" s="95"/>
      <c r="D102" s="54" t="s">
        <v>1113</v>
      </c>
      <c r="E102" s="6"/>
      <c r="F102" s="6"/>
      <c r="G102" s="6"/>
      <c r="H102" s="6"/>
      <c r="I102" s="6"/>
      <c r="J102" s="6"/>
      <c r="K102" s="6"/>
    </row>
    <row r="103" spans="2:11">
      <c r="B103" s="1448"/>
      <c r="C103" s="95"/>
      <c r="D103" s="17"/>
      <c r="E103" s="6"/>
      <c r="F103" s="6"/>
      <c r="G103" s="6"/>
      <c r="H103" s="6"/>
      <c r="I103" s="6"/>
      <c r="J103" s="6"/>
      <c r="K103" s="6"/>
    </row>
    <row r="104" spans="2:11">
      <c r="B104" s="1448"/>
      <c r="C104" s="95"/>
      <c r="D104" s="47" t="s">
        <v>96</v>
      </c>
      <c r="E104" s="6"/>
      <c r="F104" s="6"/>
      <c r="G104" s="6"/>
      <c r="H104" s="6"/>
      <c r="I104" s="6"/>
      <c r="J104" s="6"/>
      <c r="K104" s="6"/>
    </row>
    <row r="105" spans="2:11" ht="49.5">
      <c r="B105" s="1448"/>
      <c r="C105" s="95"/>
      <c r="D105" s="47" t="s">
        <v>1114</v>
      </c>
      <c r="E105" s="6"/>
      <c r="F105" s="6"/>
      <c r="G105" s="6"/>
      <c r="H105" s="6"/>
      <c r="I105" s="6"/>
      <c r="J105" s="6"/>
      <c r="K105" s="6"/>
    </row>
    <row r="106" spans="2:11" ht="49.5">
      <c r="B106" s="1448"/>
      <c r="C106" s="95"/>
      <c r="D106" s="47" t="s">
        <v>1115</v>
      </c>
      <c r="E106" s="6"/>
      <c r="F106" s="6"/>
      <c r="G106" s="6"/>
      <c r="H106" s="6"/>
      <c r="I106" s="6"/>
      <c r="J106" s="6"/>
      <c r="K106" s="6"/>
    </row>
    <row r="107" spans="2:11" ht="37.5">
      <c r="B107" s="1448"/>
      <c r="C107" s="95"/>
      <c r="D107" s="47" t="s">
        <v>1116</v>
      </c>
      <c r="E107" s="6"/>
      <c r="F107" s="6"/>
      <c r="G107" s="6"/>
      <c r="H107" s="6"/>
      <c r="I107" s="6"/>
      <c r="J107" s="6"/>
      <c r="K107" s="6"/>
    </row>
    <row r="108" spans="2:11" ht="15.75" thickBot="1">
      <c r="B108" s="1449"/>
      <c r="C108" s="3"/>
      <c r="D108" s="41" t="s">
        <v>1117</v>
      </c>
      <c r="E108" s="6"/>
      <c r="F108" s="6"/>
      <c r="G108" s="6"/>
      <c r="H108" s="6"/>
      <c r="I108" s="6"/>
      <c r="J108" s="6"/>
      <c r="K108" s="6"/>
    </row>
    <row r="109" spans="2:11">
      <c r="B109" s="6"/>
      <c r="D109" s="6"/>
      <c r="E109" s="6"/>
      <c r="F109" s="6"/>
      <c r="G109" s="6"/>
      <c r="H109" s="6"/>
      <c r="I109" s="6"/>
      <c r="J109" s="6"/>
      <c r="K109" s="6"/>
    </row>
    <row r="110" spans="2:11">
      <c r="B110" s="6"/>
      <c r="D110" s="6"/>
      <c r="E110" s="6"/>
      <c r="F110" s="6"/>
      <c r="G110" s="6"/>
      <c r="H110" s="6"/>
      <c r="I110" s="6"/>
      <c r="J110" s="6"/>
      <c r="K110" s="6"/>
    </row>
    <row r="111" spans="2:11">
      <c r="B111" s="6"/>
      <c r="D111" s="6"/>
      <c r="E111" s="6"/>
      <c r="F111" s="6"/>
      <c r="G111" s="6"/>
      <c r="H111" s="6"/>
      <c r="I111" s="6"/>
      <c r="J111" s="6"/>
      <c r="K111" s="6"/>
    </row>
    <row r="112" spans="2:11">
      <c r="B112" s="6"/>
      <c r="D112" s="6"/>
      <c r="E112" s="6"/>
      <c r="F112" s="6"/>
      <c r="G112" s="6"/>
      <c r="H112" s="6"/>
      <c r="I112" s="6"/>
      <c r="J112" s="6"/>
      <c r="K112" s="6"/>
    </row>
    <row r="113" spans="2:11">
      <c r="B113" s="6"/>
      <c r="D113" s="6"/>
      <c r="E113" s="6"/>
      <c r="F113" s="6"/>
      <c r="G113" s="6"/>
      <c r="H113" s="6"/>
      <c r="I113" s="6"/>
      <c r="J113" s="6"/>
      <c r="K113" s="6"/>
    </row>
    <row r="114" spans="2:11">
      <c r="B114" s="6"/>
      <c r="D114" s="6"/>
      <c r="E114" s="6"/>
      <c r="F114" s="6"/>
      <c r="G114" s="6"/>
      <c r="H114" s="6"/>
      <c r="I114" s="6"/>
      <c r="J114" s="6"/>
      <c r="K114" s="6"/>
    </row>
    <row r="115" spans="2:11">
      <c r="B115" s="6"/>
      <c r="D115" s="6"/>
      <c r="E115" s="6"/>
      <c r="F115" s="6"/>
      <c r="G115" s="6"/>
      <c r="H115" s="6"/>
      <c r="I115" s="6"/>
      <c r="J115" s="6"/>
      <c r="K115" s="6"/>
    </row>
    <row r="116" spans="2:11">
      <c r="B116" s="6"/>
      <c r="D116" s="6"/>
      <c r="E116" s="6"/>
      <c r="F116" s="6"/>
      <c r="G116" s="6"/>
      <c r="H116" s="6"/>
      <c r="I116" s="6"/>
      <c r="J116" s="6"/>
      <c r="K116" s="6"/>
    </row>
    <row r="117" spans="2:11">
      <c r="B117" s="6"/>
      <c r="D117" s="6"/>
      <c r="E117" s="6"/>
      <c r="F117" s="6"/>
      <c r="G117" s="6"/>
      <c r="H117" s="6"/>
      <c r="I117" s="6"/>
      <c r="J117" s="6"/>
      <c r="K117" s="6"/>
    </row>
    <row r="118" spans="2:11">
      <c r="B118" s="6"/>
      <c r="D118" s="6"/>
      <c r="E118" s="6"/>
      <c r="F118" s="6"/>
      <c r="G118" s="6"/>
      <c r="H118" s="6"/>
      <c r="I118" s="6"/>
      <c r="J118" s="6"/>
      <c r="K118" s="6"/>
    </row>
    <row r="119" spans="2:11">
      <c r="B119" s="6"/>
      <c r="D119" s="6"/>
      <c r="E119" s="6"/>
      <c r="F119" s="6"/>
      <c r="G119" s="6"/>
      <c r="H119" s="6"/>
      <c r="I119" s="6"/>
      <c r="J119" s="6"/>
      <c r="K119" s="6"/>
    </row>
    <row r="120" spans="2:11">
      <c r="B120" s="6"/>
      <c r="D120" s="6"/>
      <c r="E120" s="6"/>
      <c r="F120" s="6"/>
      <c r="G120" s="6"/>
      <c r="H120" s="6"/>
      <c r="I120" s="6"/>
      <c r="J120" s="6"/>
      <c r="K120" s="6"/>
    </row>
    <row r="121" spans="2:11">
      <c r="B121" s="6"/>
      <c r="D121" s="6"/>
      <c r="E121" s="6"/>
      <c r="F121" s="6"/>
      <c r="G121" s="6"/>
      <c r="H121" s="6"/>
      <c r="I121" s="6"/>
      <c r="J121" s="6"/>
      <c r="K121" s="6"/>
    </row>
    <row r="122" spans="2:11">
      <c r="B122" s="6"/>
      <c r="D122" s="6"/>
      <c r="E122" s="6"/>
      <c r="F122" s="6"/>
      <c r="G122" s="6"/>
      <c r="H122" s="6"/>
      <c r="I122" s="6"/>
      <c r="J122" s="6"/>
      <c r="K122" s="6"/>
    </row>
    <row r="123" spans="2:11">
      <c r="B123" s="6"/>
      <c r="D123" s="6"/>
      <c r="E123" s="6"/>
      <c r="F123" s="6"/>
      <c r="G123" s="6"/>
      <c r="H123" s="6"/>
      <c r="I123" s="6"/>
      <c r="J123" s="6"/>
      <c r="K123" s="6"/>
    </row>
    <row r="124" spans="2:11">
      <c r="B124" s="6"/>
      <c r="D124" s="6"/>
      <c r="E124" s="6"/>
      <c r="F124" s="6"/>
      <c r="G124" s="6"/>
      <c r="H124" s="6"/>
      <c r="I124" s="6"/>
      <c r="J124" s="6"/>
      <c r="K124" s="6"/>
    </row>
    <row r="125" spans="2:11">
      <c r="B125" s="6"/>
      <c r="D125" s="6"/>
      <c r="E125" s="6"/>
      <c r="F125" s="6"/>
      <c r="G125" s="6"/>
      <c r="H125" s="6"/>
      <c r="I125" s="6"/>
      <c r="J125" s="6"/>
      <c r="K125" s="6"/>
    </row>
    <row r="126" spans="2:11">
      <c r="B126" s="6"/>
      <c r="D126" s="6"/>
      <c r="E126" s="6"/>
      <c r="F126" s="6"/>
      <c r="G126" s="6"/>
      <c r="H126" s="6"/>
      <c r="I126" s="6"/>
      <c r="J126" s="6"/>
      <c r="K126" s="6"/>
    </row>
    <row r="127" spans="2:11">
      <c r="B127" s="6"/>
      <c r="D127" s="6"/>
      <c r="E127" s="6"/>
      <c r="F127" s="6"/>
      <c r="G127" s="6"/>
      <c r="H127" s="6"/>
      <c r="I127" s="6"/>
      <c r="J127" s="6"/>
      <c r="K127" s="6"/>
    </row>
    <row r="128" spans="2:11">
      <c r="B128" s="6"/>
      <c r="D128" s="6"/>
      <c r="E128" s="6"/>
      <c r="F128" s="6"/>
      <c r="G128" s="6"/>
      <c r="H128" s="6"/>
      <c r="I128" s="6"/>
      <c r="J128" s="6"/>
      <c r="K128" s="6"/>
    </row>
    <row r="129" spans="2:11">
      <c r="B129" s="6"/>
      <c r="D129" s="6"/>
      <c r="E129" s="6"/>
      <c r="F129" s="6"/>
      <c r="G129" s="6"/>
      <c r="H129" s="6"/>
      <c r="I129" s="6"/>
      <c r="J129" s="6"/>
      <c r="K129" s="6"/>
    </row>
    <row r="130" spans="2:11">
      <c r="B130" s="6"/>
      <c r="D130" s="6"/>
      <c r="E130" s="6"/>
      <c r="F130" s="6"/>
      <c r="G130" s="6"/>
      <c r="H130" s="6"/>
      <c r="I130" s="6"/>
      <c r="J130" s="6"/>
      <c r="K130" s="6"/>
    </row>
    <row r="131" spans="2:11">
      <c r="B131" s="6"/>
      <c r="D131" s="6"/>
      <c r="E131" s="6"/>
      <c r="F131" s="6"/>
      <c r="G131" s="6"/>
      <c r="H131" s="6"/>
      <c r="I131" s="6"/>
      <c r="J131" s="6"/>
      <c r="K131" s="6"/>
    </row>
    <row r="132" spans="2:11">
      <c r="B132" s="6"/>
      <c r="D132" s="6"/>
      <c r="E132" s="6"/>
      <c r="F132" s="6"/>
      <c r="G132" s="6"/>
      <c r="H132" s="6"/>
      <c r="I132" s="6"/>
      <c r="J132" s="6"/>
      <c r="K132" s="6"/>
    </row>
    <row r="133" spans="2:11">
      <c r="B133" s="6"/>
      <c r="D133" s="6"/>
      <c r="E133" s="6"/>
      <c r="F133" s="6"/>
      <c r="G133" s="6"/>
      <c r="H133" s="6"/>
      <c r="I133" s="6"/>
      <c r="J133" s="6"/>
      <c r="K133" s="6"/>
    </row>
    <row r="134" spans="2:11">
      <c r="B134" s="6"/>
      <c r="D134" s="6"/>
      <c r="E134" s="6"/>
      <c r="F134" s="6"/>
      <c r="G134" s="6"/>
      <c r="H134" s="6"/>
      <c r="I134" s="6"/>
      <c r="J134" s="6"/>
      <c r="K134" s="6"/>
    </row>
    <row r="135" spans="2:11">
      <c r="B135" s="6"/>
      <c r="D135" s="6"/>
      <c r="E135" s="6"/>
      <c r="F135" s="6"/>
      <c r="G135" s="6"/>
      <c r="H135" s="6"/>
      <c r="I135" s="6"/>
      <c r="J135" s="6"/>
      <c r="K135" s="6"/>
    </row>
    <row r="136" spans="2:11">
      <c r="B136" s="6"/>
      <c r="D136" s="6"/>
      <c r="E136" s="6"/>
      <c r="F136" s="6"/>
      <c r="G136" s="6"/>
      <c r="H136" s="6"/>
      <c r="I136" s="6"/>
      <c r="J136" s="6"/>
      <c r="K136" s="6"/>
    </row>
    <row r="137" spans="2:11">
      <c r="B137" s="6"/>
      <c r="D137" s="6"/>
      <c r="E137" s="6"/>
      <c r="F137" s="6"/>
      <c r="G137" s="6"/>
      <c r="H137" s="6"/>
      <c r="I137" s="6"/>
      <c r="J137" s="6"/>
      <c r="K137" s="6"/>
    </row>
    <row r="138" spans="2:11">
      <c r="B138" s="6"/>
      <c r="D138" s="6"/>
      <c r="E138" s="6"/>
      <c r="F138" s="6"/>
      <c r="G138" s="6"/>
      <c r="H138" s="6"/>
      <c r="I138" s="6"/>
      <c r="J138" s="6"/>
      <c r="K138" s="6"/>
    </row>
    <row r="139" spans="2:11">
      <c r="B139" s="6"/>
      <c r="D139" s="6"/>
      <c r="E139" s="6"/>
      <c r="F139" s="6"/>
      <c r="G139" s="6"/>
      <c r="H139" s="6"/>
      <c r="I139" s="6"/>
      <c r="J139" s="6"/>
      <c r="K139" s="6"/>
    </row>
    <row r="140" spans="2:11">
      <c r="B140" s="6"/>
      <c r="D140" s="6"/>
      <c r="E140" s="6"/>
      <c r="F140" s="6"/>
      <c r="G140" s="6"/>
      <c r="H140" s="6"/>
      <c r="I140" s="6"/>
      <c r="J140" s="6"/>
      <c r="K140" s="6"/>
    </row>
    <row r="141" spans="2:11">
      <c r="B141" s="6"/>
      <c r="D141" s="6"/>
      <c r="E141" s="6"/>
      <c r="F141" s="6"/>
      <c r="G141" s="6"/>
      <c r="H141" s="6"/>
      <c r="I141" s="6"/>
      <c r="J141" s="6"/>
      <c r="K141" s="6"/>
    </row>
    <row r="142" spans="2:11">
      <c r="B142" s="6"/>
      <c r="D142" s="6"/>
      <c r="E142" s="6"/>
      <c r="F142" s="6"/>
      <c r="G142" s="6"/>
      <c r="H142" s="6"/>
      <c r="I142" s="6"/>
      <c r="J142" s="6"/>
      <c r="K142" s="6"/>
    </row>
    <row r="143" spans="2:11">
      <c r="B143" s="6"/>
      <c r="D143" s="6"/>
      <c r="E143" s="6"/>
      <c r="F143" s="6"/>
      <c r="G143" s="6"/>
      <c r="H143" s="6"/>
      <c r="I143" s="6"/>
      <c r="J143" s="6"/>
      <c r="K143" s="6"/>
    </row>
    <row r="144" spans="2:11">
      <c r="B144" s="6"/>
      <c r="D144" s="6"/>
      <c r="E144" s="6"/>
      <c r="F144" s="6"/>
      <c r="G144" s="6"/>
      <c r="H144" s="6"/>
      <c r="I144" s="6"/>
      <c r="J144" s="6"/>
      <c r="K144" s="6"/>
    </row>
    <row r="145" spans="2:11">
      <c r="B145" s="6"/>
      <c r="D145" s="6"/>
      <c r="E145" s="6"/>
      <c r="F145" s="6"/>
      <c r="G145" s="6"/>
      <c r="H145" s="6"/>
      <c r="I145" s="6"/>
      <c r="J145" s="6"/>
      <c r="K145" s="6"/>
    </row>
    <row r="146" spans="2:11">
      <c r="B146" s="6"/>
      <c r="D146" s="6"/>
      <c r="E146" s="6"/>
      <c r="F146" s="6"/>
      <c r="G146" s="6"/>
      <c r="H146" s="6"/>
      <c r="I146" s="6"/>
      <c r="J146" s="6"/>
      <c r="K146" s="6"/>
    </row>
    <row r="147" spans="2:11">
      <c r="B147" s="6"/>
      <c r="D147" s="6"/>
      <c r="E147" s="6"/>
      <c r="F147" s="6"/>
      <c r="G147" s="6"/>
      <c r="H147" s="6"/>
      <c r="I147" s="6"/>
      <c r="J147" s="6"/>
      <c r="K147" s="6"/>
    </row>
    <row r="148" spans="2:11">
      <c r="B148" s="6"/>
      <c r="D148" s="6"/>
      <c r="E148" s="6"/>
      <c r="F148" s="6"/>
      <c r="G148" s="6"/>
      <c r="H148" s="6"/>
      <c r="I148" s="6"/>
      <c r="J148" s="6"/>
      <c r="K148" s="6"/>
    </row>
    <row r="149" spans="2:11">
      <c r="B149" s="6"/>
      <c r="D149" s="6"/>
      <c r="E149" s="6"/>
      <c r="F149" s="6"/>
      <c r="G149" s="6"/>
      <c r="H149" s="6"/>
      <c r="I149" s="6"/>
      <c r="J149" s="6"/>
      <c r="K149" s="6"/>
    </row>
    <row r="150" spans="2:11">
      <c r="B150" s="6"/>
      <c r="D150" s="6"/>
      <c r="E150" s="6"/>
      <c r="F150" s="6"/>
      <c r="G150" s="6"/>
      <c r="H150" s="6"/>
      <c r="I150" s="6"/>
      <c r="J150" s="6"/>
      <c r="K150" s="6"/>
    </row>
    <row r="151" spans="2:11">
      <c r="B151" s="6"/>
      <c r="D151" s="6"/>
      <c r="E151" s="6"/>
      <c r="F151" s="6"/>
      <c r="G151" s="6"/>
      <c r="H151" s="6"/>
      <c r="I151" s="6"/>
      <c r="J151" s="6"/>
      <c r="K151" s="6"/>
    </row>
    <row r="152" spans="2:11">
      <c r="B152" s="6"/>
      <c r="D152" s="6"/>
      <c r="E152" s="6"/>
      <c r="F152" s="6"/>
      <c r="G152" s="6"/>
      <c r="H152" s="6"/>
      <c r="I152" s="6"/>
      <c r="J152" s="6"/>
      <c r="K152" s="6"/>
    </row>
    <row r="153" spans="2:11">
      <c r="B153" s="6"/>
      <c r="D153" s="6"/>
      <c r="E153" s="6"/>
      <c r="F153" s="6"/>
      <c r="G153" s="6"/>
      <c r="H153" s="6"/>
      <c r="I153" s="6"/>
      <c r="J153" s="6"/>
      <c r="K153" s="6"/>
    </row>
    <row r="154" spans="2:11">
      <c r="B154" s="6"/>
      <c r="D154" s="6"/>
      <c r="E154" s="6"/>
      <c r="F154" s="6"/>
      <c r="G154" s="6"/>
      <c r="H154" s="6"/>
      <c r="I154" s="6"/>
      <c r="J154" s="6"/>
      <c r="K154" s="6"/>
    </row>
    <row r="155" spans="2:11">
      <c r="B155" s="6"/>
      <c r="D155" s="6"/>
      <c r="E155" s="6"/>
      <c r="F155" s="6"/>
      <c r="G155" s="6"/>
      <c r="H155" s="6"/>
      <c r="I155" s="6"/>
      <c r="J155" s="6"/>
      <c r="K155" s="6"/>
    </row>
    <row r="156" spans="2:11">
      <c r="B156" s="6"/>
      <c r="D156" s="6"/>
      <c r="E156" s="6"/>
      <c r="F156" s="6"/>
      <c r="G156" s="6"/>
      <c r="H156" s="6"/>
      <c r="I156" s="6"/>
      <c r="J156" s="6"/>
      <c r="K156" s="6"/>
    </row>
    <row r="157" spans="2:11">
      <c r="B157" s="6"/>
      <c r="D157" s="6"/>
      <c r="E157" s="6"/>
      <c r="F157" s="6"/>
      <c r="G157" s="6"/>
      <c r="H157" s="6"/>
      <c r="I157" s="6"/>
      <c r="J157" s="6"/>
      <c r="K157" s="6"/>
    </row>
    <row r="158" spans="2:11">
      <c r="B158" s="6"/>
      <c r="D158" s="6"/>
      <c r="E158" s="6"/>
      <c r="F158" s="6"/>
      <c r="G158" s="6"/>
      <c r="H158" s="6"/>
      <c r="I158" s="6"/>
      <c r="J158" s="6"/>
      <c r="K158" s="6"/>
    </row>
    <row r="159" spans="2:11">
      <c r="B159" s="6"/>
      <c r="D159" s="6"/>
      <c r="E159" s="6"/>
      <c r="F159" s="6"/>
      <c r="G159" s="6"/>
      <c r="H159" s="6"/>
      <c r="I159" s="6"/>
      <c r="J159" s="6"/>
      <c r="K159" s="6"/>
    </row>
    <row r="160" spans="2:11">
      <c r="B160" s="6"/>
      <c r="D160" s="6"/>
      <c r="E160" s="6"/>
      <c r="F160" s="6"/>
      <c r="G160" s="6"/>
      <c r="H160" s="6"/>
      <c r="I160" s="6"/>
      <c r="J160" s="6"/>
      <c r="K160" s="6"/>
    </row>
    <row r="161" spans="2:11">
      <c r="B161" s="6"/>
      <c r="D161" s="6"/>
      <c r="E161" s="6"/>
      <c r="F161" s="6"/>
      <c r="G161" s="6"/>
      <c r="H161" s="6"/>
      <c r="I161" s="6"/>
      <c r="J161" s="6"/>
      <c r="K161" s="6"/>
    </row>
    <row r="162" spans="2:11">
      <c r="B162" s="6"/>
      <c r="D162" s="6"/>
      <c r="E162" s="6"/>
      <c r="F162" s="6"/>
      <c r="G162" s="6"/>
      <c r="H162" s="6"/>
      <c r="I162" s="6"/>
      <c r="J162" s="6"/>
      <c r="K162" s="6"/>
    </row>
    <row r="163" spans="2:11">
      <c r="B163" s="6"/>
      <c r="D163" s="6"/>
      <c r="E163" s="6"/>
      <c r="F163" s="6"/>
      <c r="G163" s="6"/>
      <c r="H163" s="6"/>
      <c r="I163" s="6"/>
      <c r="J163" s="6"/>
      <c r="K163" s="6"/>
    </row>
    <row r="164" spans="2:11">
      <c r="B164" s="6"/>
      <c r="D164" s="6"/>
      <c r="E164" s="6"/>
      <c r="F164" s="6"/>
      <c r="G164" s="6"/>
      <c r="H164" s="6"/>
      <c r="I164" s="6"/>
      <c r="J164" s="6"/>
      <c r="K164" s="6"/>
    </row>
    <row r="165" spans="2:11">
      <c r="B165" s="6"/>
      <c r="D165" s="6"/>
      <c r="E165" s="6"/>
      <c r="F165" s="6"/>
      <c r="G165" s="6"/>
      <c r="H165" s="6"/>
      <c r="I165" s="6"/>
      <c r="J165" s="6"/>
      <c r="K165" s="6"/>
    </row>
    <row r="166" spans="2:11">
      <c r="B166" s="6"/>
      <c r="D166" s="6"/>
      <c r="E166" s="6"/>
      <c r="F166" s="6"/>
      <c r="G166" s="6"/>
      <c r="H166" s="6"/>
      <c r="I166" s="6"/>
      <c r="J166" s="6"/>
      <c r="K166" s="6"/>
    </row>
    <row r="167" spans="2:11">
      <c r="B167" s="6"/>
      <c r="D167" s="6"/>
      <c r="E167" s="6"/>
      <c r="F167" s="6"/>
      <c r="G167" s="6"/>
      <c r="H167" s="6"/>
      <c r="I167" s="6"/>
      <c r="J167" s="6"/>
      <c r="K167" s="6"/>
    </row>
    <row r="168" spans="2:11">
      <c r="B168" s="6"/>
      <c r="D168" s="6"/>
      <c r="E168" s="6"/>
      <c r="F168" s="6"/>
      <c r="G168" s="6"/>
      <c r="H168" s="6"/>
      <c r="I168" s="6"/>
      <c r="J168" s="6"/>
      <c r="K168" s="6"/>
    </row>
    <row r="169" spans="2:11">
      <c r="B169" s="6"/>
      <c r="D169" s="6"/>
      <c r="E169" s="6"/>
      <c r="F169" s="6"/>
      <c r="G169" s="6"/>
      <c r="H169" s="6"/>
      <c r="I169" s="6"/>
      <c r="J169" s="6"/>
      <c r="K169" s="6"/>
    </row>
    <row r="170" spans="2:11">
      <c r="B170" s="6"/>
      <c r="D170" s="6"/>
      <c r="E170" s="6"/>
      <c r="F170" s="6"/>
      <c r="G170" s="6"/>
      <c r="H170" s="6"/>
      <c r="I170" s="6"/>
      <c r="J170" s="6"/>
      <c r="K170" s="6"/>
    </row>
    <row r="171" spans="2:11">
      <c r="B171" s="6"/>
      <c r="D171" s="6"/>
      <c r="E171" s="6"/>
      <c r="F171" s="6"/>
      <c r="G171" s="6"/>
      <c r="H171" s="6"/>
      <c r="I171" s="6"/>
      <c r="J171" s="6"/>
      <c r="K171" s="6"/>
    </row>
    <row r="172" spans="2:11">
      <c r="B172" s="6"/>
      <c r="D172" s="6"/>
      <c r="E172" s="6"/>
      <c r="F172" s="6"/>
      <c r="G172" s="6"/>
      <c r="H172" s="6"/>
      <c r="I172" s="6"/>
      <c r="J172" s="6"/>
      <c r="K172" s="6"/>
    </row>
    <row r="173" spans="2:11">
      <c r="B173" s="6"/>
      <c r="D173" s="6"/>
      <c r="E173" s="6"/>
      <c r="F173" s="6"/>
      <c r="G173" s="6"/>
      <c r="H173" s="6"/>
      <c r="I173" s="6"/>
      <c r="J173" s="6"/>
      <c r="K173" s="6"/>
    </row>
    <row r="174" spans="2:11">
      <c r="B174" s="6"/>
      <c r="D174" s="6"/>
      <c r="E174" s="6"/>
      <c r="F174" s="6"/>
      <c r="G174" s="6"/>
      <c r="H174" s="6"/>
      <c r="I174" s="6"/>
      <c r="J174" s="6"/>
      <c r="K174" s="6"/>
    </row>
    <row r="175" spans="2:11">
      <c r="B175" s="6"/>
      <c r="D175" s="6"/>
      <c r="E175" s="6"/>
      <c r="F175" s="6"/>
      <c r="G175" s="6"/>
      <c r="H175" s="6"/>
      <c r="I175" s="6"/>
      <c r="J175" s="6"/>
      <c r="K175" s="6"/>
    </row>
    <row r="176" spans="2:11">
      <c r="B176" s="6"/>
      <c r="D176" s="6"/>
      <c r="E176" s="6"/>
      <c r="F176" s="6"/>
      <c r="G176" s="6"/>
      <c r="H176" s="6"/>
      <c r="I176" s="6"/>
      <c r="J176" s="6"/>
      <c r="K176" s="6"/>
    </row>
    <row r="177" spans="2:11">
      <c r="B177" s="6"/>
      <c r="D177" s="6"/>
      <c r="E177" s="6"/>
      <c r="F177" s="6"/>
      <c r="G177" s="6"/>
      <c r="H177" s="6"/>
      <c r="I177" s="6"/>
      <c r="J177" s="6"/>
      <c r="K177" s="6"/>
    </row>
    <row r="178" spans="2:11">
      <c r="B178" s="6"/>
      <c r="D178" s="6"/>
      <c r="E178" s="6"/>
      <c r="F178" s="6"/>
      <c r="G178" s="6"/>
      <c r="H178" s="6"/>
      <c r="I178" s="6"/>
      <c r="J178" s="6"/>
      <c r="K178" s="6"/>
    </row>
    <row r="179" spans="2:11">
      <c r="B179" s="6"/>
      <c r="D179" s="6"/>
      <c r="E179" s="6"/>
      <c r="F179" s="6"/>
      <c r="G179" s="6"/>
      <c r="H179" s="6"/>
      <c r="I179" s="6"/>
      <c r="J179" s="6"/>
      <c r="K179" s="6"/>
    </row>
    <row r="180" spans="2:11">
      <c r="B180" s="6"/>
      <c r="D180" s="6"/>
      <c r="E180" s="6"/>
      <c r="F180" s="6"/>
      <c r="G180" s="6"/>
      <c r="H180" s="6"/>
      <c r="I180" s="6"/>
      <c r="J180" s="6"/>
      <c r="K180" s="6"/>
    </row>
    <row r="181" spans="2:11">
      <c r="B181" s="6"/>
      <c r="D181" s="6"/>
      <c r="E181" s="6"/>
      <c r="F181" s="6"/>
      <c r="G181" s="6"/>
      <c r="H181" s="6"/>
      <c r="I181" s="6"/>
      <c r="J181" s="6"/>
      <c r="K181" s="6"/>
    </row>
    <row r="182" spans="2:11">
      <c r="B182" s="6"/>
      <c r="D182" s="6"/>
      <c r="E182" s="6"/>
      <c r="F182" s="6"/>
      <c r="G182" s="6"/>
      <c r="H182" s="6"/>
      <c r="I182" s="6"/>
      <c r="J182" s="6"/>
      <c r="K182" s="6"/>
    </row>
    <row r="183" spans="2:11">
      <c r="B183" s="6"/>
      <c r="D183" s="6"/>
      <c r="E183" s="6"/>
      <c r="F183" s="6"/>
      <c r="G183" s="6"/>
      <c r="H183" s="6"/>
      <c r="I183" s="6"/>
      <c r="J183" s="6"/>
      <c r="K183" s="6"/>
    </row>
  </sheetData>
  <sheetProtection sheet="1" objects="1" scenarios="1"/>
  <mergeCells count="26">
    <mergeCell ref="B78:B84"/>
    <mergeCell ref="B85:B108"/>
    <mergeCell ref="B15:B28"/>
    <mergeCell ref="D15:H15"/>
    <mergeCell ref="D16:H16"/>
    <mergeCell ref="D17:H17"/>
    <mergeCell ref="B45:E45"/>
    <mergeCell ref="B46:B52"/>
    <mergeCell ref="D22:H22"/>
    <mergeCell ref="D23:H23"/>
    <mergeCell ref="D33:H33"/>
    <mergeCell ref="B59:E60"/>
    <mergeCell ref="D34:H34"/>
    <mergeCell ref="B36:E36"/>
    <mergeCell ref="B37:B43"/>
    <mergeCell ref="B65:B76"/>
    <mergeCell ref="B10:D10"/>
    <mergeCell ref="F10:S10"/>
    <mergeCell ref="F11:S11"/>
    <mergeCell ref="E12:R12"/>
    <mergeCell ref="E13:R13"/>
    <mergeCell ref="A1:P1"/>
    <mergeCell ref="A2:P2"/>
    <mergeCell ref="A3:P3"/>
    <mergeCell ref="A4:D4"/>
    <mergeCell ref="A5:P5"/>
  </mergeCells>
  <conditionalFormatting sqref="F10">
    <cfRule type="notContainsBlanks" dxfId="20" priority="4">
      <formula>LEN(TRIM(F10))&gt;0</formula>
    </cfRule>
  </conditionalFormatting>
  <conditionalFormatting sqref="F11:S11">
    <cfRule type="expression" dxfId="19" priority="2">
      <formula>E11="NO SE REPORTA"</formula>
    </cfRule>
    <cfRule type="expression" dxfId="18" priority="3">
      <formula>E10="NO APLICA"</formula>
    </cfRule>
  </conditionalFormatting>
  <conditionalFormatting sqref="E12:R12">
    <cfRule type="expression" dxfId="17" priority="1">
      <formula>E11="SI SE REPORTA"</formula>
    </cfRule>
  </conditionalFormatting>
  <dataValidations count="4">
    <dataValidation type="whole" operator="greaterThanOrEqual" allowBlank="1" showErrorMessage="1" errorTitle="ERROR" error="Escriba un número igual o mayor que 0" promptTitle="ERROR" prompt="Escriba un número igual o mayor que 0" sqref="E19:G20 E25:F26">
      <formula1>0</formula1>
    </dataValidation>
    <dataValidation allowBlank="1" showInputMessage="1" showErrorMessage="1" promptTitle="OJO" prompt="NO TOCAR" sqref="E21:G21 E27:F27"/>
    <dataValidation type="list" allowBlank="1" showInputMessage="1" showErrorMessage="1" sqref="E11">
      <formula1>REPORTE</formula1>
    </dataValidation>
    <dataValidation type="list" allowBlank="1" showInputMessage="1" showErrorMessage="1" sqref="E10">
      <formula1>SI</formula1>
    </dataValidation>
  </dataValidations>
  <hyperlinks>
    <hyperlink ref="D75" r:id="rId1" display="http://www.sisaire.gov.co/"/>
    <hyperlink ref="D76" r:id="rId2" display="http://www.sirh.ideam.gov.co/"/>
    <hyperlink ref="B9" location="'ANEXO 3'!A1" display="VOLVER AL INDICE"/>
  </hyperlinks>
  <pageMargins left="0.25" right="0.25" top="0.75" bottom="0.75" header="0.3" footer="0.3"/>
  <pageSetup paperSize="178" orientation="landscape" horizontalDpi="1200" verticalDpi="1200" r:id="rId3"/>
  <drawing r:id="rId4"/>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4"/>
  <sheetViews>
    <sheetView showGridLines="0" zoomScale="120" zoomScaleNormal="120" workbookViewId="0">
      <selection activeCell="H17" sqref="H17"/>
    </sheetView>
  </sheetViews>
  <sheetFormatPr baseColWidth="10" defaultRowHeight="15"/>
  <cols>
    <col min="1" max="1" width="1.85546875" customWidth="1"/>
    <col min="2" max="2" width="11.140625" customWidth="1"/>
    <col min="3" max="3" width="5" style="88" bestFit="1" customWidth="1"/>
    <col min="4" max="4" width="34.85546875" customWidth="1"/>
    <col min="5" max="5" width="12.140625" customWidth="1"/>
    <col min="6" max="6" width="11.85546875" customWidth="1"/>
    <col min="8" max="8" width="12.42578125" customWidth="1"/>
    <col min="9" max="9" width="12.7109375" customWidth="1"/>
    <col min="11" max="11" width="13.140625" customWidth="1"/>
  </cols>
  <sheetData>
    <row r="1" spans="1:21" s="551" customFormat="1" ht="100.5" customHeight="1" thickBot="1">
      <c r="A1" s="1344"/>
      <c r="B1" s="1345"/>
      <c r="C1" s="1345"/>
      <c r="D1" s="1345"/>
      <c r="E1" s="1345"/>
      <c r="F1" s="1345"/>
      <c r="G1" s="1345"/>
      <c r="H1" s="1345"/>
      <c r="I1" s="1345"/>
      <c r="J1" s="1345"/>
      <c r="K1" s="1345"/>
      <c r="L1" s="1345"/>
      <c r="M1" s="1345"/>
      <c r="N1" s="1345"/>
      <c r="O1" s="1345"/>
      <c r="P1" s="1346"/>
      <c r="Q1" s="413"/>
      <c r="R1" s="413"/>
    </row>
    <row r="2" spans="1:21" s="552" customFormat="1" ht="16.5" thickBot="1">
      <c r="A2" s="1352" t="str">
        <f>'Datos Generales'!C5</f>
        <v>Corporación Autónoma Regional de La Guajira – CORPOGUAJIRA</v>
      </c>
      <c r="B2" s="1353"/>
      <c r="C2" s="1353"/>
      <c r="D2" s="1353"/>
      <c r="E2" s="1353"/>
      <c r="F2" s="1353"/>
      <c r="G2" s="1353"/>
      <c r="H2" s="1353"/>
      <c r="I2" s="1353"/>
      <c r="J2" s="1353"/>
      <c r="K2" s="1353"/>
      <c r="L2" s="1353"/>
      <c r="M2" s="1353"/>
      <c r="N2" s="1353"/>
      <c r="O2" s="1353"/>
      <c r="P2" s="1354"/>
      <c r="Q2" s="413"/>
      <c r="R2" s="413"/>
    </row>
    <row r="3" spans="1:21" s="552" customFormat="1" ht="16.5" thickBot="1">
      <c r="A3" s="1347" t="s">
        <v>1419</v>
      </c>
      <c r="B3" s="1348"/>
      <c r="C3" s="1348"/>
      <c r="D3" s="1348"/>
      <c r="E3" s="1348"/>
      <c r="F3" s="1348"/>
      <c r="G3" s="1348"/>
      <c r="H3" s="1348"/>
      <c r="I3" s="1348"/>
      <c r="J3" s="1348"/>
      <c r="K3" s="1348"/>
      <c r="L3" s="1348"/>
      <c r="M3" s="1348"/>
      <c r="N3" s="1348"/>
      <c r="O3" s="1348"/>
      <c r="P3" s="1349"/>
      <c r="Q3" s="413"/>
      <c r="R3" s="413"/>
    </row>
    <row r="4" spans="1:21" s="552" customFormat="1" ht="16.5" thickBot="1">
      <c r="A4" s="1350" t="s">
        <v>1418</v>
      </c>
      <c r="B4" s="1351"/>
      <c r="C4" s="1351"/>
      <c r="D4" s="1351"/>
      <c r="E4" s="571" t="str">
        <f>'Datos Generales'!C6</f>
        <v>2016-II</v>
      </c>
      <c r="F4" s="571"/>
      <c r="G4" s="571"/>
      <c r="H4" s="571"/>
      <c r="I4" s="571"/>
      <c r="J4" s="571"/>
      <c r="K4" s="571"/>
      <c r="L4" s="572"/>
      <c r="M4" s="572"/>
      <c r="N4" s="572"/>
      <c r="O4" s="572"/>
      <c r="P4" s="573"/>
      <c r="Q4" s="413"/>
      <c r="R4" s="413"/>
    </row>
    <row r="5" spans="1:21" s="245" customFormat="1" ht="16.5" customHeight="1" thickBot="1">
      <c r="A5" s="1347" t="s">
        <v>1133</v>
      </c>
      <c r="B5" s="1348"/>
      <c r="C5" s="1348"/>
      <c r="D5" s="1348"/>
      <c r="E5" s="1348"/>
      <c r="F5" s="1348"/>
      <c r="G5" s="1348"/>
      <c r="H5" s="1348"/>
      <c r="I5" s="1348"/>
      <c r="J5" s="1348"/>
      <c r="K5" s="1348"/>
      <c r="L5" s="1348"/>
      <c r="M5" s="1348"/>
      <c r="N5" s="1348"/>
      <c r="O5" s="1348"/>
      <c r="P5" s="1349"/>
    </row>
    <row r="6" spans="1:21">
      <c r="A6" s="245"/>
      <c r="B6" s="249" t="s">
        <v>1</v>
      </c>
      <c r="C6" s="250"/>
      <c r="D6" s="248"/>
      <c r="E6" s="259"/>
      <c r="F6" s="248" t="s">
        <v>133</v>
      </c>
      <c r="G6" s="248"/>
      <c r="H6" s="248"/>
      <c r="I6" s="248"/>
      <c r="J6" s="248"/>
      <c r="K6" s="248"/>
      <c r="L6" s="245"/>
      <c r="M6" s="245"/>
      <c r="N6" s="245"/>
      <c r="O6" s="245"/>
      <c r="P6" s="245"/>
      <c r="Q6" s="245"/>
      <c r="R6" s="245"/>
      <c r="S6" s="245"/>
    </row>
    <row r="7" spans="1:21" ht="15.75" thickBot="1">
      <c r="A7" s="245"/>
      <c r="B7" s="251"/>
      <c r="C7" s="252"/>
      <c r="D7" s="248"/>
      <c r="E7" s="253"/>
      <c r="F7" s="248" t="s">
        <v>134</v>
      </c>
      <c r="G7" s="248"/>
      <c r="H7" s="248"/>
      <c r="I7" s="248"/>
      <c r="J7" s="248"/>
      <c r="K7" s="248"/>
      <c r="L7" s="245"/>
      <c r="M7" s="245"/>
      <c r="N7" s="245"/>
      <c r="O7" s="245"/>
      <c r="P7" s="245"/>
      <c r="Q7" s="245"/>
      <c r="R7" s="245"/>
      <c r="S7" s="245"/>
    </row>
    <row r="8" spans="1:21" ht="15.75" thickBot="1">
      <c r="A8" s="245"/>
      <c r="B8" s="255" t="s">
        <v>1204</v>
      </c>
      <c r="C8" s="262">
        <v>2017</v>
      </c>
      <c r="D8" s="257">
        <f>IF(E10="NO APLICA","NO APLICA",IF(E11="NO SE REPORTA","SIN INFORMACION",+E42))</f>
        <v>0.21000000000000002</v>
      </c>
      <c r="E8" s="264"/>
      <c r="F8" s="248" t="s">
        <v>135</v>
      </c>
      <c r="G8" s="248"/>
      <c r="H8" s="248"/>
      <c r="I8" s="248"/>
      <c r="J8" s="248"/>
      <c r="K8" s="248"/>
      <c r="L8" s="245"/>
      <c r="M8" s="245"/>
      <c r="N8" s="245"/>
      <c r="O8" s="245"/>
      <c r="P8" s="245"/>
      <c r="Q8" s="245"/>
      <c r="R8" s="245"/>
      <c r="S8" s="245"/>
    </row>
    <row r="9" spans="1:21">
      <c r="A9" s="245"/>
      <c r="B9" s="532" t="s">
        <v>1205</v>
      </c>
      <c r="C9" s="304"/>
      <c r="D9" s="248"/>
      <c r="E9" s="248"/>
      <c r="F9" s="248"/>
      <c r="G9" s="248"/>
      <c r="H9" s="248"/>
      <c r="I9" s="248"/>
      <c r="J9" s="248"/>
      <c r="K9" s="248"/>
      <c r="L9" s="245"/>
      <c r="M9" s="245"/>
      <c r="N9" s="245"/>
      <c r="O9" s="245"/>
      <c r="P9" s="245"/>
      <c r="Q9" s="245"/>
      <c r="R9" s="245"/>
      <c r="S9" s="245"/>
    </row>
    <row r="10" spans="1:21" s="413" customFormat="1">
      <c r="A10" s="245"/>
      <c r="B10" s="1412" t="s">
        <v>1265</v>
      </c>
      <c r="C10" s="1412"/>
      <c r="D10" s="1412"/>
      <c r="E10" s="513" t="s">
        <v>1262</v>
      </c>
      <c r="F10" s="1419"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420"/>
      <c r="H10" s="1420"/>
      <c r="I10" s="1420"/>
      <c r="J10" s="1420"/>
      <c r="K10" s="1420"/>
      <c r="L10" s="1420"/>
      <c r="M10" s="1420"/>
      <c r="N10" s="1420"/>
      <c r="O10" s="1420"/>
      <c r="P10" s="1420"/>
      <c r="Q10" s="1420"/>
      <c r="R10" s="1420"/>
      <c r="S10" s="1420"/>
      <c r="T10" s="509"/>
      <c r="U10" s="509"/>
    </row>
    <row r="11" spans="1:21" s="413" customFormat="1" ht="14.45" customHeight="1">
      <c r="A11" s="245"/>
      <c r="B11" s="533"/>
      <c r="C11" s="511"/>
      <c r="D11" s="512" t="str">
        <f>IF(E10="SI APLICA","¿El indicador no se reporta por limitaciones de información disponible? ","")</f>
        <v xml:space="preserve">¿El indicador no se reporta por limitaciones de información disponible? </v>
      </c>
      <c r="E11" s="514" t="s">
        <v>1264</v>
      </c>
      <c r="F11" s="1413"/>
      <c r="G11" s="1414"/>
      <c r="H11" s="1414"/>
      <c r="I11" s="1414"/>
      <c r="J11" s="1414"/>
      <c r="K11" s="1414"/>
      <c r="L11" s="1414"/>
      <c r="M11" s="1414"/>
      <c r="N11" s="1414"/>
      <c r="O11" s="1414"/>
      <c r="P11" s="1414"/>
      <c r="Q11" s="1414"/>
      <c r="R11" s="1414"/>
      <c r="S11" s="1414"/>
    </row>
    <row r="12" spans="1:21" s="413" customFormat="1" ht="18.75" customHeight="1">
      <c r="A12" s="245"/>
      <c r="B12" s="532"/>
      <c r="C12" s="304"/>
      <c r="D12" s="512" t="str">
        <f>IF(E11="SI SE REPORTA","¿Qué programas o proyectos del Plan de Acción están asociados al indicador? ","")</f>
        <v xml:space="preserve">¿Qué programas o proyectos del Plan de Acción están asociados al indicador? </v>
      </c>
      <c r="E12" s="1415" t="str">
        <f>'Anexo 1 Matriz Inf Gestión'!E74:H74</f>
        <v>Programa No. 5. Educacion Ambiental</v>
      </c>
      <c r="F12" s="1415"/>
      <c r="G12" s="1415"/>
      <c r="H12" s="1415"/>
      <c r="I12" s="1415"/>
      <c r="J12" s="1415"/>
      <c r="K12" s="1415"/>
      <c r="L12" s="1415"/>
      <c r="M12" s="1415"/>
      <c r="N12" s="1415"/>
      <c r="O12" s="1415"/>
      <c r="P12" s="1415"/>
      <c r="Q12" s="1415"/>
      <c r="R12" s="1415"/>
      <c r="S12" s="245"/>
    </row>
    <row r="13" spans="1:21" s="413" customFormat="1" ht="21.95" customHeight="1">
      <c r="A13" s="245"/>
      <c r="B13" s="532"/>
      <c r="C13" s="304"/>
      <c r="D13" s="512" t="s">
        <v>1267</v>
      </c>
      <c r="E13" s="1416"/>
      <c r="F13" s="1417"/>
      <c r="G13" s="1417"/>
      <c r="H13" s="1417"/>
      <c r="I13" s="1417"/>
      <c r="J13" s="1417"/>
      <c r="K13" s="1417"/>
      <c r="L13" s="1417"/>
      <c r="M13" s="1417"/>
      <c r="N13" s="1417"/>
      <c r="O13" s="1417"/>
      <c r="P13" s="1417"/>
      <c r="Q13" s="1417"/>
      <c r="R13" s="1418"/>
      <c r="S13" s="245"/>
    </row>
    <row r="14" spans="1:21" s="413" customFormat="1" ht="6.95" customHeight="1" thickBot="1">
      <c r="A14" s="245"/>
      <c r="B14" s="532"/>
      <c r="C14" s="304"/>
      <c r="D14" s="248"/>
      <c r="E14" s="248"/>
      <c r="F14" s="248"/>
      <c r="G14" s="248"/>
      <c r="H14" s="248"/>
      <c r="I14" s="248"/>
      <c r="J14" s="248"/>
      <c r="K14" s="248"/>
      <c r="L14" s="245"/>
      <c r="M14" s="245"/>
      <c r="N14" s="245"/>
      <c r="O14" s="245"/>
      <c r="P14" s="245"/>
      <c r="Q14" s="245"/>
      <c r="R14" s="245"/>
      <c r="S14" s="245"/>
    </row>
    <row r="15" spans="1:21" ht="15.75" thickBot="1">
      <c r="A15" s="245"/>
      <c r="B15" s="1391" t="s">
        <v>2</v>
      </c>
      <c r="C15" s="268"/>
      <c r="D15" s="1373" t="s">
        <v>344</v>
      </c>
      <c r="E15" s="1374"/>
      <c r="F15" s="1374"/>
      <c r="G15" s="1374"/>
      <c r="H15" s="1374"/>
      <c r="I15" s="1374"/>
      <c r="J15" s="1374"/>
      <c r="K15" s="1375"/>
      <c r="L15" s="199"/>
      <c r="M15" s="199"/>
      <c r="N15" s="199"/>
      <c r="O15" s="199"/>
      <c r="P15" s="199"/>
      <c r="Q15" s="199"/>
      <c r="R15" s="199"/>
      <c r="S15" s="245"/>
    </row>
    <row r="16" spans="1:21" ht="15.75" thickBot="1">
      <c r="A16" s="245"/>
      <c r="B16" s="1392"/>
      <c r="C16" s="317" t="s">
        <v>24</v>
      </c>
      <c r="D16" s="280" t="s">
        <v>261</v>
      </c>
      <c r="E16" s="280" t="s">
        <v>25</v>
      </c>
      <c r="F16" s="280" t="s">
        <v>26</v>
      </c>
      <c r="G16" s="280" t="s">
        <v>27</v>
      </c>
      <c r="H16" s="280" t="s">
        <v>28</v>
      </c>
      <c r="I16" s="280" t="s">
        <v>262</v>
      </c>
      <c r="J16" s="245"/>
      <c r="K16" s="274"/>
      <c r="L16" s="199"/>
      <c r="M16" s="199"/>
      <c r="N16" s="199"/>
      <c r="O16" s="199"/>
      <c r="P16" s="199"/>
      <c r="Q16" s="199"/>
      <c r="R16" s="199"/>
      <c r="S16" s="245"/>
    </row>
    <row r="17" spans="1:19" ht="24.75" thickBot="1">
      <c r="A17" s="245"/>
      <c r="B17" s="1392"/>
      <c r="C17" s="534" t="s">
        <v>158</v>
      </c>
      <c r="D17" s="520" t="s">
        <v>1161</v>
      </c>
      <c r="E17" s="1033">
        <v>2</v>
      </c>
      <c r="F17" s="1033">
        <v>4</v>
      </c>
      <c r="G17" s="1033">
        <v>5</v>
      </c>
      <c r="H17" s="1033">
        <v>2</v>
      </c>
      <c r="I17" s="283">
        <f t="shared" ref="I17:I19" si="0">SUM(E17:H17)</f>
        <v>13</v>
      </c>
      <c r="J17" s="245"/>
      <c r="K17" s="274"/>
      <c r="L17" s="199"/>
      <c r="M17" s="199"/>
      <c r="N17" s="199"/>
      <c r="O17" s="199"/>
      <c r="P17" s="199"/>
      <c r="Q17" s="199"/>
      <c r="R17" s="199"/>
      <c r="S17" s="245"/>
    </row>
    <row r="18" spans="1:19" ht="15.75" thickBot="1">
      <c r="A18" s="245"/>
      <c r="B18" s="1392"/>
      <c r="C18" s="534" t="s">
        <v>160</v>
      </c>
      <c r="D18" s="520" t="s">
        <v>785</v>
      </c>
      <c r="E18" s="197">
        <v>661240070</v>
      </c>
      <c r="F18" s="197">
        <f>G30</f>
        <v>650020948</v>
      </c>
      <c r="G18" s="197"/>
      <c r="H18" s="197"/>
      <c r="I18" s="381">
        <f t="shared" si="0"/>
        <v>1311261018</v>
      </c>
      <c r="J18" s="245"/>
      <c r="K18" s="274"/>
      <c r="L18" s="199"/>
      <c r="M18" s="199"/>
      <c r="N18" s="199"/>
      <c r="O18" s="199"/>
      <c r="P18" s="199"/>
      <c r="Q18" s="199"/>
      <c r="R18" s="199"/>
      <c r="S18" s="245"/>
    </row>
    <row r="19" spans="1:19" ht="15.75" thickBot="1">
      <c r="A19" s="245"/>
      <c r="B19" s="1392"/>
      <c r="C19" s="534" t="s">
        <v>162</v>
      </c>
      <c r="D19" s="520" t="s">
        <v>842</v>
      </c>
      <c r="E19" s="197">
        <v>678581070</v>
      </c>
      <c r="F19" s="197">
        <f>H30</f>
        <v>612020948</v>
      </c>
      <c r="G19" s="197"/>
      <c r="H19" s="197"/>
      <c r="I19" s="381">
        <f t="shared" si="0"/>
        <v>1290602018</v>
      </c>
      <c r="J19" s="245"/>
      <c r="K19" s="274"/>
      <c r="L19" s="199"/>
      <c r="M19" s="199"/>
      <c r="N19" s="199"/>
      <c r="O19" s="199"/>
      <c r="P19" s="199"/>
      <c r="Q19" s="199"/>
      <c r="R19" s="199"/>
      <c r="S19" s="245"/>
    </row>
    <row r="20" spans="1:19">
      <c r="A20" s="245"/>
      <c r="B20" s="1392"/>
      <c r="C20" s="276"/>
      <c r="D20" s="1379"/>
      <c r="E20" s="1424"/>
      <c r="F20" s="1424"/>
      <c r="G20" s="1424"/>
      <c r="H20" s="1424"/>
      <c r="I20" s="1424"/>
      <c r="J20" s="1424"/>
      <c r="K20" s="1381"/>
      <c r="L20" s="199"/>
      <c r="M20" s="199"/>
      <c r="N20" s="199"/>
      <c r="O20" s="199"/>
      <c r="P20" s="199"/>
      <c r="Q20" s="199"/>
      <c r="R20" s="199"/>
      <c r="S20" s="245"/>
    </row>
    <row r="21" spans="1:19" ht="15.75" thickBot="1">
      <c r="A21" s="245"/>
      <c r="B21" s="1392"/>
      <c r="C21" s="276"/>
      <c r="D21" s="1403" t="s">
        <v>1162</v>
      </c>
      <c r="E21" s="1404"/>
      <c r="F21" s="1404"/>
      <c r="G21" s="1404"/>
      <c r="H21" s="1404"/>
      <c r="I21" s="1404"/>
      <c r="J21" s="1404"/>
      <c r="K21" s="1405"/>
      <c r="L21" s="199"/>
      <c r="M21" s="199"/>
      <c r="N21" s="199"/>
      <c r="O21" s="199"/>
      <c r="P21" s="199"/>
      <c r="Q21" s="199"/>
      <c r="R21" s="199"/>
      <c r="S21" s="245"/>
    </row>
    <row r="22" spans="1:19" ht="15.75" thickBot="1">
      <c r="A22" s="245"/>
      <c r="B22" s="1392"/>
      <c r="C22" s="1470" t="s">
        <v>24</v>
      </c>
      <c r="D22" s="1391" t="s">
        <v>278</v>
      </c>
      <c r="E22" s="1400" t="s">
        <v>629</v>
      </c>
      <c r="F22" s="1402"/>
      <c r="G22" s="1400" t="s">
        <v>702</v>
      </c>
      <c r="H22" s="1401"/>
      <c r="I22" s="1401"/>
      <c r="J22" s="1402"/>
      <c r="K22" s="281"/>
      <c r="L22" s="199"/>
      <c r="M22" s="199"/>
      <c r="N22" s="199"/>
      <c r="O22" s="199"/>
      <c r="P22" s="199"/>
      <c r="Q22" s="199"/>
      <c r="R22" s="199"/>
      <c r="S22" s="245"/>
    </row>
    <row r="23" spans="1:19" ht="36.75" thickBot="1">
      <c r="A23" s="245"/>
      <c r="B23" s="1392"/>
      <c r="C23" s="1471"/>
      <c r="D23" s="1393"/>
      <c r="E23" s="1217" t="s">
        <v>630</v>
      </c>
      <c r="F23" s="1218" t="s">
        <v>631</v>
      </c>
      <c r="G23" s="1217" t="s">
        <v>785</v>
      </c>
      <c r="H23" s="1217" t="s">
        <v>352</v>
      </c>
      <c r="I23" s="1217" t="s">
        <v>282</v>
      </c>
      <c r="J23" s="1217" t="s">
        <v>283</v>
      </c>
      <c r="K23" s="1217" t="s">
        <v>60</v>
      </c>
      <c r="L23" s="199"/>
      <c r="M23" s="199"/>
      <c r="N23" s="199"/>
      <c r="O23" s="199"/>
      <c r="P23" s="199"/>
      <c r="Q23" s="199"/>
      <c r="R23" s="199"/>
      <c r="S23" s="245"/>
    </row>
    <row r="24" spans="1:19" ht="15.75" thickBot="1">
      <c r="A24" s="245"/>
      <c r="B24" s="1392"/>
      <c r="C24" s="534">
        <v>1</v>
      </c>
      <c r="D24" s="167" t="s">
        <v>1663</v>
      </c>
      <c r="E24" s="32">
        <v>1</v>
      </c>
      <c r="F24" s="32">
        <v>0.19</v>
      </c>
      <c r="G24" s="197">
        <v>411544536</v>
      </c>
      <c r="H24" s="197">
        <f>'Anexo 5-2 Gastos'!K42</f>
        <v>395544536</v>
      </c>
      <c r="I24" s="197">
        <f>'Anexo 5-2 Gastos'!L42</f>
        <v>165152148</v>
      </c>
      <c r="J24" s="197">
        <f>'Anexo 5-2 Gastos'!M42</f>
        <v>141288299</v>
      </c>
      <c r="K24" s="197"/>
      <c r="L24" s="199"/>
      <c r="M24" s="199"/>
      <c r="N24" s="199"/>
      <c r="O24" s="199"/>
      <c r="P24" s="199"/>
      <c r="Q24" s="199"/>
      <c r="R24" s="199"/>
      <c r="S24" s="245"/>
    </row>
    <row r="25" spans="1:19" ht="15.75" thickBot="1">
      <c r="A25" s="245"/>
      <c r="B25" s="1392"/>
      <c r="C25" s="534">
        <v>2</v>
      </c>
      <c r="D25" s="167" t="s">
        <v>1664</v>
      </c>
      <c r="E25" s="32">
        <v>1</v>
      </c>
      <c r="F25" s="32">
        <v>0.23</v>
      </c>
      <c r="G25" s="197">
        <v>238476412</v>
      </c>
      <c r="H25" s="197">
        <f>'Anexo 5-2 Gastos'!K43</f>
        <v>216476412</v>
      </c>
      <c r="I25" s="197">
        <f>'Anexo 5-2 Gastos'!L43</f>
        <v>50151229</v>
      </c>
      <c r="J25" s="197">
        <f>'Anexo 5-2 Gastos'!M43</f>
        <v>42928796</v>
      </c>
      <c r="K25" s="197"/>
      <c r="L25" s="199"/>
      <c r="M25" s="199"/>
      <c r="N25" s="199"/>
      <c r="O25" s="199"/>
      <c r="P25" s="199"/>
      <c r="Q25" s="199"/>
      <c r="R25" s="199"/>
      <c r="S25" s="245"/>
    </row>
    <row r="26" spans="1:19" ht="15.75" thickBot="1">
      <c r="A26" s="245"/>
      <c r="B26" s="1392"/>
      <c r="C26" s="534">
        <v>3</v>
      </c>
      <c r="D26" s="167"/>
      <c r="E26" s="32"/>
      <c r="F26" s="32"/>
      <c r="G26" s="197"/>
      <c r="H26" s="197"/>
      <c r="I26" s="197"/>
      <c r="J26" s="197"/>
      <c r="K26" s="197"/>
      <c r="L26" s="199"/>
      <c r="M26" s="199"/>
      <c r="N26" s="199"/>
      <c r="O26" s="199"/>
      <c r="P26" s="199"/>
      <c r="Q26" s="199"/>
      <c r="R26" s="199"/>
      <c r="S26" s="245"/>
    </row>
    <row r="27" spans="1:19" ht="15.75" thickBot="1">
      <c r="A27" s="245"/>
      <c r="B27" s="1392"/>
      <c r="C27" s="534">
        <v>4</v>
      </c>
      <c r="D27" s="167"/>
      <c r="E27" s="32"/>
      <c r="F27" s="32"/>
      <c r="G27" s="197"/>
      <c r="H27" s="197"/>
      <c r="I27" s="197"/>
      <c r="J27" s="197"/>
      <c r="K27" s="197"/>
      <c r="L27" s="199"/>
      <c r="M27" s="199"/>
      <c r="N27" s="199"/>
      <c r="O27" s="199"/>
      <c r="P27" s="199"/>
      <c r="Q27" s="199"/>
      <c r="R27" s="199"/>
      <c r="S27" s="245"/>
    </row>
    <row r="28" spans="1:19" ht="15.75" thickBot="1">
      <c r="A28" s="245"/>
      <c r="B28" s="1392"/>
      <c r="C28" s="534">
        <v>5</v>
      </c>
      <c r="D28" s="167"/>
      <c r="E28" s="32"/>
      <c r="F28" s="32"/>
      <c r="G28" s="197"/>
      <c r="H28" s="197"/>
      <c r="I28" s="197"/>
      <c r="J28" s="197"/>
      <c r="K28" s="197"/>
      <c r="L28" s="199"/>
      <c r="M28" s="199"/>
      <c r="N28" s="199"/>
      <c r="O28" s="199"/>
      <c r="P28" s="199"/>
      <c r="Q28" s="199"/>
      <c r="R28" s="199"/>
      <c r="S28" s="245"/>
    </row>
    <row r="29" spans="1:19" ht="15.75" thickBot="1">
      <c r="A29" s="245"/>
      <c r="B29" s="1392"/>
      <c r="C29" s="534">
        <v>6</v>
      </c>
      <c r="D29" s="167"/>
      <c r="E29" s="32"/>
      <c r="F29" s="32"/>
      <c r="G29" s="197"/>
      <c r="H29" s="197"/>
      <c r="I29" s="197"/>
      <c r="J29" s="197"/>
      <c r="K29" s="197"/>
      <c r="L29" s="199"/>
      <c r="M29" s="199"/>
      <c r="N29" s="199"/>
      <c r="O29" s="199"/>
      <c r="P29" s="199"/>
      <c r="Q29" s="199"/>
      <c r="R29" s="199"/>
      <c r="S29" s="245"/>
    </row>
    <row r="30" spans="1:19" ht="15.75" thickBot="1">
      <c r="A30" s="245"/>
      <c r="B30" s="1392"/>
      <c r="C30" s="250"/>
      <c r="D30" s="535" t="s">
        <v>157</v>
      </c>
      <c r="E30" s="249"/>
      <c r="F30" s="249"/>
      <c r="G30" s="536">
        <f>SUM(G24:G29)</f>
        <v>650020948</v>
      </c>
      <c r="H30" s="536">
        <f t="shared" ref="H30:J30" si="1">SUM(H24:H29)</f>
        <v>612020948</v>
      </c>
      <c r="I30" s="536">
        <f t="shared" si="1"/>
        <v>215303377</v>
      </c>
      <c r="J30" s="536">
        <f t="shared" si="1"/>
        <v>184217095</v>
      </c>
      <c r="K30" s="197"/>
      <c r="L30" s="199"/>
      <c r="M30" s="199"/>
      <c r="N30" s="199"/>
      <c r="O30" s="199"/>
      <c r="P30" s="199"/>
      <c r="Q30" s="199"/>
      <c r="R30" s="199"/>
      <c r="S30" s="245"/>
    </row>
    <row r="31" spans="1:19">
      <c r="A31" s="245"/>
      <c r="B31" s="1392"/>
      <c r="C31" s="276"/>
      <c r="D31" s="1379" t="s">
        <v>849</v>
      </c>
      <c r="E31" s="1424"/>
      <c r="F31" s="1424"/>
      <c r="G31" s="1424"/>
      <c r="H31" s="1424"/>
      <c r="I31" s="1424"/>
      <c r="J31" s="1424"/>
      <c r="K31" s="1381"/>
      <c r="L31" s="199"/>
      <c r="M31" s="199"/>
      <c r="N31" s="199"/>
      <c r="O31" s="199"/>
      <c r="P31" s="199"/>
      <c r="Q31" s="199"/>
      <c r="R31" s="199"/>
      <c r="S31" s="245"/>
    </row>
    <row r="32" spans="1:19" ht="15.75" thickBot="1">
      <c r="A32" s="245"/>
      <c r="B32" s="1392"/>
      <c r="C32" s="276"/>
      <c r="D32" s="1379" t="s">
        <v>1163</v>
      </c>
      <c r="E32" s="1424"/>
      <c r="F32" s="1424"/>
      <c r="G32" s="1424"/>
      <c r="H32" s="1424"/>
      <c r="I32" s="1424"/>
      <c r="J32" s="1424"/>
      <c r="K32" s="1381"/>
      <c r="L32" s="199"/>
      <c r="M32" s="199"/>
      <c r="N32" s="199"/>
      <c r="O32" s="199"/>
      <c r="P32" s="199"/>
      <c r="Q32" s="199"/>
      <c r="R32" s="199"/>
      <c r="S32" s="245"/>
    </row>
    <row r="33" spans="1:19" ht="15.75" thickBot="1">
      <c r="A33" s="245"/>
      <c r="B33" s="1392"/>
      <c r="C33" s="1470" t="s">
        <v>24</v>
      </c>
      <c r="D33" s="1649" t="s">
        <v>711</v>
      </c>
      <c r="E33" s="280" t="s">
        <v>851</v>
      </c>
      <c r="F33" s="1640" t="s">
        <v>712</v>
      </c>
      <c r="G33" s="1641"/>
      <c r="H33" s="519"/>
      <c r="I33" s="248"/>
      <c r="J33" s="245"/>
      <c r="K33" s="274"/>
      <c r="L33" s="199"/>
      <c r="M33" s="199"/>
      <c r="N33" s="199"/>
      <c r="O33" s="199"/>
      <c r="P33" s="199"/>
      <c r="Q33" s="199"/>
      <c r="R33" s="199"/>
      <c r="S33" s="245"/>
    </row>
    <row r="34" spans="1:19">
      <c r="A34" s="245"/>
      <c r="B34" s="1392"/>
      <c r="C34" s="1648"/>
      <c r="D34" s="1650"/>
      <c r="E34" s="1638" t="s">
        <v>1164</v>
      </c>
      <c r="F34" s="1638" t="s">
        <v>713</v>
      </c>
      <c r="G34" s="1219" t="s">
        <v>714</v>
      </c>
      <c r="H34" s="1638" t="s">
        <v>60</v>
      </c>
      <c r="I34" s="248"/>
      <c r="J34" s="245"/>
      <c r="K34" s="274"/>
      <c r="L34" s="199"/>
      <c r="M34" s="199"/>
      <c r="N34" s="199"/>
      <c r="O34" s="199"/>
      <c r="P34" s="199"/>
      <c r="Q34" s="199"/>
      <c r="R34" s="199"/>
      <c r="S34" s="245"/>
    </row>
    <row r="35" spans="1:19" ht="24.75" thickBot="1">
      <c r="A35" s="245"/>
      <c r="B35" s="1392"/>
      <c r="C35" s="1471"/>
      <c r="D35" s="1651"/>
      <c r="E35" s="1639"/>
      <c r="F35" s="1639"/>
      <c r="G35" s="1217" t="s">
        <v>704</v>
      </c>
      <c r="H35" s="1639"/>
      <c r="I35" s="248"/>
      <c r="J35" s="245"/>
      <c r="K35" s="274"/>
      <c r="L35" s="199"/>
      <c r="M35" s="199"/>
      <c r="N35" s="199"/>
      <c r="O35" s="199"/>
      <c r="P35" s="199"/>
      <c r="Q35" s="199"/>
      <c r="R35" s="199"/>
      <c r="S35" s="245"/>
    </row>
    <row r="36" spans="1:19" ht="15.75" thickBot="1">
      <c r="A36" s="245"/>
      <c r="B36" s="1392"/>
      <c r="C36" s="521">
        <v>1</v>
      </c>
      <c r="D36" s="164">
        <v>0.5</v>
      </c>
      <c r="E36" s="368">
        <f>+F24</f>
        <v>0.19</v>
      </c>
      <c r="F36" s="537">
        <f t="shared" ref="F36:F37" si="2">IFERROR(I24/H24,0)</f>
        <v>0.41753110704075053</v>
      </c>
      <c r="G36" s="537">
        <f>IFERROR(J24/I24,0)</f>
        <v>0.85550385333165635</v>
      </c>
      <c r="H36" s="31"/>
      <c r="I36" s="248"/>
      <c r="J36" s="538"/>
      <c r="K36" s="274"/>
      <c r="L36" s="199"/>
      <c r="M36" s="199"/>
      <c r="N36" s="199"/>
      <c r="O36" s="199"/>
      <c r="P36" s="199"/>
      <c r="Q36" s="199"/>
      <c r="R36" s="199"/>
      <c r="S36" s="245"/>
    </row>
    <row r="37" spans="1:19" ht="15.75" thickBot="1">
      <c r="A37" s="245"/>
      <c r="B37" s="1392"/>
      <c r="C37" s="521">
        <v>2</v>
      </c>
      <c r="D37" s="164">
        <v>0.5</v>
      </c>
      <c r="E37" s="368">
        <f t="shared" ref="E37:E41" si="3">+F25</f>
        <v>0.23</v>
      </c>
      <c r="F37" s="537">
        <f t="shared" si="2"/>
        <v>0.23167064040215152</v>
      </c>
      <c r="G37" s="537">
        <f t="shared" ref="G37:G42" si="4">IFERROR(J25/I25,0)</f>
        <v>0.85598691908427604</v>
      </c>
      <c r="H37" s="31"/>
      <c r="I37" s="248"/>
      <c r="J37" s="245"/>
      <c r="K37" s="274"/>
      <c r="L37" s="199"/>
      <c r="M37" s="199"/>
      <c r="N37" s="199"/>
      <c r="O37" s="199"/>
      <c r="P37" s="199"/>
      <c r="Q37" s="199"/>
      <c r="R37" s="199"/>
      <c r="S37" s="245"/>
    </row>
    <row r="38" spans="1:19" ht="15.75" thickBot="1">
      <c r="A38" s="245"/>
      <c r="B38" s="1392"/>
      <c r="C38" s="521">
        <v>3</v>
      </c>
      <c r="D38" s="164"/>
      <c r="E38" s="368">
        <v>0</v>
      </c>
      <c r="F38" s="537">
        <v>0</v>
      </c>
      <c r="G38" s="537">
        <f t="shared" si="4"/>
        <v>0</v>
      </c>
      <c r="H38" s="31"/>
      <c r="I38" s="248"/>
      <c r="J38" s="245"/>
      <c r="K38" s="274"/>
      <c r="L38" s="199"/>
      <c r="M38" s="199"/>
      <c r="N38" s="199"/>
      <c r="O38" s="199"/>
      <c r="P38" s="199"/>
      <c r="Q38" s="199"/>
      <c r="R38" s="199"/>
      <c r="S38" s="245"/>
    </row>
    <row r="39" spans="1:19" ht="15.75" thickBot="1">
      <c r="A39" s="245"/>
      <c r="B39" s="1392"/>
      <c r="C39" s="521">
        <v>4</v>
      </c>
      <c r="D39" s="164"/>
      <c r="E39" s="368">
        <f t="shared" si="3"/>
        <v>0</v>
      </c>
      <c r="F39" s="537">
        <f t="shared" ref="F39:F41" si="5">IFERROR(I27/H27,0)</f>
        <v>0</v>
      </c>
      <c r="G39" s="537">
        <f t="shared" si="4"/>
        <v>0</v>
      </c>
      <c r="H39" s="31"/>
      <c r="I39" s="248"/>
      <c r="J39" s="245"/>
      <c r="K39" s="274"/>
      <c r="L39" s="199"/>
      <c r="M39" s="199"/>
      <c r="N39" s="199"/>
      <c r="O39" s="199"/>
      <c r="P39" s="199"/>
      <c r="Q39" s="199"/>
      <c r="R39" s="199"/>
      <c r="S39" s="245"/>
    </row>
    <row r="40" spans="1:19" ht="15.75" thickBot="1">
      <c r="A40" s="245"/>
      <c r="B40" s="1392"/>
      <c r="C40" s="521">
        <v>5</v>
      </c>
      <c r="D40" s="164"/>
      <c r="E40" s="368">
        <f t="shared" si="3"/>
        <v>0</v>
      </c>
      <c r="F40" s="537">
        <f t="shared" si="5"/>
        <v>0</v>
      </c>
      <c r="G40" s="537">
        <f t="shared" si="4"/>
        <v>0</v>
      </c>
      <c r="H40" s="31"/>
      <c r="I40" s="248"/>
      <c r="J40" s="245"/>
      <c r="K40" s="274"/>
      <c r="L40" s="199"/>
      <c r="M40" s="199"/>
      <c r="N40" s="199"/>
      <c r="O40" s="199"/>
      <c r="P40" s="199"/>
      <c r="Q40" s="199"/>
      <c r="R40" s="199"/>
      <c r="S40" s="245"/>
    </row>
    <row r="41" spans="1:19" ht="15.75" thickBot="1">
      <c r="A41" s="245"/>
      <c r="B41" s="1392"/>
      <c r="C41" s="521">
        <v>6</v>
      </c>
      <c r="D41" s="164"/>
      <c r="E41" s="368">
        <f t="shared" si="3"/>
        <v>0</v>
      </c>
      <c r="F41" s="537">
        <f t="shared" si="5"/>
        <v>0</v>
      </c>
      <c r="G41" s="537">
        <f t="shared" si="4"/>
        <v>0</v>
      </c>
      <c r="H41" s="31"/>
      <c r="I41" s="248"/>
      <c r="J41" s="245"/>
      <c r="K41" s="274"/>
      <c r="L41" s="199"/>
      <c r="M41" s="199"/>
      <c r="N41" s="199"/>
      <c r="O41" s="199"/>
      <c r="P41" s="199"/>
      <c r="Q41" s="199"/>
      <c r="R41" s="199"/>
      <c r="S41" s="245"/>
    </row>
    <row r="42" spans="1:19" ht="15.75" thickBot="1">
      <c r="A42" s="245"/>
      <c r="B42" s="1393"/>
      <c r="C42" s="521"/>
      <c r="D42" s="165">
        <f>+Formulas!D31</f>
        <v>1</v>
      </c>
      <c r="E42" s="539">
        <f>+D36*E36+D37*E37+D38*E38+D39*E39+D40*E40+D41*E41</f>
        <v>0.21000000000000002</v>
      </c>
      <c r="F42" s="539">
        <f>+D36*F36+D37*F37+D38*F38+D39*F39+D40*F40+D41*F41</f>
        <v>0.32460087372145102</v>
      </c>
      <c r="G42" s="537">
        <f t="shared" si="4"/>
        <v>0.85561637521365952</v>
      </c>
      <c r="H42" s="31"/>
      <c r="I42" s="540"/>
      <c r="J42" s="245"/>
      <c r="K42" s="326"/>
      <c r="L42" s="199"/>
      <c r="M42" s="199" t="s">
        <v>1214</v>
      </c>
      <c r="N42" s="199"/>
      <c r="O42" s="199"/>
      <c r="P42" s="199"/>
      <c r="Q42" s="199"/>
      <c r="R42" s="199"/>
      <c r="S42" s="245"/>
    </row>
    <row r="43" spans="1:19" ht="24" customHeight="1" thickBot="1">
      <c r="B43" s="188" t="s">
        <v>39</v>
      </c>
      <c r="C43" s="87"/>
      <c r="D43" s="1642" t="s">
        <v>1165</v>
      </c>
      <c r="E43" s="1643"/>
      <c r="F43" s="1643"/>
      <c r="G43" s="1643"/>
      <c r="H43" s="1643"/>
      <c r="I43" s="1643"/>
      <c r="J43" s="1643"/>
      <c r="K43" s="1644"/>
      <c r="L43" s="199"/>
      <c r="M43" s="199"/>
      <c r="N43" s="199"/>
      <c r="O43" s="199"/>
      <c r="P43" s="199"/>
      <c r="Q43" s="199"/>
      <c r="R43" s="199"/>
    </row>
    <row r="44" spans="1:19" ht="36.75" thickBot="1">
      <c r="B44" s="188" t="s">
        <v>41</v>
      </c>
      <c r="C44" s="87"/>
      <c r="D44" s="1642" t="s">
        <v>354</v>
      </c>
      <c r="E44" s="1643"/>
      <c r="F44" s="1643"/>
      <c r="G44" s="1643"/>
      <c r="H44" s="1643"/>
      <c r="I44" s="1643"/>
      <c r="J44" s="1643"/>
      <c r="K44" s="1644"/>
      <c r="L44" s="199"/>
      <c r="M44" s="199"/>
      <c r="N44" s="199"/>
      <c r="O44" s="199"/>
      <c r="P44" s="199"/>
      <c r="Q44" s="199"/>
      <c r="R44" s="199"/>
    </row>
    <row r="45" spans="1:19" ht="15.75" thickBot="1">
      <c r="B45" s="8"/>
      <c r="C45" s="82"/>
      <c r="D45" s="19"/>
      <c r="E45" s="19"/>
      <c r="F45" s="19"/>
      <c r="G45" s="19"/>
      <c r="H45" s="19"/>
      <c r="I45" s="19"/>
      <c r="J45" s="19"/>
      <c r="K45" s="19"/>
      <c r="L45" s="199"/>
      <c r="M45" s="199"/>
      <c r="N45" s="199"/>
      <c r="O45" s="199"/>
      <c r="P45" s="199"/>
      <c r="Q45" s="199"/>
      <c r="R45" s="199"/>
    </row>
    <row r="46" spans="1:19" ht="24" customHeight="1" thickBot="1">
      <c r="B46" s="1645" t="s">
        <v>43</v>
      </c>
      <c r="C46" s="1646"/>
      <c r="D46" s="1646"/>
      <c r="E46" s="1647"/>
      <c r="F46" s="19"/>
      <c r="G46" s="19"/>
      <c r="H46" s="19"/>
      <c r="I46" s="19"/>
      <c r="J46" s="19"/>
      <c r="K46" s="19"/>
      <c r="L46" s="199"/>
      <c r="M46" s="199"/>
      <c r="N46" s="199"/>
      <c r="O46" s="199"/>
      <c r="P46" s="199"/>
      <c r="Q46" s="199"/>
      <c r="R46" s="199"/>
    </row>
    <row r="47" spans="1:19" ht="15.75" thickBot="1">
      <c r="B47" s="1635">
        <v>1</v>
      </c>
      <c r="C47" s="83"/>
      <c r="D47" s="34" t="s">
        <v>44</v>
      </c>
      <c r="E47" s="167"/>
      <c r="F47" s="19"/>
      <c r="G47" s="19"/>
      <c r="H47" s="19"/>
      <c r="I47" s="19"/>
      <c r="J47" s="19"/>
      <c r="K47" s="19"/>
      <c r="L47" s="199"/>
      <c r="M47" s="199"/>
      <c r="N47" s="199"/>
      <c r="O47" s="199"/>
      <c r="P47" s="199"/>
      <c r="Q47" s="199"/>
      <c r="R47" s="199"/>
    </row>
    <row r="48" spans="1:19" ht="15.75" thickBot="1">
      <c r="B48" s="1636"/>
      <c r="C48" s="83"/>
      <c r="D48" s="190" t="s">
        <v>45</v>
      </c>
      <c r="E48" s="167" t="s">
        <v>1675</v>
      </c>
      <c r="F48" s="19"/>
      <c r="G48" s="19"/>
      <c r="H48" s="19"/>
      <c r="I48" s="19"/>
      <c r="J48" s="19"/>
      <c r="K48" s="19"/>
      <c r="L48" s="199"/>
      <c r="M48" s="199"/>
      <c r="N48" s="199"/>
      <c r="O48" s="199"/>
      <c r="P48" s="199"/>
      <c r="Q48" s="199"/>
      <c r="R48" s="199"/>
    </row>
    <row r="49" spans="2:18" ht="15.75" thickBot="1">
      <c r="B49" s="1636"/>
      <c r="C49" s="83"/>
      <c r="D49" s="190" t="s">
        <v>46</v>
      </c>
      <c r="E49" s="167" t="s">
        <v>1676</v>
      </c>
      <c r="F49" s="19"/>
      <c r="G49" s="19"/>
      <c r="H49" s="19"/>
      <c r="I49" s="19"/>
      <c r="J49" s="19"/>
      <c r="K49" s="19"/>
      <c r="L49" s="199"/>
      <c r="M49" s="199"/>
      <c r="N49" s="199"/>
      <c r="O49" s="199"/>
      <c r="P49" s="199"/>
      <c r="Q49" s="199"/>
      <c r="R49" s="199"/>
    </row>
    <row r="50" spans="2:18" ht="15.75" thickBot="1">
      <c r="B50" s="1636"/>
      <c r="C50" s="83"/>
      <c r="D50" s="190" t="s">
        <v>47</v>
      </c>
      <c r="E50" s="167" t="s">
        <v>1677</v>
      </c>
      <c r="F50" s="19"/>
      <c r="G50" s="19"/>
      <c r="H50" s="19"/>
      <c r="I50" s="19"/>
      <c r="J50" s="19"/>
      <c r="K50" s="19"/>
      <c r="L50" s="199"/>
      <c r="M50" s="199"/>
      <c r="N50" s="199"/>
      <c r="O50" s="199"/>
      <c r="P50" s="199"/>
      <c r="Q50" s="199"/>
      <c r="R50" s="199"/>
    </row>
    <row r="51" spans="2:18" ht="15.75" thickBot="1">
      <c r="B51" s="1636"/>
      <c r="C51" s="83"/>
      <c r="D51" s="190" t="s">
        <v>48</v>
      </c>
      <c r="E51" s="167" t="s">
        <v>1678</v>
      </c>
      <c r="F51" s="19"/>
      <c r="G51" s="19"/>
      <c r="H51" s="19"/>
      <c r="I51" s="19"/>
      <c r="J51" s="19"/>
      <c r="K51" s="19"/>
      <c r="L51" s="199"/>
      <c r="M51" s="199"/>
      <c r="N51" s="199"/>
      <c r="O51" s="199"/>
      <c r="P51" s="199"/>
      <c r="Q51" s="199"/>
      <c r="R51" s="199"/>
    </row>
    <row r="52" spans="2:18" ht="15.75" thickBot="1">
      <c r="B52" s="1636"/>
      <c r="C52" s="83"/>
      <c r="D52" s="190" t="s">
        <v>49</v>
      </c>
      <c r="E52" s="167"/>
      <c r="F52" s="19"/>
      <c r="G52" s="19"/>
      <c r="H52" s="19"/>
      <c r="I52" s="19"/>
      <c r="J52" s="19"/>
      <c r="K52" s="19"/>
      <c r="L52" s="199"/>
      <c r="M52" s="199"/>
      <c r="N52" s="199"/>
      <c r="O52" s="199"/>
      <c r="P52" s="199"/>
      <c r="Q52" s="199"/>
      <c r="R52" s="199"/>
    </row>
    <row r="53" spans="2:18" ht="15.75" thickBot="1">
      <c r="B53" s="1637"/>
      <c r="C53" s="9"/>
      <c r="D53" s="190" t="s">
        <v>50</v>
      </c>
      <c r="E53" s="167" t="s">
        <v>1669</v>
      </c>
      <c r="F53" s="19"/>
      <c r="G53" s="19"/>
      <c r="H53" s="19"/>
      <c r="I53" s="19"/>
      <c r="J53" s="19"/>
      <c r="K53" s="19"/>
      <c r="L53" s="199"/>
      <c r="M53" s="199"/>
      <c r="N53" s="199"/>
      <c r="O53" s="199"/>
      <c r="P53" s="199"/>
      <c r="Q53" s="199"/>
      <c r="R53" s="199"/>
    </row>
    <row r="54" spans="2:18" ht="15.75" thickBot="1">
      <c r="B54" s="8"/>
      <c r="C54" s="82"/>
      <c r="D54" s="19"/>
      <c r="E54" s="19"/>
      <c r="F54" s="19"/>
      <c r="G54" s="19"/>
      <c r="H54" s="19"/>
      <c r="I54" s="19"/>
      <c r="J54" s="19"/>
      <c r="K54" s="19"/>
      <c r="L54" s="199"/>
      <c r="M54" s="199"/>
      <c r="N54" s="199"/>
      <c r="O54" s="199"/>
      <c r="P54" s="199"/>
      <c r="Q54" s="199"/>
      <c r="R54" s="199"/>
    </row>
    <row r="55" spans="2:18" ht="15.75" thickBot="1">
      <c r="B55" s="1645" t="s">
        <v>51</v>
      </c>
      <c r="C55" s="1646"/>
      <c r="D55" s="1646"/>
      <c r="E55" s="1647"/>
      <c r="F55" s="19"/>
      <c r="G55" s="19"/>
      <c r="H55" s="19"/>
      <c r="I55" s="19"/>
      <c r="J55" s="19"/>
      <c r="K55" s="19"/>
      <c r="L55" s="199"/>
      <c r="M55" s="199"/>
      <c r="N55" s="199"/>
      <c r="O55" s="199"/>
      <c r="P55" s="199"/>
      <c r="Q55" s="199"/>
      <c r="R55" s="199"/>
    </row>
    <row r="56" spans="2:18" ht="15.75" thickBot="1">
      <c r="B56" s="1635">
        <v>1</v>
      </c>
      <c r="C56" s="83"/>
      <c r="D56" s="34" t="s">
        <v>44</v>
      </c>
      <c r="E56" s="29" t="s">
        <v>52</v>
      </c>
      <c r="F56" s="19"/>
      <c r="G56" s="19"/>
      <c r="H56" s="19"/>
      <c r="I56" s="19"/>
      <c r="J56" s="19"/>
      <c r="K56" s="19"/>
      <c r="L56" s="199"/>
      <c r="M56" s="199"/>
      <c r="N56" s="199"/>
      <c r="O56" s="199"/>
      <c r="P56" s="199"/>
      <c r="Q56" s="199"/>
      <c r="R56" s="199"/>
    </row>
    <row r="57" spans="2:18" ht="15.75" thickBot="1">
      <c r="B57" s="1636"/>
      <c r="C57" s="83"/>
      <c r="D57" s="190" t="s">
        <v>45</v>
      </c>
      <c r="E57" s="29" t="s">
        <v>53</v>
      </c>
      <c r="F57" s="19"/>
      <c r="G57" s="19"/>
      <c r="H57" s="19"/>
      <c r="I57" s="19"/>
      <c r="J57" s="19"/>
      <c r="K57" s="19"/>
      <c r="L57" s="199"/>
      <c r="M57" s="199"/>
      <c r="N57" s="199"/>
      <c r="O57" s="199"/>
      <c r="P57" s="199"/>
      <c r="Q57" s="199"/>
      <c r="R57" s="199"/>
    </row>
    <row r="58" spans="2:18" ht="15.75" thickBot="1">
      <c r="B58" s="1636"/>
      <c r="C58" s="83"/>
      <c r="D58" s="190" t="s">
        <v>46</v>
      </c>
      <c r="E58" s="172"/>
      <c r="F58" s="19"/>
      <c r="G58" s="19"/>
      <c r="H58" s="19"/>
      <c r="I58" s="19"/>
      <c r="J58" s="19"/>
      <c r="K58" s="19"/>
      <c r="L58" s="199"/>
      <c r="M58" s="199"/>
      <c r="N58" s="199"/>
      <c r="O58" s="199"/>
      <c r="P58" s="199"/>
      <c r="Q58" s="199"/>
      <c r="R58" s="199"/>
    </row>
    <row r="59" spans="2:18" ht="15.75" thickBot="1">
      <c r="B59" s="1636"/>
      <c r="C59" s="83"/>
      <c r="D59" s="190" t="s">
        <v>47</v>
      </c>
      <c r="E59" s="172"/>
      <c r="F59" s="19"/>
      <c r="G59" s="19"/>
      <c r="H59" s="19"/>
      <c r="I59" s="19"/>
      <c r="J59" s="19"/>
      <c r="K59" s="19"/>
      <c r="L59" s="199"/>
      <c r="M59" s="199"/>
      <c r="N59" s="199"/>
      <c r="O59" s="199"/>
      <c r="P59" s="199"/>
      <c r="Q59" s="199"/>
      <c r="R59" s="199"/>
    </row>
    <row r="60" spans="2:18" ht="15.75" thickBot="1">
      <c r="B60" s="1636"/>
      <c r="C60" s="83"/>
      <c r="D60" s="190" t="s">
        <v>48</v>
      </c>
      <c r="E60" s="172"/>
      <c r="F60" s="19"/>
      <c r="G60" s="19"/>
      <c r="H60" s="19"/>
      <c r="I60" s="19"/>
      <c r="J60" s="19"/>
      <c r="K60" s="19"/>
      <c r="L60" s="199"/>
      <c r="M60" s="199"/>
      <c r="N60" s="199"/>
      <c r="O60" s="199"/>
      <c r="P60" s="199"/>
      <c r="Q60" s="199"/>
      <c r="R60" s="199"/>
    </row>
    <row r="61" spans="2:18" ht="15.75" thickBot="1">
      <c r="B61" s="1636"/>
      <c r="C61" s="83"/>
      <c r="D61" s="190" t="s">
        <v>49</v>
      </c>
      <c r="E61" s="172"/>
      <c r="F61" s="19"/>
      <c r="G61" s="19"/>
      <c r="H61" s="19"/>
      <c r="I61" s="19"/>
      <c r="J61" s="19"/>
      <c r="K61" s="19"/>
      <c r="L61" s="199"/>
      <c r="M61" s="199"/>
      <c r="N61" s="199"/>
      <c r="O61" s="199"/>
      <c r="P61" s="199"/>
      <c r="Q61" s="199"/>
      <c r="R61" s="199"/>
    </row>
    <row r="62" spans="2:18" ht="15.75" thickBot="1">
      <c r="B62" s="1637"/>
      <c r="C62" s="9"/>
      <c r="D62" s="190" t="s">
        <v>50</v>
      </c>
      <c r="E62" s="172"/>
      <c r="F62" s="19"/>
      <c r="G62" s="19"/>
      <c r="H62" s="19"/>
      <c r="I62" s="19"/>
      <c r="J62" s="19"/>
      <c r="K62" s="19"/>
      <c r="L62" s="199"/>
      <c r="M62" s="199"/>
      <c r="N62" s="199"/>
      <c r="O62" s="199"/>
      <c r="P62" s="199"/>
      <c r="Q62" s="199"/>
      <c r="R62" s="199"/>
    </row>
    <row r="63" spans="2:18" ht="15.75" thickBot="1">
      <c r="B63" s="8"/>
      <c r="C63" s="82"/>
      <c r="D63" s="19"/>
      <c r="E63" s="19"/>
      <c r="F63" s="19"/>
      <c r="G63" s="19"/>
      <c r="H63" s="19"/>
      <c r="I63" s="19"/>
      <c r="J63" s="19"/>
      <c r="K63" s="19"/>
      <c r="L63" s="199"/>
      <c r="M63" s="199"/>
      <c r="N63" s="199"/>
      <c r="O63" s="199"/>
      <c r="P63" s="199"/>
      <c r="Q63" s="199"/>
      <c r="R63" s="199"/>
    </row>
    <row r="64" spans="2:18" ht="15" customHeight="1" thickBot="1">
      <c r="B64" s="191" t="s">
        <v>54</v>
      </c>
      <c r="C64" s="192"/>
      <c r="D64" s="192"/>
      <c r="E64" s="193"/>
      <c r="F64" s="199"/>
      <c r="G64" s="19"/>
      <c r="H64" s="19"/>
      <c r="I64" s="19"/>
      <c r="J64" s="19"/>
      <c r="K64" s="19"/>
      <c r="L64" s="199"/>
      <c r="M64" s="199"/>
      <c r="N64" s="199"/>
      <c r="O64" s="199"/>
      <c r="P64" s="199"/>
      <c r="Q64" s="199"/>
      <c r="R64" s="199"/>
    </row>
    <row r="65" spans="2:18" ht="24.75" thickBot="1">
      <c r="B65" s="188" t="s">
        <v>55</v>
      </c>
      <c r="C65" s="190" t="s">
        <v>56</v>
      </c>
      <c r="D65" s="190" t="s">
        <v>57</v>
      </c>
      <c r="E65" s="190" t="s">
        <v>58</v>
      </c>
      <c r="F65" s="19"/>
      <c r="G65" s="19"/>
      <c r="H65" s="19"/>
      <c r="I65" s="19"/>
      <c r="J65" s="19"/>
      <c r="K65" s="199"/>
      <c r="L65" s="199"/>
      <c r="M65" s="199"/>
      <c r="N65" s="199"/>
      <c r="O65" s="199"/>
      <c r="P65" s="199"/>
      <c r="Q65" s="199"/>
      <c r="R65" s="199"/>
    </row>
    <row r="66" spans="2:18" ht="60.75" thickBot="1">
      <c r="B66" s="36">
        <v>42401</v>
      </c>
      <c r="C66" s="190">
        <v>0.01</v>
      </c>
      <c r="D66" s="184" t="s">
        <v>1166</v>
      </c>
      <c r="E66" s="190"/>
      <c r="F66" s="19"/>
      <c r="G66" s="19"/>
      <c r="H66" s="19"/>
      <c r="I66" s="19"/>
      <c r="J66" s="19"/>
      <c r="K66" s="199"/>
      <c r="L66" s="199"/>
      <c r="M66" s="199"/>
      <c r="N66" s="199"/>
      <c r="O66" s="199"/>
      <c r="P66" s="199"/>
      <c r="Q66" s="199"/>
      <c r="R66" s="199"/>
    </row>
    <row r="67" spans="2:18" ht="15.75" thickBot="1">
      <c r="B67" s="10"/>
      <c r="C67" s="84"/>
      <c r="D67" s="19"/>
      <c r="E67" s="19"/>
      <c r="F67" s="19"/>
      <c r="G67" s="19"/>
      <c r="H67" s="19"/>
      <c r="I67" s="19"/>
      <c r="J67" s="19"/>
      <c r="K67" s="19"/>
      <c r="L67" s="199"/>
      <c r="M67" s="199"/>
      <c r="N67" s="199"/>
      <c r="O67" s="199"/>
      <c r="P67" s="199"/>
      <c r="Q67" s="199"/>
      <c r="R67" s="199"/>
    </row>
    <row r="68" spans="2:18" ht="24.75" thickBot="1">
      <c r="B68" s="504" t="s">
        <v>60</v>
      </c>
      <c r="C68" s="85"/>
      <c r="D68" s="19"/>
      <c r="E68" s="19"/>
      <c r="F68" s="19"/>
      <c r="G68" s="19"/>
      <c r="H68" s="19"/>
      <c r="I68" s="19"/>
      <c r="J68" s="19"/>
      <c r="K68" s="19"/>
      <c r="L68" s="199"/>
      <c r="M68" s="199"/>
      <c r="N68" s="199"/>
      <c r="O68" s="199"/>
      <c r="P68" s="199"/>
      <c r="Q68" s="199"/>
      <c r="R68" s="199"/>
    </row>
    <row r="69" spans="2:18">
      <c r="B69" s="1601"/>
      <c r="C69" s="1602"/>
      <c r="D69" s="1602"/>
      <c r="E69" s="1602"/>
      <c r="F69" s="1602"/>
      <c r="G69" s="1603"/>
      <c r="H69" s="19"/>
      <c r="I69" s="19"/>
      <c r="J69" s="19"/>
      <c r="K69" s="19"/>
      <c r="L69" s="199"/>
      <c r="M69" s="199"/>
      <c r="N69" s="199"/>
      <c r="O69" s="199"/>
      <c r="P69" s="199"/>
      <c r="Q69" s="199"/>
      <c r="R69" s="199"/>
    </row>
    <row r="70" spans="2:18" ht="15.75" thickBot="1">
      <c r="B70" s="1604"/>
      <c r="C70" s="1605"/>
      <c r="D70" s="1605"/>
      <c r="E70" s="1605"/>
      <c r="F70" s="1605"/>
      <c r="G70" s="1606"/>
      <c r="H70" s="19"/>
      <c r="I70" s="19"/>
      <c r="J70" s="19"/>
      <c r="K70" s="19"/>
      <c r="L70" s="199"/>
      <c r="M70" s="199"/>
      <c r="N70" s="199"/>
      <c r="O70" s="199"/>
      <c r="P70" s="199"/>
      <c r="Q70" s="199"/>
      <c r="R70" s="199"/>
    </row>
    <row r="71" spans="2:18">
      <c r="B71" s="8"/>
      <c r="C71" s="82"/>
      <c r="D71" s="19"/>
      <c r="E71" s="19"/>
      <c r="F71" s="19"/>
      <c r="G71" s="19"/>
      <c r="H71" s="19"/>
      <c r="I71" s="19"/>
      <c r="J71" s="19"/>
      <c r="K71" s="19"/>
      <c r="L71" s="199"/>
      <c r="M71" s="199"/>
      <c r="N71" s="199"/>
      <c r="O71" s="199"/>
      <c r="P71" s="199"/>
      <c r="Q71" s="199"/>
      <c r="R71" s="199"/>
    </row>
    <row r="72" spans="2:18" ht="15.75" thickBot="1">
      <c r="B72" s="19"/>
      <c r="C72" s="81"/>
      <c r="D72" s="19"/>
      <c r="E72" s="19"/>
      <c r="F72" s="19"/>
      <c r="G72" s="19"/>
      <c r="H72" s="19"/>
      <c r="I72" s="19"/>
      <c r="J72" s="19"/>
      <c r="K72" s="19"/>
      <c r="L72" s="199"/>
      <c r="M72" s="199"/>
      <c r="N72" s="199"/>
      <c r="O72" s="199"/>
      <c r="P72" s="199"/>
      <c r="Q72" s="199"/>
      <c r="R72" s="199"/>
    </row>
    <row r="73" spans="2:18" ht="24.75" thickBot="1">
      <c r="B73" s="203" t="s">
        <v>61</v>
      </c>
      <c r="C73" s="86"/>
      <c r="D73" s="19"/>
      <c r="E73" s="19"/>
      <c r="F73" s="19"/>
      <c r="G73" s="19"/>
      <c r="H73" s="19"/>
      <c r="I73" s="19"/>
      <c r="J73" s="19"/>
      <c r="K73" s="19"/>
      <c r="L73" s="199"/>
      <c r="M73" s="199"/>
      <c r="N73" s="199"/>
      <c r="O73" s="199"/>
      <c r="P73" s="199"/>
      <c r="Q73" s="199"/>
      <c r="R73" s="199"/>
    </row>
    <row r="74" spans="2:18" ht="15.75" thickBot="1">
      <c r="B74" s="29"/>
      <c r="C74" s="79"/>
      <c r="D74" s="19"/>
      <c r="E74" s="19"/>
      <c r="F74" s="19"/>
      <c r="G74" s="19"/>
      <c r="H74" s="19"/>
      <c r="I74" s="19"/>
      <c r="J74" s="19"/>
      <c r="K74" s="19"/>
      <c r="L74" s="199"/>
      <c r="M74" s="199"/>
      <c r="N74" s="199"/>
      <c r="O74" s="199"/>
      <c r="P74" s="199"/>
      <c r="Q74" s="199"/>
      <c r="R74" s="199"/>
    </row>
    <row r="75" spans="2:18" ht="60.75" thickBot="1">
      <c r="B75" s="37" t="s">
        <v>62</v>
      </c>
      <c r="C75" s="21"/>
      <c r="D75" s="189" t="s">
        <v>1134</v>
      </c>
      <c r="E75" s="19"/>
      <c r="F75" s="19"/>
      <c r="G75" s="19"/>
      <c r="H75" s="19"/>
      <c r="I75" s="19"/>
      <c r="J75" s="19"/>
      <c r="K75" s="19"/>
      <c r="L75" s="199"/>
      <c r="M75" s="199"/>
      <c r="N75" s="199"/>
      <c r="O75" s="199"/>
      <c r="P75" s="199"/>
      <c r="Q75" s="199"/>
      <c r="R75" s="199"/>
    </row>
    <row r="76" spans="2:18">
      <c r="B76" s="1635" t="s">
        <v>64</v>
      </c>
      <c r="C76" s="83"/>
      <c r="D76" s="185" t="s">
        <v>65</v>
      </c>
      <c r="E76" s="19"/>
      <c r="F76" s="19"/>
      <c r="G76" s="19"/>
      <c r="H76" s="19"/>
      <c r="I76" s="19"/>
      <c r="J76" s="19"/>
      <c r="K76" s="19"/>
      <c r="L76" s="199"/>
      <c r="M76" s="199"/>
      <c r="N76" s="199"/>
      <c r="O76" s="199"/>
      <c r="P76" s="199"/>
      <c r="Q76" s="199"/>
      <c r="R76" s="199"/>
    </row>
    <row r="77" spans="2:18" ht="84">
      <c r="B77" s="1636"/>
      <c r="C77" s="83"/>
      <c r="D77" s="186" t="s">
        <v>1135</v>
      </c>
      <c r="E77" s="19"/>
      <c r="F77" s="19"/>
      <c r="G77" s="19"/>
      <c r="H77" s="19"/>
      <c r="I77" s="19"/>
      <c r="J77" s="19"/>
      <c r="K77" s="19"/>
      <c r="L77" s="199"/>
      <c r="M77" s="199"/>
      <c r="N77" s="199"/>
      <c r="O77" s="199"/>
      <c r="P77" s="199"/>
      <c r="Q77" s="199"/>
      <c r="R77" s="199"/>
    </row>
    <row r="78" spans="2:18">
      <c r="B78" s="1636"/>
      <c r="C78" s="83"/>
      <c r="D78" s="185" t="s">
        <v>68</v>
      </c>
      <c r="E78" s="19"/>
      <c r="F78" s="19"/>
      <c r="G78" s="19"/>
      <c r="H78" s="19"/>
      <c r="I78" s="19"/>
      <c r="J78" s="19"/>
      <c r="K78" s="19"/>
      <c r="L78" s="199"/>
      <c r="M78" s="199"/>
      <c r="N78" s="199"/>
      <c r="O78" s="199"/>
      <c r="P78" s="199"/>
      <c r="Q78" s="199"/>
      <c r="R78" s="199"/>
    </row>
    <row r="79" spans="2:18">
      <c r="B79" s="1636"/>
      <c r="C79" s="83"/>
      <c r="D79" s="186" t="s">
        <v>1136</v>
      </c>
      <c r="E79" s="19"/>
      <c r="F79" s="19"/>
      <c r="G79" s="19"/>
      <c r="H79" s="19"/>
      <c r="I79" s="19"/>
      <c r="J79" s="19"/>
      <c r="K79" s="19"/>
      <c r="L79" s="199"/>
      <c r="M79" s="199"/>
      <c r="N79" s="199"/>
      <c r="O79" s="199"/>
      <c r="P79" s="199"/>
      <c r="Q79" s="199"/>
      <c r="R79" s="199"/>
    </row>
    <row r="80" spans="2:18">
      <c r="B80" s="1636"/>
      <c r="C80" s="83"/>
      <c r="D80" s="186" t="s">
        <v>70</v>
      </c>
      <c r="E80" s="19"/>
      <c r="F80" s="19"/>
      <c r="G80" s="19"/>
      <c r="H80" s="19"/>
      <c r="I80" s="19"/>
      <c r="J80" s="19"/>
      <c r="K80" s="19"/>
      <c r="L80" s="199"/>
      <c r="M80" s="199"/>
      <c r="N80" s="199"/>
      <c r="O80" s="199"/>
      <c r="P80" s="199"/>
      <c r="Q80" s="199"/>
      <c r="R80" s="199"/>
    </row>
    <row r="81" spans="2:18">
      <c r="B81" s="1636"/>
      <c r="C81" s="83"/>
      <c r="D81" s="185" t="s">
        <v>296</v>
      </c>
      <c r="E81" s="19"/>
      <c r="F81" s="19"/>
      <c r="G81" s="19"/>
      <c r="H81" s="19"/>
      <c r="I81" s="19"/>
      <c r="J81" s="19"/>
      <c r="K81" s="19"/>
      <c r="L81" s="199"/>
      <c r="M81" s="199"/>
      <c r="N81" s="199"/>
      <c r="O81" s="199"/>
      <c r="P81" s="199"/>
      <c r="Q81" s="199"/>
      <c r="R81" s="199"/>
    </row>
    <row r="82" spans="2:18" ht="15.75" thickBot="1">
      <c r="B82" s="1637"/>
      <c r="C82" s="9"/>
      <c r="D82" s="190" t="s">
        <v>1137</v>
      </c>
      <c r="E82" s="19"/>
      <c r="F82" s="19"/>
      <c r="G82" s="19"/>
      <c r="H82" s="19"/>
      <c r="I82" s="19"/>
      <c r="J82" s="19"/>
      <c r="K82" s="19"/>
      <c r="L82" s="199"/>
      <c r="M82" s="199"/>
      <c r="N82" s="199"/>
      <c r="O82" s="199"/>
      <c r="P82" s="199"/>
      <c r="Q82" s="199"/>
      <c r="R82" s="199"/>
    </row>
    <row r="83" spans="2:18">
      <c r="B83" s="1635" t="s">
        <v>77</v>
      </c>
      <c r="C83" s="204"/>
      <c r="D83" s="1635"/>
      <c r="E83" s="19"/>
      <c r="F83" s="19"/>
      <c r="G83" s="19"/>
      <c r="H83" s="19"/>
      <c r="I83" s="19"/>
      <c r="J83" s="19"/>
      <c r="K83" s="19"/>
      <c r="L83" s="199"/>
      <c r="M83" s="199"/>
      <c r="N83" s="199"/>
      <c r="O83" s="199"/>
      <c r="P83" s="199"/>
      <c r="Q83" s="199"/>
      <c r="R83" s="199"/>
    </row>
    <row r="84" spans="2:18" ht="15.75" thickBot="1">
      <c r="B84" s="1637"/>
      <c r="C84" s="80"/>
      <c r="D84" s="1637"/>
      <c r="E84" s="19"/>
      <c r="F84" s="19"/>
      <c r="G84" s="19"/>
      <c r="H84" s="19"/>
      <c r="I84" s="19"/>
      <c r="J84" s="19"/>
      <c r="K84" s="19"/>
      <c r="L84" s="199"/>
      <c r="M84" s="199"/>
      <c r="N84" s="199"/>
      <c r="O84" s="199"/>
      <c r="P84" s="199"/>
      <c r="Q84" s="199"/>
      <c r="R84" s="199"/>
    </row>
    <row r="85" spans="2:18" ht="96">
      <c r="B85" s="1635" t="s">
        <v>78</v>
      </c>
      <c r="C85" s="83"/>
      <c r="D85" s="186" t="s">
        <v>1138</v>
      </c>
      <c r="E85" s="19"/>
      <c r="F85" s="19"/>
      <c r="G85" s="19"/>
      <c r="H85" s="19"/>
      <c r="I85" s="19"/>
      <c r="J85" s="19"/>
      <c r="K85" s="19"/>
      <c r="L85" s="199"/>
      <c r="M85" s="199"/>
      <c r="N85" s="199"/>
      <c r="O85" s="199"/>
      <c r="P85" s="199"/>
      <c r="Q85" s="199"/>
      <c r="R85" s="199"/>
    </row>
    <row r="86" spans="2:18" ht="204">
      <c r="B86" s="1636"/>
      <c r="C86" s="83"/>
      <c r="D86" s="186" t="s">
        <v>1139</v>
      </c>
      <c r="E86" s="19"/>
      <c r="F86" s="19"/>
      <c r="G86" s="19"/>
      <c r="H86" s="19"/>
      <c r="I86" s="19"/>
      <c r="J86" s="19"/>
      <c r="K86" s="19"/>
      <c r="L86" s="199"/>
      <c r="M86" s="199"/>
      <c r="N86" s="199"/>
      <c r="O86" s="199"/>
      <c r="P86" s="199"/>
      <c r="Q86" s="199"/>
      <c r="R86" s="199"/>
    </row>
    <row r="87" spans="2:18" ht="228">
      <c r="B87" s="1636"/>
      <c r="C87" s="83"/>
      <c r="D87" s="186" t="s">
        <v>1140</v>
      </c>
      <c r="E87" s="19"/>
      <c r="F87" s="19"/>
      <c r="G87" s="19"/>
      <c r="H87" s="19"/>
      <c r="I87" s="19"/>
      <c r="J87" s="19"/>
      <c r="K87" s="19"/>
    </row>
    <row r="88" spans="2:18" ht="96">
      <c r="B88" s="1636"/>
      <c r="C88" s="83"/>
      <c r="D88" s="186" t="s">
        <v>1141</v>
      </c>
      <c r="E88" s="19"/>
      <c r="F88" s="19"/>
      <c r="G88" s="19"/>
      <c r="H88" s="19"/>
      <c r="I88" s="19"/>
      <c r="J88" s="19"/>
      <c r="K88" s="19"/>
    </row>
    <row r="89" spans="2:18" ht="36">
      <c r="B89" s="1636"/>
      <c r="C89" s="83"/>
      <c r="D89" s="186" t="s">
        <v>1142</v>
      </c>
      <c r="E89" s="19"/>
      <c r="F89" s="19"/>
      <c r="G89" s="19"/>
      <c r="H89" s="19"/>
      <c r="I89" s="19"/>
      <c r="J89" s="19"/>
      <c r="K89" s="19"/>
    </row>
    <row r="90" spans="2:18" ht="36">
      <c r="B90" s="1636"/>
      <c r="C90" s="83"/>
      <c r="D90" s="186" t="s">
        <v>1143</v>
      </c>
      <c r="E90" s="19"/>
      <c r="F90" s="19"/>
      <c r="G90" s="19"/>
      <c r="H90" s="19"/>
      <c r="I90" s="19"/>
      <c r="J90" s="19"/>
      <c r="K90" s="19"/>
    </row>
    <row r="91" spans="2:18" ht="36">
      <c r="B91" s="1636"/>
      <c r="C91" s="83"/>
      <c r="D91" s="186" t="s">
        <v>1144</v>
      </c>
      <c r="E91" s="19"/>
      <c r="F91" s="19"/>
      <c r="G91" s="19"/>
      <c r="H91" s="19"/>
      <c r="I91" s="19"/>
      <c r="J91" s="19"/>
      <c r="K91" s="19"/>
    </row>
    <row r="92" spans="2:18" ht="24">
      <c r="B92" s="1636"/>
      <c r="C92" s="83"/>
      <c r="D92" s="186" t="s">
        <v>1145</v>
      </c>
      <c r="E92" s="19"/>
      <c r="F92" s="19"/>
      <c r="G92" s="19"/>
      <c r="H92" s="19"/>
      <c r="I92" s="19"/>
      <c r="J92" s="19"/>
      <c r="K92" s="19"/>
    </row>
    <row r="93" spans="2:18" ht="36">
      <c r="B93" s="1636"/>
      <c r="C93" s="83"/>
      <c r="D93" s="186" t="s">
        <v>1146</v>
      </c>
      <c r="E93" s="19"/>
      <c r="F93" s="19"/>
      <c r="G93" s="19"/>
      <c r="H93" s="19"/>
      <c r="I93" s="19"/>
      <c r="J93" s="19"/>
      <c r="K93" s="19"/>
    </row>
    <row r="94" spans="2:18" ht="36">
      <c r="B94" s="1636"/>
      <c r="C94" s="83"/>
      <c r="D94" s="186" t="s">
        <v>1147</v>
      </c>
      <c r="E94" s="19"/>
      <c r="F94" s="19"/>
      <c r="G94" s="19"/>
      <c r="H94" s="19"/>
      <c r="I94" s="19"/>
      <c r="J94" s="19"/>
      <c r="K94" s="19"/>
    </row>
    <row r="95" spans="2:18" ht="72.75" thickBot="1">
      <c r="B95" s="1637"/>
      <c r="C95" s="9"/>
      <c r="D95" s="190" t="s">
        <v>1148</v>
      </c>
      <c r="E95" s="19"/>
      <c r="F95" s="19"/>
      <c r="G95" s="19"/>
      <c r="H95" s="19"/>
      <c r="I95" s="19"/>
      <c r="J95" s="19"/>
      <c r="K95" s="19"/>
    </row>
    <row r="96" spans="2:18" ht="24">
      <c r="B96" s="1635" t="s">
        <v>95</v>
      </c>
      <c r="C96" s="83"/>
      <c r="D96" s="185" t="s">
        <v>1149</v>
      </c>
      <c r="E96" s="19"/>
      <c r="F96" s="19"/>
      <c r="G96" s="19"/>
      <c r="H96" s="19"/>
      <c r="I96" s="19"/>
      <c r="J96" s="19"/>
      <c r="K96" s="19"/>
    </row>
    <row r="97" spans="2:11">
      <c r="B97" s="1636"/>
      <c r="C97" s="83"/>
      <c r="D97" s="187"/>
      <c r="E97" s="19"/>
      <c r="F97" s="19"/>
      <c r="G97" s="19"/>
      <c r="H97" s="19"/>
      <c r="I97" s="19"/>
      <c r="J97" s="19"/>
      <c r="K97" s="19"/>
    </row>
    <row r="98" spans="2:11">
      <c r="B98" s="1636"/>
      <c r="C98" s="83"/>
      <c r="D98" s="186" t="s">
        <v>96</v>
      </c>
      <c r="E98" s="19"/>
      <c r="F98" s="19"/>
      <c r="G98" s="19"/>
      <c r="H98" s="19"/>
      <c r="I98" s="19"/>
      <c r="J98" s="19"/>
      <c r="K98" s="19"/>
    </row>
    <row r="99" spans="2:11" ht="25.5">
      <c r="B99" s="1636"/>
      <c r="C99" s="83"/>
      <c r="D99" s="186" t="s">
        <v>1150</v>
      </c>
      <c r="E99" s="19"/>
      <c r="F99" s="19"/>
      <c r="G99" s="19"/>
      <c r="H99" s="19"/>
      <c r="I99" s="19"/>
      <c r="J99" s="19"/>
      <c r="K99" s="19"/>
    </row>
    <row r="100" spans="2:11" ht="37.5">
      <c r="B100" s="1636"/>
      <c r="C100" s="83"/>
      <c r="D100" s="186" t="s">
        <v>1151</v>
      </c>
      <c r="E100" s="19"/>
      <c r="F100" s="19"/>
      <c r="G100" s="19"/>
      <c r="H100" s="19"/>
      <c r="I100" s="19"/>
      <c r="J100" s="19"/>
      <c r="K100" s="19"/>
    </row>
    <row r="101" spans="2:11" ht="37.5">
      <c r="B101" s="1636"/>
      <c r="C101" s="83"/>
      <c r="D101" s="186" t="s">
        <v>1152</v>
      </c>
      <c r="E101" s="19"/>
      <c r="F101" s="19"/>
      <c r="G101" s="19"/>
      <c r="H101" s="19"/>
      <c r="I101" s="19"/>
      <c r="J101" s="19"/>
      <c r="K101" s="19"/>
    </row>
    <row r="102" spans="2:11" ht="37.5">
      <c r="B102" s="1636"/>
      <c r="C102" s="83"/>
      <c r="D102" s="186" t="s">
        <v>1153</v>
      </c>
      <c r="E102" s="19"/>
      <c r="F102" s="19"/>
      <c r="G102" s="19"/>
      <c r="H102" s="19"/>
      <c r="I102" s="19"/>
      <c r="J102" s="19"/>
      <c r="K102" s="19"/>
    </row>
    <row r="103" spans="2:11">
      <c r="B103" s="1636"/>
      <c r="C103" s="83"/>
      <c r="D103" s="186" t="s">
        <v>1154</v>
      </c>
      <c r="E103" s="19"/>
      <c r="F103" s="19"/>
      <c r="G103" s="19"/>
      <c r="H103" s="19"/>
      <c r="I103" s="19"/>
      <c r="J103" s="19"/>
      <c r="K103" s="19"/>
    </row>
    <row r="104" spans="2:11">
      <c r="B104" s="1636"/>
      <c r="C104" s="83"/>
      <c r="D104" s="186" t="s">
        <v>1155</v>
      </c>
      <c r="E104" s="19"/>
      <c r="F104" s="19"/>
      <c r="G104" s="19"/>
      <c r="H104" s="19"/>
      <c r="I104" s="19"/>
      <c r="J104" s="19"/>
      <c r="K104" s="19"/>
    </row>
    <row r="105" spans="2:11">
      <c r="B105" s="1636"/>
      <c r="C105" s="83"/>
      <c r="D105" s="186" t="s">
        <v>1156</v>
      </c>
      <c r="E105" s="19"/>
      <c r="F105" s="19"/>
      <c r="G105" s="19"/>
      <c r="H105" s="19"/>
      <c r="I105" s="19"/>
      <c r="J105" s="19"/>
      <c r="K105" s="19"/>
    </row>
    <row r="106" spans="2:11">
      <c r="B106" s="1636"/>
      <c r="C106" s="83"/>
      <c r="D106" s="186" t="s">
        <v>836</v>
      </c>
      <c r="E106" s="19"/>
      <c r="F106" s="19"/>
      <c r="G106" s="19"/>
      <c r="H106" s="19"/>
      <c r="I106" s="19"/>
      <c r="J106" s="19"/>
      <c r="K106" s="19"/>
    </row>
    <row r="107" spans="2:11" ht="84">
      <c r="B107" s="1636"/>
      <c r="C107" s="83"/>
      <c r="D107" s="205" t="s">
        <v>243</v>
      </c>
      <c r="E107" s="19"/>
      <c r="F107" s="19"/>
      <c r="G107" s="19"/>
      <c r="H107" s="19"/>
      <c r="I107" s="19"/>
      <c r="J107" s="19"/>
      <c r="K107" s="19"/>
    </row>
    <row r="108" spans="2:11">
      <c r="B108" s="1636"/>
      <c r="C108" s="83"/>
      <c r="D108" s="186" t="s">
        <v>254</v>
      </c>
      <c r="E108" s="19"/>
      <c r="F108" s="19"/>
      <c r="G108" s="19"/>
      <c r="H108" s="19"/>
      <c r="I108" s="19"/>
      <c r="J108" s="19"/>
      <c r="K108" s="19"/>
    </row>
    <row r="109" spans="2:11" ht="24">
      <c r="B109" s="1636"/>
      <c r="C109" s="83"/>
      <c r="D109" s="185" t="s">
        <v>1157</v>
      </c>
      <c r="E109" s="19"/>
      <c r="F109" s="19"/>
      <c r="G109" s="19"/>
      <c r="H109" s="19"/>
      <c r="I109" s="19"/>
      <c r="J109" s="19"/>
      <c r="K109" s="19"/>
    </row>
    <row r="110" spans="2:11">
      <c r="B110" s="1636"/>
      <c r="C110" s="83"/>
      <c r="D110" s="187"/>
      <c r="E110" s="19"/>
      <c r="F110" s="19"/>
      <c r="G110" s="19"/>
      <c r="H110" s="19"/>
      <c r="I110" s="19"/>
      <c r="J110" s="19"/>
      <c r="K110" s="19"/>
    </row>
    <row r="111" spans="2:11">
      <c r="B111" s="1636"/>
      <c r="C111" s="83"/>
      <c r="D111" s="186" t="s">
        <v>96</v>
      </c>
      <c r="E111" s="19"/>
      <c r="F111" s="19"/>
      <c r="G111" s="19"/>
      <c r="H111" s="19"/>
      <c r="I111" s="19"/>
      <c r="J111" s="19"/>
      <c r="K111" s="19"/>
    </row>
    <row r="112" spans="2:11" ht="37.5">
      <c r="B112" s="1636"/>
      <c r="C112" s="83"/>
      <c r="D112" s="186" t="s">
        <v>1158</v>
      </c>
      <c r="E112" s="19"/>
      <c r="F112" s="19"/>
      <c r="G112" s="19"/>
      <c r="H112" s="19"/>
      <c r="I112" s="19"/>
      <c r="J112" s="19"/>
      <c r="K112" s="19"/>
    </row>
    <row r="113" spans="2:11" ht="37.5">
      <c r="B113" s="1636"/>
      <c r="C113" s="83"/>
      <c r="D113" s="186" t="s">
        <v>1159</v>
      </c>
      <c r="E113" s="19"/>
      <c r="F113" s="19"/>
      <c r="G113" s="19"/>
      <c r="H113" s="19"/>
      <c r="I113" s="19"/>
      <c r="J113" s="19"/>
      <c r="K113" s="19"/>
    </row>
    <row r="114" spans="2:11" ht="38.25" thickBot="1">
      <c r="B114" s="1637"/>
      <c r="C114" s="9"/>
      <c r="D114" s="190" t="s">
        <v>1160</v>
      </c>
      <c r="E114" s="19"/>
      <c r="F114" s="19"/>
      <c r="G114" s="19"/>
      <c r="H114" s="19"/>
      <c r="I114" s="19"/>
      <c r="J114" s="19"/>
      <c r="K114" s="19"/>
    </row>
    <row r="115" spans="2:11">
      <c r="B115" s="19"/>
      <c r="C115" s="81"/>
      <c r="D115" s="19"/>
      <c r="E115" s="19"/>
      <c r="F115" s="19"/>
      <c r="G115" s="19"/>
      <c r="H115" s="19"/>
      <c r="I115" s="19"/>
      <c r="J115" s="19"/>
      <c r="K115" s="19"/>
    </row>
    <row r="116" spans="2:11" s="199" customFormat="1">
      <c r="C116" s="81"/>
    </row>
    <row r="117" spans="2:11" s="199" customFormat="1">
      <c r="C117" s="81"/>
    </row>
    <row r="118" spans="2:11" s="199" customFormat="1">
      <c r="C118" s="81"/>
    </row>
    <row r="119" spans="2:11" s="199" customFormat="1">
      <c r="C119" s="81"/>
    </row>
    <row r="120" spans="2:11" s="199" customFormat="1">
      <c r="C120" s="81"/>
    </row>
    <row r="121" spans="2:11" s="199" customFormat="1">
      <c r="C121" s="81"/>
    </row>
    <row r="122" spans="2:11" s="199" customFormat="1">
      <c r="C122" s="81"/>
    </row>
    <row r="123" spans="2:11" s="199" customFormat="1">
      <c r="C123" s="81"/>
    </row>
    <row r="124" spans="2:11" s="199" customFormat="1">
      <c r="C124" s="81"/>
    </row>
  </sheetData>
  <sheetProtection sheet="1" objects="1" scenarios="1" formatCells="0" formatRows="0" insertColumns="0" insertRows="0" deleteColumns="0" deleteRows="0"/>
  <mergeCells count="38">
    <mergeCell ref="D21:K21"/>
    <mergeCell ref="D22:D23"/>
    <mergeCell ref="E22:F22"/>
    <mergeCell ref="G22:J22"/>
    <mergeCell ref="C22:C23"/>
    <mergeCell ref="B76:B82"/>
    <mergeCell ref="B83:B84"/>
    <mergeCell ref="D83:D84"/>
    <mergeCell ref="C33:C35"/>
    <mergeCell ref="D33:D35"/>
    <mergeCell ref="B56:B62"/>
    <mergeCell ref="B55:E55"/>
    <mergeCell ref="B85:B95"/>
    <mergeCell ref="B96:B114"/>
    <mergeCell ref="B69:G70"/>
    <mergeCell ref="H34:H35"/>
    <mergeCell ref="D31:K31"/>
    <mergeCell ref="F33:G33"/>
    <mergeCell ref="E34:E35"/>
    <mergeCell ref="F34:F35"/>
    <mergeCell ref="D32:K32"/>
    <mergeCell ref="D43:K43"/>
    <mergeCell ref="D44:K44"/>
    <mergeCell ref="B46:E46"/>
    <mergeCell ref="B47:B53"/>
    <mergeCell ref="B15:B42"/>
    <mergeCell ref="D15:K15"/>
    <mergeCell ref="D20:K20"/>
    <mergeCell ref="B10:D10"/>
    <mergeCell ref="F10:S10"/>
    <mergeCell ref="F11:S11"/>
    <mergeCell ref="E12:R12"/>
    <mergeCell ref="E13:R13"/>
    <mergeCell ref="A1:P1"/>
    <mergeCell ref="A2:P2"/>
    <mergeCell ref="A3:P3"/>
    <mergeCell ref="A4:D4"/>
    <mergeCell ref="A5:P5"/>
  </mergeCells>
  <conditionalFormatting sqref="D42">
    <cfRule type="containsText" dxfId="16" priority="5" operator="containsText" text="ERROR">
      <formula>NOT(ISERROR(SEARCH("ERROR",D42)))</formula>
    </cfRule>
  </conditionalFormatting>
  <conditionalFormatting sqref="F10">
    <cfRule type="notContainsBlanks" dxfId="15" priority="4">
      <formula>LEN(TRIM(F10))&gt;0</formula>
    </cfRule>
  </conditionalFormatting>
  <conditionalFormatting sqref="F11:S11">
    <cfRule type="expression" dxfId="14" priority="2">
      <formula>E11="NO SE REPORTA"</formula>
    </cfRule>
    <cfRule type="expression" dxfId="13" priority="3">
      <formula>E10="NO APLICA"</formula>
    </cfRule>
  </conditionalFormatting>
  <conditionalFormatting sqref="E12:R12">
    <cfRule type="expression" dxfId="12" priority="1">
      <formula>E11="SI SE REPORTA"</formula>
    </cfRule>
  </conditionalFormatting>
  <dataValidations count="6">
    <dataValidation type="whole" operator="greaterThanOrEqual" allowBlank="1" showErrorMessage="1" errorTitle="ERROR" error="Escriba un número igual o mayor que 0" promptTitle="ERROR" prompt="Escriba un número igual o mayor que 0" sqref="E17:H17">
      <formula1>0</formula1>
    </dataValidation>
    <dataValidation type="whole" operator="greaterThanOrEqual" allowBlank="1" showInputMessage="1" showErrorMessage="1" errorTitle="ERROR" error="Valor en PESOS (sin centavos)" sqref="E18:H19 G24:J29">
      <formula1>0</formula1>
    </dataValidation>
    <dataValidation type="decimal" allowBlank="1" showInputMessage="1" showErrorMessage="1" errorTitle="ERROR" error="Escriba un valor entre 0% y 100%" sqref="E24:F29 D36:D41">
      <formula1>0</formula1>
      <formula2>1</formula2>
    </dataValidation>
    <dataValidation allowBlank="1" showInputMessage="1" showErrorMessage="1" sqref="D42 E36:G42 G30:J30"/>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showGridLines="0" zoomScale="98" zoomScaleNormal="98" workbookViewId="0">
      <selection activeCell="C7" sqref="C7"/>
    </sheetView>
  </sheetViews>
  <sheetFormatPr baseColWidth="10" defaultRowHeight="15"/>
  <cols>
    <col min="1" max="1" width="8.140625" bestFit="1" customWidth="1"/>
    <col min="2" max="2" width="12.85546875" bestFit="1" customWidth="1"/>
    <col min="3" max="3" width="68.85546875" customWidth="1"/>
  </cols>
  <sheetData>
    <row r="1" spans="1:4">
      <c r="A1" s="543" t="s">
        <v>1205</v>
      </c>
    </row>
    <row r="3" spans="1:4">
      <c r="B3" s="183" t="s">
        <v>1203</v>
      </c>
    </row>
    <row r="5" spans="1:4">
      <c r="B5" s="181"/>
      <c r="C5" s="182"/>
      <c r="D5" s="180"/>
    </row>
    <row r="6" spans="1:4">
      <c r="A6" s="166" t="s">
        <v>1201</v>
      </c>
      <c r="B6" s="166" t="s">
        <v>1202</v>
      </c>
      <c r="C6" s="166" t="s">
        <v>1200</v>
      </c>
    </row>
    <row r="7" spans="1:4">
      <c r="A7" s="541"/>
      <c r="B7" s="541"/>
      <c r="C7" s="542"/>
    </row>
    <row r="8" spans="1:4">
      <c r="A8" s="541"/>
      <c r="B8" s="541"/>
      <c r="C8" s="542"/>
    </row>
    <row r="9" spans="1:4">
      <c r="A9" s="541"/>
      <c r="B9" s="541"/>
      <c r="C9" s="542"/>
    </row>
    <row r="10" spans="1:4">
      <c r="A10" s="541"/>
      <c r="B10" s="541"/>
      <c r="C10" s="542"/>
    </row>
    <row r="11" spans="1:4">
      <c r="A11" s="541"/>
      <c r="B11" s="541"/>
      <c r="C11" s="542"/>
    </row>
    <row r="12" spans="1:4">
      <c r="A12" s="541"/>
      <c r="B12" s="541"/>
      <c r="C12" s="542"/>
    </row>
    <row r="13" spans="1:4">
      <c r="A13" s="541"/>
      <c r="B13" s="541"/>
      <c r="C13" s="542"/>
    </row>
    <row r="14" spans="1:4">
      <c r="A14" s="541"/>
      <c r="B14" s="541"/>
      <c r="C14" s="542"/>
    </row>
    <row r="15" spans="1:4">
      <c r="A15" s="541"/>
      <c r="B15" s="541"/>
      <c r="C15" s="542"/>
    </row>
    <row r="16" spans="1:4">
      <c r="A16" s="541"/>
      <c r="B16" s="541"/>
      <c r="C16" s="542"/>
    </row>
    <row r="17" spans="1:3">
      <c r="A17" s="541"/>
      <c r="B17" s="541"/>
      <c r="C17" s="542"/>
    </row>
    <row r="18" spans="1:3">
      <c r="A18" s="541"/>
      <c r="B18" s="541"/>
      <c r="C18" s="542"/>
    </row>
    <row r="19" spans="1:3">
      <c r="A19" s="541"/>
      <c r="B19" s="541"/>
      <c r="C19" s="542"/>
    </row>
    <row r="20" spans="1:3">
      <c r="A20" s="541"/>
      <c r="B20" s="541"/>
      <c r="C20" s="542"/>
    </row>
    <row r="21" spans="1:3">
      <c r="A21" s="541"/>
      <c r="B21" s="541"/>
      <c r="C21" s="542"/>
    </row>
    <row r="22" spans="1:3">
      <c r="A22" s="541"/>
      <c r="B22" s="541"/>
      <c r="C22" s="542"/>
    </row>
    <row r="23" spans="1:3">
      <c r="A23" s="541"/>
      <c r="B23" s="541"/>
      <c r="C23" s="542"/>
    </row>
    <row r="24" spans="1:3">
      <c r="A24" s="541"/>
      <c r="B24" s="541"/>
      <c r="C24" s="542"/>
    </row>
    <row r="25" spans="1:3">
      <c r="A25" s="541"/>
      <c r="B25" s="541"/>
      <c r="C25" s="542"/>
    </row>
    <row r="26" spans="1:3">
      <c r="A26" s="541"/>
      <c r="B26" s="541"/>
      <c r="C26" s="542"/>
    </row>
    <row r="27" spans="1:3">
      <c r="A27" s="541"/>
      <c r="B27" s="541"/>
      <c r="C27" s="542"/>
    </row>
    <row r="28" spans="1:3">
      <c r="A28" s="541"/>
      <c r="B28" s="541"/>
      <c r="C28" s="542"/>
    </row>
  </sheetData>
  <sheetProtection algorithmName="SHA-512" hashValue="LsnBJXmF304FiPr1vA0a5rRfeZFGbgpnlSc9fTyRIFlPev88PLUPhKsvVS+n3OoPIPMczgV6lZGm4lrL5GD64A==" saltValue="gNzDjeN2t6lPfjcwAmMMFw==" spinCount="100000" sheet="1" objects="1" scenarios="1" insertHyperlinks="0" selectLockedCells="1"/>
  <hyperlinks>
    <hyperlink ref="A1" location="'ANEXO 3'!A1" display="VOLVER AL INDICE"/>
  </hyperlinks>
  <pageMargins left="0.7" right="0.7" top="0.75" bottom="0.75" header="0.3" footer="0.3"/>
  <pageSetup paperSize="178" orientation="portrait" horizontalDpi="1200" verticalDpi="120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workbookViewId="0">
      <selection activeCell="B3" sqref="B3"/>
    </sheetView>
  </sheetViews>
  <sheetFormatPr baseColWidth="10" defaultRowHeight="15"/>
  <cols>
    <col min="1" max="1" width="3.42578125" bestFit="1" customWidth="1"/>
    <col min="2" max="2" width="42.85546875" customWidth="1"/>
    <col min="3" max="3" width="1" customWidth="1"/>
    <col min="6" max="6" width="11.140625" customWidth="1"/>
    <col min="9" max="9" width="11.5703125" style="413"/>
  </cols>
  <sheetData>
    <row r="1" spans="1:9">
      <c r="A1" s="507" t="s">
        <v>1205</v>
      </c>
    </row>
    <row r="2" spans="1:9">
      <c r="B2" t="s">
        <v>1207</v>
      </c>
    </row>
    <row r="3" spans="1:9">
      <c r="C3" t="s">
        <v>899</v>
      </c>
    </row>
    <row r="5" spans="1:9">
      <c r="A5" s="209" t="s">
        <v>1167</v>
      </c>
      <c r="B5" s="209" t="s">
        <v>1168</v>
      </c>
      <c r="C5" s="413" t="s">
        <v>899</v>
      </c>
      <c r="D5" s="457">
        <f>IF(SUM('1POMCAS'!E97:E99)=1,SUM('1POMCAS'!E97:E99),"ERROR: LA SUMA DE LA COLUMNA DEBE SER 100%")</f>
        <v>1</v>
      </c>
      <c r="E5" s="458">
        <f ca="1">IF(+'1POMCAS'!G97*'1POMCAS'!$E97+'1POMCAS'!G98*'1POMCAS'!$E98+'1POMCAS'!G99*'1POMCAS'!$E99=0,"N.A.",'1POMCAS'!G97*'1POMCAS'!$E97+'1POMCAS'!G98*'1POMCAS'!$E98+'1POMCAS'!G99*'1POMCAS'!$E99)</f>
        <v>0.39499999999999996</v>
      </c>
      <c r="F5" s="458">
        <f ca="1">IF(+'1POMCAS'!H97*'1POMCAS'!$E97+'1POMCAS'!H98*'1POMCAS'!$E98+'1POMCAS'!H99*'1POMCAS'!$E99=0,"N.A.",'1POMCAS'!H97*'1POMCAS'!$E97+'1POMCAS'!H98*'1POMCAS'!$E98+'1POMCAS'!H99*'1POMCAS'!$E99)</f>
        <v>0.14583333333333334</v>
      </c>
      <c r="G5" s="458" t="str">
        <f ca="1">IF(+'1POMCAS'!I97*'1POMCAS'!$E97+'1POMCAS'!I98*'1POMCAS'!$E98+'1POMCAS'!I99*'1POMCAS'!$E99=0,"N.A.",'1POMCAS'!I97*'1POMCAS'!$E97+'1POMCAS'!I98*'1POMCAS'!$E98+'1POMCAS'!I99*'1POMCAS'!$E99)</f>
        <v>N.A.</v>
      </c>
      <c r="H5" s="458" t="str">
        <f ca="1">IF(+'1POMCAS'!J97*'1POMCAS'!$E97+'1POMCAS'!J98*'1POMCAS'!$E98+'1POMCAS'!J99*'1POMCAS'!$E99=0,"N.A.",'1POMCAS'!J97*'1POMCAS'!$E97+'1POMCAS'!J98*'1POMCAS'!$E98+'1POMCAS'!J99*'1POMCAS'!$E99)</f>
        <v>N.A.</v>
      </c>
      <c r="I5" s="458"/>
    </row>
    <row r="6" spans="1:9">
      <c r="A6" s="209" t="s">
        <v>1169</v>
      </c>
      <c r="B6" s="209" t="s">
        <v>136</v>
      </c>
      <c r="C6" s="413" t="s">
        <v>899</v>
      </c>
      <c r="D6" s="459"/>
      <c r="E6" s="459"/>
      <c r="F6" s="459"/>
      <c r="G6" s="459"/>
      <c r="H6" s="459"/>
      <c r="I6" s="459"/>
    </row>
    <row r="7" spans="1:9">
      <c r="A7" s="209" t="s">
        <v>1170</v>
      </c>
      <c r="B7" s="209" t="s">
        <v>168</v>
      </c>
      <c r="C7" s="413" t="s">
        <v>899</v>
      </c>
      <c r="D7" s="459"/>
      <c r="E7" s="459"/>
      <c r="F7" s="459"/>
      <c r="G7" s="459"/>
      <c r="H7" s="459"/>
      <c r="I7" s="459"/>
    </row>
    <row r="8" spans="1:9">
      <c r="A8" s="209" t="s">
        <v>1171</v>
      </c>
      <c r="B8" s="209" t="s">
        <v>189</v>
      </c>
      <c r="C8" s="413" t="s">
        <v>899</v>
      </c>
      <c r="D8" s="459"/>
      <c r="E8" s="459"/>
      <c r="F8" s="459"/>
      <c r="G8" s="459"/>
      <c r="H8" s="459"/>
      <c r="I8" s="459"/>
    </row>
    <row r="9" spans="1:9">
      <c r="A9" s="209" t="s">
        <v>1172</v>
      </c>
      <c r="B9" s="209" t="s">
        <v>207</v>
      </c>
      <c r="C9" s="413" t="s">
        <v>899</v>
      </c>
      <c r="D9" s="459"/>
      <c r="E9" s="459"/>
      <c r="F9" s="459"/>
      <c r="G9" s="459"/>
      <c r="H9" s="459"/>
      <c r="I9" s="459"/>
    </row>
    <row r="10" spans="1:9">
      <c r="A10" s="209" t="s">
        <v>1173</v>
      </c>
      <c r="B10" s="209" t="s">
        <v>228</v>
      </c>
      <c r="C10" s="413" t="s">
        <v>899</v>
      </c>
      <c r="D10" s="459"/>
      <c r="E10" s="459"/>
      <c r="F10" s="459"/>
      <c r="G10" s="459"/>
      <c r="H10" s="459"/>
      <c r="I10" s="459"/>
    </row>
    <row r="11" spans="1:9">
      <c r="A11" s="209" t="s">
        <v>1174</v>
      </c>
      <c r="B11" s="209" t="s">
        <v>288</v>
      </c>
      <c r="C11" s="413" t="s">
        <v>899</v>
      </c>
      <c r="D11" s="459"/>
      <c r="E11" s="459"/>
      <c r="F11" s="459"/>
      <c r="G11" s="459"/>
      <c r="H11" s="459"/>
      <c r="I11" s="459"/>
    </row>
    <row r="12" spans="1:9">
      <c r="A12" s="209" t="s">
        <v>1175</v>
      </c>
      <c r="B12" s="209" t="s">
        <v>322</v>
      </c>
      <c r="C12" s="413" t="s">
        <v>899</v>
      </c>
      <c r="D12" s="459"/>
      <c r="E12" s="459"/>
      <c r="F12" s="459"/>
      <c r="G12" s="459"/>
      <c r="H12" s="459"/>
      <c r="I12" s="459"/>
    </row>
    <row r="13" spans="1:9">
      <c r="A13" s="209" t="s">
        <v>1176</v>
      </c>
      <c r="B13" s="209" t="s">
        <v>356</v>
      </c>
      <c r="C13" s="413" t="s">
        <v>899</v>
      </c>
      <c r="D13" s="459"/>
      <c r="E13" s="459"/>
      <c r="F13" s="459"/>
      <c r="G13" s="459"/>
      <c r="H13" s="459"/>
      <c r="I13" s="459"/>
    </row>
    <row r="14" spans="1:9">
      <c r="A14" s="209" t="s">
        <v>1177</v>
      </c>
      <c r="B14" s="209" t="s">
        <v>404</v>
      </c>
      <c r="C14" s="413" t="s">
        <v>899</v>
      </c>
      <c r="D14" s="460"/>
      <c r="E14" s="460"/>
      <c r="F14" s="460"/>
      <c r="G14" s="460"/>
      <c r="H14" s="460"/>
      <c r="I14" s="460"/>
    </row>
    <row r="15" spans="1:9">
      <c r="A15" s="209" t="s">
        <v>1178</v>
      </c>
      <c r="B15" s="209" t="s">
        <v>427</v>
      </c>
      <c r="C15" s="413" t="s">
        <v>899</v>
      </c>
      <c r="D15" s="461" t="str">
        <f>IF(SUM('11Forest'!E26:E29)='11Forest'!E20,SUM('11Forest'!E26:E29),"ERROR: LA SUMA DE LA COLUMNA DEBE SER IGUAL A LA META ANUAL")</f>
        <v>ERROR: LA SUMA DE LA COLUMNA DEBE SER IGUAL A LA META ANUAL</v>
      </c>
      <c r="E15" s="461" t="str">
        <f>IF(SUM('11Forest'!F26:F29)='11Forest'!E20,SUM('11Forest'!F26:F29),"ERROR: LA SUMA DE LA COLUMNA DEBE SER IGUAL A LA META ANUAL")</f>
        <v>ERROR: LA SUMA DE LA COLUMNA DEBE SER IGUAL A LA META ANUAL</v>
      </c>
      <c r="F15" s="461" t="str">
        <f>IF(SUM('11Forest'!G26:G29)='11Forest'!E20,SUM('11Forest'!G26:G29),"ERROR: LA SUMA DE LA COLUMNA DEBE SER IGUAL A LA META ANUAL")</f>
        <v>ERROR: LA SUMA DE LA COLUMNA DEBE SER IGUAL A LA META ANUAL</v>
      </c>
      <c r="G15" s="461" t="str">
        <f>IF(SUM('11Forest'!H26:H29)='11Forest'!E20,SUM('11Forest'!H26:H29),"ERROR: LA SUMA DE LA COLUMNA DEBE SER IGUAL A LA META ANUAL")</f>
        <v>ERROR: LA SUMA DE LA COLUMNA DEBE SER IGUAL A LA META ANUAL</v>
      </c>
      <c r="H15" s="461"/>
      <c r="I15" s="461" t="str">
        <f>IF(SUM('11Forest'!E25:H25)='11Forest'!E20,SUM('11Forest'!E25:H25),"ERROR: LA SUMA DE LA COLUMNA DEBE SER IGUAL A LA META ANUAL")</f>
        <v>ERROR: LA SUMA DE LA COLUMNA DEBE SER IGUAL A LA META ANUAL</v>
      </c>
    </row>
    <row r="16" spans="1:9">
      <c r="A16" s="209" t="s">
        <v>1179</v>
      </c>
      <c r="B16" s="209" t="s">
        <v>459</v>
      </c>
      <c r="C16" s="413" t="s">
        <v>899</v>
      </c>
      <c r="D16" s="462"/>
      <c r="E16" s="462"/>
      <c r="F16" s="462"/>
      <c r="G16" s="462"/>
      <c r="H16" s="462"/>
      <c r="I16" s="462"/>
    </row>
    <row r="17" spans="1:9">
      <c r="A17" s="209" t="s">
        <v>1180</v>
      </c>
      <c r="B17" s="209" t="s">
        <v>489</v>
      </c>
      <c r="C17" s="413" t="s">
        <v>899</v>
      </c>
      <c r="D17" s="459"/>
      <c r="E17" s="459"/>
      <c r="F17" s="459"/>
      <c r="G17" s="459"/>
      <c r="H17" s="459"/>
      <c r="I17" s="459"/>
    </row>
    <row r="18" spans="1:9">
      <c r="A18" s="209" t="s">
        <v>1181</v>
      </c>
      <c r="B18" s="209" t="s">
        <v>535</v>
      </c>
      <c r="C18" s="413" t="s">
        <v>899</v>
      </c>
      <c r="D18" s="459"/>
      <c r="E18" s="459"/>
      <c r="F18" s="459"/>
      <c r="G18" s="459"/>
      <c r="H18" s="459"/>
      <c r="I18" s="459"/>
    </row>
    <row r="19" spans="1:9">
      <c r="A19" s="209" t="s">
        <v>1182</v>
      </c>
      <c r="B19" s="209" t="s">
        <v>566</v>
      </c>
      <c r="C19" s="413" t="s">
        <v>899</v>
      </c>
      <c r="D19" s="459"/>
      <c r="E19" s="459"/>
      <c r="F19" s="459"/>
      <c r="G19" s="459"/>
      <c r="H19" s="459"/>
      <c r="I19" s="459"/>
    </row>
    <row r="20" spans="1:9">
      <c r="A20" s="209" t="s">
        <v>1183</v>
      </c>
      <c r="B20" s="209" t="s">
        <v>594</v>
      </c>
      <c r="C20" s="413" t="s">
        <v>899</v>
      </c>
      <c r="D20" s="457">
        <f>IF(SUM('16MIZC'!H22:H33)=1,SUM('16MIZC'!H22:H33),"ERROR: LA SUMA DE LA COLUMNA DEBE SER 100%")</f>
        <v>1</v>
      </c>
      <c r="E20" s="463">
        <f>SUM('16MIZC'!I22:I33)</f>
        <v>0</v>
      </c>
      <c r="F20" s="459"/>
      <c r="G20" s="459"/>
      <c r="H20" s="459"/>
      <c r="I20" s="459"/>
    </row>
    <row r="21" spans="1:9">
      <c r="A21" s="209" t="s">
        <v>1184</v>
      </c>
      <c r="B21" s="209" t="s">
        <v>643</v>
      </c>
      <c r="C21" s="413" t="s">
        <v>899</v>
      </c>
      <c r="D21" s="459"/>
      <c r="E21" s="459"/>
      <c r="F21" s="459"/>
      <c r="G21" s="459"/>
      <c r="H21" s="459"/>
      <c r="I21" s="459"/>
    </row>
    <row r="22" spans="1:9">
      <c r="A22" s="209" t="s">
        <v>1185</v>
      </c>
      <c r="B22" s="209" t="s">
        <v>664</v>
      </c>
      <c r="C22" s="413" t="s">
        <v>899</v>
      </c>
      <c r="D22" s="457">
        <f>IF(SUM('18Sector'!D39:D48)=1,SUM('18Sector'!D39:D48),"ERROR: LA SUMA DE LA COLUMNA DEBE SER 100%")</f>
        <v>1</v>
      </c>
      <c r="E22" s="459"/>
      <c r="F22" s="459"/>
      <c r="G22" s="459"/>
      <c r="H22" s="459"/>
      <c r="I22" s="459"/>
    </row>
    <row r="23" spans="1:9">
      <c r="A23" s="209" t="s">
        <v>1186</v>
      </c>
      <c r="B23" s="209" t="s">
        <v>717</v>
      </c>
      <c r="C23" s="413" t="s">
        <v>899</v>
      </c>
      <c r="D23" s="457">
        <f>IF(SUM('19GAU'!H23:H34)=1,SUM('19GAU'!H23:H34),"ERROR: LA SUMA DE LA COLUMNA DEBE SER 100%")</f>
        <v>1</v>
      </c>
      <c r="E23" s="463">
        <f>SUM('19GAU'!I22:I34)</f>
        <v>0.41399999999999992</v>
      </c>
      <c r="F23" s="459"/>
      <c r="G23" s="459"/>
      <c r="H23" s="459"/>
      <c r="I23" s="459"/>
    </row>
    <row r="24" spans="1:9">
      <c r="A24" s="209" t="s">
        <v>1187</v>
      </c>
      <c r="B24" s="209" t="s">
        <v>790</v>
      </c>
      <c r="C24" s="413" t="s">
        <v>899</v>
      </c>
      <c r="D24" s="457">
        <f>IF(SUM('20Negoc'!D36:D41)=1,SUM('20Negoc'!D36:D41),"ERROR: LA SUMA DE LA COLUMNA DEBE SER 100%")</f>
        <v>1</v>
      </c>
      <c r="E24" s="464">
        <f>+'20Negoc'!J30/'20Negoc'!I30</f>
        <v>0.43792652095826551</v>
      </c>
      <c r="F24" s="464">
        <f>+'20Negoc'!K30/'20Negoc'!J30</f>
        <v>0.82433639636868705</v>
      </c>
      <c r="G24" s="459"/>
      <c r="H24" s="459"/>
      <c r="I24" s="459"/>
    </row>
    <row r="25" spans="1:9">
      <c r="A25" s="209" t="s">
        <v>1188</v>
      </c>
      <c r="B25" s="209" t="s">
        <v>855</v>
      </c>
      <c r="C25" s="413" t="s">
        <v>899</v>
      </c>
      <c r="D25" s="459"/>
      <c r="E25" s="459"/>
      <c r="F25" s="459"/>
      <c r="G25" s="459"/>
      <c r="H25" s="459"/>
      <c r="I25" s="459"/>
    </row>
    <row r="26" spans="1:9">
      <c r="A26" s="209" t="s">
        <v>1189</v>
      </c>
      <c r="B26" s="209" t="s">
        <v>898</v>
      </c>
      <c r="C26" s="413" t="s">
        <v>899</v>
      </c>
      <c r="D26" s="457">
        <f>IF(SUM('22Autor'!F117:F121)=1,SUM('22Autor'!F117:F121),"ERROR: LA SUMA DE LA COLUMNA DEBE SER 100%")</f>
        <v>1</v>
      </c>
      <c r="E26" s="459"/>
      <c r="F26" s="459"/>
      <c r="G26" s="459"/>
      <c r="H26" s="459"/>
      <c r="I26" s="459"/>
    </row>
    <row r="27" spans="1:9">
      <c r="A27" s="209" t="s">
        <v>1190</v>
      </c>
      <c r="B27" s="209" t="s">
        <v>963</v>
      </c>
      <c r="C27" s="413" t="s">
        <v>899</v>
      </c>
      <c r="D27" s="459"/>
      <c r="E27" s="459"/>
      <c r="F27" s="459"/>
      <c r="G27" s="459"/>
      <c r="H27" s="459"/>
      <c r="I27" s="459"/>
    </row>
    <row r="28" spans="1:9" ht="15.75" thickBot="1">
      <c r="A28" s="209" t="s">
        <v>1191</v>
      </c>
      <c r="B28" s="209" t="s">
        <v>984</v>
      </c>
      <c r="C28" s="413" t="s">
        <v>899</v>
      </c>
      <c r="D28" s="459"/>
      <c r="E28" s="459"/>
      <c r="F28" s="459"/>
      <c r="G28" s="459"/>
      <c r="H28" s="459"/>
      <c r="I28" s="459"/>
    </row>
    <row r="29" spans="1:9" ht="15.75" thickBot="1">
      <c r="A29" s="209" t="s">
        <v>1192</v>
      </c>
      <c r="B29" s="209" t="s">
        <v>1013</v>
      </c>
      <c r="C29" s="413" t="s">
        <v>899</v>
      </c>
      <c r="D29" s="447" t="str">
        <f>IF(SUM('25Redes'!F79:F80)=1,"","ERROR: LA SUMA DE LAS PONDERACIONES DEBE SER 100%")</f>
        <v/>
      </c>
      <c r="E29" s="465">
        <f>+'25Redes'!E79*'25Redes'!F79+'25Redes'!E80*'25Redes'!F80</f>
        <v>0.15000000000000002</v>
      </c>
      <c r="F29" s="459"/>
      <c r="G29" s="459"/>
      <c r="H29" s="459"/>
      <c r="I29" s="459"/>
    </row>
    <row r="30" spans="1:9">
      <c r="A30" s="209" t="s">
        <v>1193</v>
      </c>
      <c r="B30" s="209" t="s">
        <v>1086</v>
      </c>
      <c r="C30" s="413" t="s">
        <v>899</v>
      </c>
      <c r="D30" s="459"/>
      <c r="E30" s="459"/>
      <c r="F30" s="459"/>
      <c r="G30" s="459"/>
      <c r="H30" s="459"/>
      <c r="I30" s="459"/>
    </row>
    <row r="31" spans="1:9">
      <c r="A31" s="209" t="s">
        <v>1194</v>
      </c>
      <c r="B31" s="209" t="s">
        <v>1133</v>
      </c>
      <c r="C31" s="413" t="s">
        <v>899</v>
      </c>
      <c r="D31" s="457">
        <f>IF(SUM('27Educa'!D36:D41)=1,SUM('27Educa'!D36:D41),"ERROR: LA SUMA DE LA COLUMNA DEBE SER 100%")</f>
        <v>1</v>
      </c>
      <c r="E31" s="459"/>
      <c r="F31" s="459"/>
      <c r="G31" s="459"/>
      <c r="H31" s="459"/>
      <c r="I31" s="459"/>
    </row>
    <row r="32" spans="1:9">
      <c r="C32" s="413" t="s">
        <v>899</v>
      </c>
    </row>
    <row r="33" spans="3:6">
      <c r="C33" s="413" t="s">
        <v>899</v>
      </c>
      <c r="D33" s="508" t="s">
        <v>1262</v>
      </c>
      <c r="F33" s="531" t="s">
        <v>1264</v>
      </c>
    </row>
    <row r="34" spans="3:6">
      <c r="C34" s="413" t="s">
        <v>899</v>
      </c>
      <c r="D34" s="508" t="s">
        <v>1261</v>
      </c>
      <c r="F34" s="531" t="s">
        <v>1263</v>
      </c>
    </row>
    <row r="35" spans="3:6">
      <c r="C35" s="413" t="s">
        <v>899</v>
      </c>
    </row>
    <row r="36" spans="3:6">
      <c r="C36" s="413" t="s">
        <v>899</v>
      </c>
    </row>
    <row r="37" spans="3:6">
      <c r="C37" s="413" t="s">
        <v>899</v>
      </c>
    </row>
    <row r="38" spans="3:6">
      <c r="C38" s="413" t="s">
        <v>899</v>
      </c>
    </row>
    <row r="39" spans="3:6">
      <c r="C39" s="413" t="s">
        <v>899</v>
      </c>
    </row>
    <row r="40" spans="3:6">
      <c r="C40" s="413" t="s">
        <v>899</v>
      </c>
    </row>
    <row r="41" spans="3:6">
      <c r="C41" s="413" t="s">
        <v>899</v>
      </c>
    </row>
    <row r="42" spans="3:6">
      <c r="C42" s="413" t="s">
        <v>899</v>
      </c>
    </row>
  </sheetData>
  <sheetProtection algorithmName="SHA-512" hashValue="E7iSHRO0micllmrxNii03RvnOJK5hLyQjLoWlEvyS8BhlibykYKuwLSgWDIe9bKr0rgV7o/z4gJUJvMIxFrKgw==" saltValue="GBnvGum2z3e+EKxTTYtstw==" spinCount="100000" sheet="1" objects="1" scenarios="1" insertHyperlinks="0" selectLockedCells="1" selectUnlockedCells="1"/>
  <conditionalFormatting sqref="D31">
    <cfRule type="containsText" dxfId="11" priority="12" operator="containsText" text="ERROR">
      <formula>NOT(ISERROR(SEARCH("ERROR",D31)))</formula>
    </cfRule>
  </conditionalFormatting>
  <conditionalFormatting sqref="D5">
    <cfRule type="containsText" dxfId="10" priority="11" operator="containsText" text="ERROR">
      <formula>NOT(ISERROR(SEARCH("ERROR",D5)))</formula>
    </cfRule>
  </conditionalFormatting>
  <conditionalFormatting sqref="D20">
    <cfRule type="containsText" dxfId="9" priority="10" operator="containsText" text="ERROR">
      <formula>NOT(ISERROR(SEARCH("ERROR",D20)))</formula>
    </cfRule>
  </conditionalFormatting>
  <conditionalFormatting sqref="D22">
    <cfRule type="containsText" dxfId="8" priority="9" operator="containsText" text="ERROR">
      <formula>NOT(ISERROR(SEARCH("ERROR",D22)))</formula>
    </cfRule>
  </conditionalFormatting>
  <conditionalFormatting sqref="D23">
    <cfRule type="containsText" dxfId="7" priority="8" operator="containsText" text="ERROR">
      <formula>NOT(ISERROR(SEARCH("ERROR",D23)))</formula>
    </cfRule>
  </conditionalFormatting>
  <conditionalFormatting sqref="D24">
    <cfRule type="containsText" dxfId="6" priority="7" operator="containsText" text="ERROR">
      <formula>NOT(ISERROR(SEARCH("ERROR",D24)))</formula>
    </cfRule>
  </conditionalFormatting>
  <conditionalFormatting sqref="D15">
    <cfRule type="containsText" dxfId="5" priority="6" operator="containsText" text="ERROR">
      <formula>NOT(ISERROR(SEARCH("ERROR",D15)))</formula>
    </cfRule>
  </conditionalFormatting>
  <conditionalFormatting sqref="H15">
    <cfRule type="containsText" dxfId="4" priority="4" operator="containsText" text="ERROR">
      <formula>NOT(ISERROR(SEARCH("ERROR",H15)))</formula>
    </cfRule>
  </conditionalFormatting>
  <conditionalFormatting sqref="E15:G15">
    <cfRule type="containsText" dxfId="3" priority="5" operator="containsText" text="ERROR">
      <formula>NOT(ISERROR(SEARCH("ERROR",E15)))</formula>
    </cfRule>
  </conditionalFormatting>
  <conditionalFormatting sqref="D29">
    <cfRule type="containsText" dxfId="2" priority="3" operator="containsText" text="ERROR">
      <formula>NOT(ISERROR(SEARCH("ERROR",D29)))</formula>
    </cfRule>
  </conditionalFormatting>
  <conditionalFormatting sqref="D26">
    <cfRule type="containsText" dxfId="1" priority="2" operator="containsText" text="ERROR">
      <formula>NOT(ISERROR(SEARCH("ERROR",D26)))</formula>
    </cfRule>
  </conditionalFormatting>
  <conditionalFormatting sqref="I15">
    <cfRule type="containsText" dxfId="0" priority="1" operator="containsText" text="ERROR">
      <formula>NOT(ISERROR(SEARCH("ERROR",I15)))</formula>
    </cfRule>
  </conditionalFormatting>
  <hyperlinks>
    <hyperlink ref="A1" location="'ANEXO 3'!A1" display="VOLVER AL INDICE"/>
  </hyperlinks>
  <pageMargins left="0.7" right="0.7" top="0.75" bottom="0.75" header="0.3" footer="0.3"/>
  <pageSetup paperSize="178" orientation="portrait" horizontalDpi="1200" verticalDpi="120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E5" sqref="E5"/>
    </sheetView>
  </sheetViews>
  <sheetFormatPr baseColWidth="10" defaultRowHeight="15"/>
  <cols>
    <col min="1" max="1" width="28.140625" customWidth="1"/>
    <col min="2" max="2" width="12.140625" customWidth="1"/>
    <col min="3" max="3" width="14.28515625" customWidth="1"/>
    <col min="4" max="5" width="14.42578125" bestFit="1" customWidth="1"/>
  </cols>
  <sheetData>
    <row r="1" spans="1:7" ht="15.75" thickBot="1"/>
    <row r="2" spans="1:7" ht="15.75" thickBot="1">
      <c r="A2" s="1652" t="s">
        <v>1800</v>
      </c>
      <c r="B2" s="1653"/>
      <c r="C2" s="1653"/>
      <c r="D2" s="1653"/>
      <c r="E2" s="1653"/>
      <c r="F2" s="1654"/>
    </row>
    <row r="3" spans="1:7" ht="45.75" thickBot="1">
      <c r="A3" s="1079" t="s">
        <v>1833</v>
      </c>
      <c r="B3" s="1082" t="s">
        <v>1832</v>
      </c>
      <c r="C3" s="1080" t="s">
        <v>1836</v>
      </c>
      <c r="D3" s="1080" t="s">
        <v>1834</v>
      </c>
      <c r="E3" s="1080" t="s">
        <v>1835</v>
      </c>
      <c r="F3" s="1084" t="s">
        <v>1837</v>
      </c>
      <c r="G3" s="1083"/>
    </row>
    <row r="4" spans="1:7" ht="23.25" thickBot="1">
      <c r="A4" s="1078" t="s">
        <v>1589</v>
      </c>
      <c r="B4" s="1089">
        <v>100</v>
      </c>
      <c r="C4" s="1090">
        <f ca="1">'Anexo 1 Matriz Inf Gestión'!I8</f>
        <v>0.61938545453876459</v>
      </c>
      <c r="D4" s="1085">
        <f>'Anexo 1 Matriz Inf Gestión'!P8</f>
        <v>584444847</v>
      </c>
      <c r="E4" s="1085">
        <f>'Anexo 1 Matriz Inf Gestión'!Q8</f>
        <v>290350742</v>
      </c>
      <c r="F4" s="1100">
        <f>E4/D4</f>
        <v>0.49679750534270689</v>
      </c>
    </row>
    <row r="5" spans="1:7" ht="26.25" thickBot="1">
      <c r="A5" s="1065" t="s">
        <v>1590</v>
      </c>
      <c r="B5" s="1091">
        <v>100</v>
      </c>
      <c r="C5" s="1092">
        <f ca="1">'Anexo 1 Matriz Inf Gestión'!I9</f>
        <v>0.596113388752326</v>
      </c>
      <c r="D5" s="1088">
        <f>'Anexo 1 Matriz Inf Gestión'!P9</f>
        <v>254531486</v>
      </c>
      <c r="E5" s="1088">
        <f>'Anexo 1 Matriz Inf Gestión'!Q9</f>
        <v>109475414</v>
      </c>
      <c r="F5" s="1100">
        <f t="shared" ref="F5:F24" si="0">E5/D5</f>
        <v>0.43010558622990946</v>
      </c>
    </row>
    <row r="6" spans="1:7" ht="26.25" thickBot="1">
      <c r="A6" s="1062" t="s">
        <v>1591</v>
      </c>
      <c r="B6" s="1093">
        <v>100</v>
      </c>
      <c r="C6" s="1094">
        <f>'Anexo 1 Matriz Inf Gestión'!I19</f>
        <v>0.67825203252032529</v>
      </c>
      <c r="D6" s="1088">
        <f>'Anexo 1 Matriz Inf Gestión'!P19</f>
        <v>157628995</v>
      </c>
      <c r="E6" s="1088">
        <f>'Anexo 1 Matriz Inf Gestión'!Q19</f>
        <v>86021154</v>
      </c>
      <c r="F6" s="1100">
        <f t="shared" si="0"/>
        <v>0.54571910453403571</v>
      </c>
    </row>
    <row r="7" spans="1:7" ht="26.25" thickBot="1">
      <c r="A7" s="1066" t="s">
        <v>1592</v>
      </c>
      <c r="B7" s="1093">
        <v>100</v>
      </c>
      <c r="C7" s="1094">
        <f>'Anexo 1 Matriz Inf Gestión'!I25</f>
        <v>0.875</v>
      </c>
      <c r="D7" s="1088">
        <f>'Anexo 1 Matriz Inf Gestión'!P25</f>
        <v>172284366</v>
      </c>
      <c r="E7" s="1088">
        <f>'Anexo 1 Matriz Inf Gestión'!Q25</f>
        <v>94854174</v>
      </c>
      <c r="F7" s="1100">
        <f t="shared" si="0"/>
        <v>0.55056750767507245</v>
      </c>
    </row>
    <row r="8" spans="1:7" ht="23.25" thickBot="1">
      <c r="A8" s="1061" t="s">
        <v>1593</v>
      </c>
      <c r="B8" s="1095">
        <v>100</v>
      </c>
      <c r="C8" s="1096">
        <f>'Anexo 1 Matriz Inf Gestión'!I30</f>
        <v>0.53136396011396014</v>
      </c>
      <c r="D8" s="1086">
        <f>'Anexo 1 Matriz Inf Gestión'!P30</f>
        <v>2940257226</v>
      </c>
      <c r="E8" s="1086">
        <f>'Anexo 1 Matriz Inf Gestión'!Q30</f>
        <v>2156315731.5</v>
      </c>
      <c r="F8" s="1100">
        <f t="shared" si="0"/>
        <v>0.73337656053770039</v>
      </c>
    </row>
    <row r="9" spans="1:7" ht="39" thickBot="1">
      <c r="A9" s="1062" t="s">
        <v>1594</v>
      </c>
      <c r="B9" s="1093">
        <v>100</v>
      </c>
      <c r="C9" s="1094">
        <f>'Anexo 1 Matriz Inf Gestión'!I31</f>
        <v>0.30993055555555554</v>
      </c>
      <c r="D9" s="1088">
        <f>'Anexo 1 Matriz Inf Gestión'!P31</f>
        <v>2286463147</v>
      </c>
      <c r="E9" s="1088">
        <f>'Anexo 1 Matriz Inf Gestión'!Q31</f>
        <v>1764211794.5</v>
      </c>
      <c r="F9" s="1100">
        <f t="shared" si="0"/>
        <v>0.77158986656520989</v>
      </c>
    </row>
    <row r="10" spans="1:7" ht="26.25" thickBot="1">
      <c r="A10" s="1062" t="s">
        <v>1595</v>
      </c>
      <c r="B10" s="1093">
        <v>100</v>
      </c>
      <c r="C10" s="1094">
        <f>'Anexo 1 Matriz Inf Gestión'!I40</f>
        <v>0.72116402116402123</v>
      </c>
      <c r="D10" s="1088">
        <f>'Anexo 1 Matriz Inf Gestión'!P40</f>
        <v>653794079</v>
      </c>
      <c r="E10" s="1088">
        <f>'Anexo 1 Matriz Inf Gestión'!Q40</f>
        <v>392103937</v>
      </c>
      <c r="F10" s="1100">
        <f t="shared" si="0"/>
        <v>0.59973613954983518</v>
      </c>
    </row>
    <row r="11" spans="1:7" ht="34.5" thickBot="1">
      <c r="A11" s="1061" t="s">
        <v>1596</v>
      </c>
      <c r="B11" s="1095">
        <v>100</v>
      </c>
      <c r="C11" s="1096">
        <f>'Anexo 1 Matriz Inf Gestión'!I48</f>
        <v>0.45890756302521007</v>
      </c>
      <c r="D11" s="1086">
        <f>'Anexo 1 Matriz Inf Gestión'!P48</f>
        <v>4313909641</v>
      </c>
      <c r="E11" s="1086">
        <f>'Anexo 1 Matriz Inf Gestión'!Q48</f>
        <v>561371123</v>
      </c>
      <c r="F11" s="1100">
        <f t="shared" si="0"/>
        <v>0.13013047785346507</v>
      </c>
    </row>
    <row r="12" spans="1:7" ht="26.25" thickBot="1">
      <c r="A12" s="1062" t="s">
        <v>1597</v>
      </c>
      <c r="B12" s="1093">
        <v>100</v>
      </c>
      <c r="C12" s="1094">
        <f>'Anexo 1 Matriz Inf Gestión'!I49</f>
        <v>0.375</v>
      </c>
      <c r="D12" s="1088">
        <f>'Anexo 1 Matriz Inf Gestión'!P49</f>
        <v>3386060967</v>
      </c>
      <c r="E12" s="1088">
        <f>'Anexo 1 Matriz Inf Gestión'!Q49</f>
        <v>307411915</v>
      </c>
      <c r="F12" s="1100">
        <f t="shared" si="0"/>
        <v>9.0787471931541269E-2</v>
      </c>
    </row>
    <row r="13" spans="1:7" ht="26.25" thickBot="1">
      <c r="A13" s="1062" t="s">
        <v>1598</v>
      </c>
      <c r="B13" s="1093">
        <v>100</v>
      </c>
      <c r="C13" s="1094">
        <f>'Anexo 1 Matriz Inf Gestión'!I60</f>
        <v>0.55294117647058827</v>
      </c>
      <c r="D13" s="1088">
        <f>'Anexo 1 Matriz Inf Gestión'!P60</f>
        <v>875018181</v>
      </c>
      <c r="E13" s="1088">
        <f>'Anexo 1 Matriz Inf Gestión'!Q60</f>
        <v>230823334</v>
      </c>
      <c r="F13" s="1100">
        <f t="shared" si="0"/>
        <v>0.26379261484167948</v>
      </c>
    </row>
    <row r="14" spans="1:7" ht="15" customHeight="1" thickBot="1">
      <c r="A14" s="1062" t="s">
        <v>1599</v>
      </c>
      <c r="B14" s="1093">
        <v>100</v>
      </c>
      <c r="C14" s="1094">
        <f>'Anexo 1 Matriz Inf Gestión'!I67</f>
        <v>0.66</v>
      </c>
      <c r="D14" s="1088">
        <f>'Anexo 1 Matriz Inf Gestión'!P67</f>
        <v>52830493</v>
      </c>
      <c r="E14" s="1088">
        <f>'Anexo 1 Matriz Inf Gestión'!Q67</f>
        <v>23135874</v>
      </c>
      <c r="F14" s="1100">
        <f t="shared" si="0"/>
        <v>0.43792652095826551</v>
      </c>
    </row>
    <row r="15" spans="1:7" ht="23.25" thickBot="1">
      <c r="A15" s="1061" t="s">
        <v>1600</v>
      </c>
      <c r="B15" s="1095">
        <v>100</v>
      </c>
      <c r="C15" s="1096">
        <f>'Anexo 1 Matriz Inf Gestión'!I69</f>
        <v>0.96</v>
      </c>
      <c r="D15" s="1086">
        <f>'Anexo 1 Matriz Inf Gestión'!P69</f>
        <v>1128325252</v>
      </c>
      <c r="E15" s="1086">
        <f>'Anexo 1 Matriz Inf Gestión'!Q69</f>
        <v>809693088</v>
      </c>
      <c r="F15" s="1100">
        <f t="shared" si="0"/>
        <v>0.71760610388253543</v>
      </c>
    </row>
    <row r="16" spans="1:7" ht="15.75" thickBot="1">
      <c r="A16" s="1063" t="s">
        <v>1601</v>
      </c>
      <c r="B16" s="1093">
        <v>100</v>
      </c>
      <c r="C16" s="1094">
        <f>'Anexo 1 Matriz Inf Gestión'!I70</f>
        <v>0.91999999999999982</v>
      </c>
      <c r="D16" s="1088">
        <f>'Anexo 1 Matriz Inf Gestión'!P70</f>
        <v>845706080</v>
      </c>
      <c r="E16" s="1088">
        <f>'Anexo 1 Matriz Inf Gestión'!Q70</f>
        <v>650643388</v>
      </c>
      <c r="F16" s="1100">
        <f t="shared" si="0"/>
        <v>0.76934930868653562</v>
      </c>
    </row>
    <row r="17" spans="1:6" ht="15.75" thickBot="1">
      <c r="A17" s="1062" t="s">
        <v>1602</v>
      </c>
      <c r="B17" s="1093">
        <v>100</v>
      </c>
      <c r="C17" s="1094">
        <f>'Anexo 1 Matriz Inf Gestión'!I72</f>
        <v>1</v>
      </c>
      <c r="D17" s="1088">
        <f>'Anexo 1 Matriz Inf Gestión'!P72</f>
        <v>282619172</v>
      </c>
      <c r="E17" s="1088">
        <f>'Anexo 1 Matriz Inf Gestión'!Q72</f>
        <v>159049700</v>
      </c>
      <c r="F17" s="1100">
        <f t="shared" si="0"/>
        <v>0.56277038416912495</v>
      </c>
    </row>
    <row r="18" spans="1:6" ht="15.75" thickBot="1">
      <c r="A18" s="1064" t="s">
        <v>1603</v>
      </c>
      <c r="B18" s="1095">
        <v>100</v>
      </c>
      <c r="C18" s="1096">
        <f>'Anexo 1 Matriz Inf Gestión'!I74</f>
        <v>0.46666666666666667</v>
      </c>
      <c r="D18" s="1086">
        <f>'Anexo 1 Matriz Inf Gestión'!P74</f>
        <v>612020948</v>
      </c>
      <c r="E18" s="1086">
        <f>'Anexo 1 Matriz Inf Gestión'!Q74</f>
        <v>215303377</v>
      </c>
      <c r="F18" s="1100">
        <f t="shared" si="0"/>
        <v>0.35179086223042155</v>
      </c>
    </row>
    <row r="19" spans="1:6" ht="15.75" thickBot="1">
      <c r="A19" s="1062" t="s">
        <v>1604</v>
      </c>
      <c r="B19" s="1093">
        <v>100</v>
      </c>
      <c r="C19" s="1094">
        <f>'Anexo 1 Matriz Inf Gestión'!I75</f>
        <v>0.46666666666666667</v>
      </c>
      <c r="D19" s="1088">
        <f>'Anexo 1 Matriz Inf Gestión'!P75</f>
        <v>395544536</v>
      </c>
      <c r="E19" s="1088">
        <f>'Anexo 1 Matriz Inf Gestión'!Q75</f>
        <v>165152148</v>
      </c>
      <c r="F19" s="1100">
        <f t="shared" si="0"/>
        <v>0.41753110704075053</v>
      </c>
    </row>
    <row r="20" spans="1:6" ht="15.75" thickBot="1">
      <c r="A20" s="1062" t="s">
        <v>1605</v>
      </c>
      <c r="B20" s="1093">
        <v>100</v>
      </c>
      <c r="C20" s="1094">
        <f>'Anexo 1 Matriz Inf Gestión'!I77</f>
        <v>0.46666666666666667</v>
      </c>
      <c r="D20" s="1088">
        <f>'Anexo 1 Matriz Inf Gestión'!P77</f>
        <v>216476412</v>
      </c>
      <c r="E20" s="1088">
        <f>'Anexo 1 Matriz Inf Gestión'!Q77</f>
        <v>50151229</v>
      </c>
      <c r="F20" s="1100">
        <f t="shared" si="0"/>
        <v>0.23167064040215152</v>
      </c>
    </row>
    <row r="21" spans="1:6" ht="15.75" thickBot="1">
      <c r="A21" s="1061" t="s">
        <v>1606</v>
      </c>
      <c r="B21" s="1095">
        <v>100</v>
      </c>
      <c r="C21" s="1096">
        <f>'Anexo 1 Matriz Inf Gestión'!I79</f>
        <v>0.48061200321831538</v>
      </c>
      <c r="D21" s="1086">
        <f>'Anexo 1 Matriz Inf Gestión'!P79</f>
        <v>1058878409</v>
      </c>
      <c r="E21" s="1086">
        <f>'Anexo 1 Matriz Inf Gestión'!Q79</f>
        <v>521620890</v>
      </c>
      <c r="F21" s="1100">
        <f t="shared" si="0"/>
        <v>0.49261641900189129</v>
      </c>
    </row>
    <row r="22" spans="1:6" ht="39" thickBot="1">
      <c r="A22" s="1062" t="s">
        <v>1607</v>
      </c>
      <c r="B22" s="1093">
        <v>100</v>
      </c>
      <c r="C22" s="1094">
        <f>'Anexo 1 Matriz Inf Gestión'!I80</f>
        <v>0.49362057694568334</v>
      </c>
      <c r="D22" s="1088">
        <f>'Anexo 1 Matriz Inf Gestión'!P80</f>
        <v>774365817</v>
      </c>
      <c r="E22" s="1088">
        <f>'Anexo 1 Matriz Inf Gestión'!Q80</f>
        <v>378371197</v>
      </c>
      <c r="F22" s="1100">
        <f t="shared" si="0"/>
        <v>0.48862073801999967</v>
      </c>
    </row>
    <row r="23" spans="1:6" ht="15.75" thickBot="1">
      <c r="A23" s="1081" t="s">
        <v>1608</v>
      </c>
      <c r="B23" s="1097">
        <v>100</v>
      </c>
      <c r="C23" s="1098">
        <f>'Anexo 1 Matriz Inf Gestión'!I88</f>
        <v>0.46239999999999998</v>
      </c>
      <c r="D23" s="1088">
        <f>'Anexo 1 Matriz Inf Gestión'!P88</f>
        <v>284512592</v>
      </c>
      <c r="E23" s="1088">
        <f>'Anexo 1 Matriz Inf Gestión'!Q88</f>
        <v>143249693</v>
      </c>
      <c r="F23" s="1100">
        <f t="shared" si="0"/>
        <v>0.50349157481226703</v>
      </c>
    </row>
    <row r="24" spans="1:6" ht="16.5" thickBot="1">
      <c r="A24" s="1087" t="s">
        <v>157</v>
      </c>
      <c r="B24" s="1095">
        <v>100</v>
      </c>
      <c r="C24" s="1099">
        <f ca="1">'Anexo 1 Matriz Inf Gestión'!I94</f>
        <v>0.58615594126048609</v>
      </c>
      <c r="D24" s="1086">
        <f>D21+D18+D15+D11+D8+D4</f>
        <v>10637836323</v>
      </c>
      <c r="E24" s="1086">
        <f>E21+E18+E15+E11+E8+E4</f>
        <v>4554654951.5</v>
      </c>
      <c r="F24" s="1100">
        <f t="shared" si="0"/>
        <v>0.42815614126835255</v>
      </c>
    </row>
  </sheetData>
  <mergeCells count="1">
    <mergeCell ref="A2:F2"/>
  </mergeCells>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2"/>
  <sheetViews>
    <sheetView showGridLines="0" zoomScale="96" zoomScaleNormal="96" workbookViewId="0">
      <pane ySplit="5" topLeftCell="A19" activePane="bottomLeft" state="frozen"/>
      <selection activeCell="D4" sqref="D4"/>
      <selection pane="bottomLeft" activeCell="B23" sqref="B23"/>
    </sheetView>
  </sheetViews>
  <sheetFormatPr baseColWidth="10" defaultRowHeight="15"/>
  <cols>
    <col min="1" max="1" width="3.5703125" bestFit="1" customWidth="1"/>
    <col min="2" max="2" width="62.42578125" customWidth="1"/>
    <col min="3" max="3" width="16.140625" customWidth="1"/>
    <col min="4" max="6" width="6.140625" customWidth="1"/>
    <col min="7" max="7" width="3.5703125" customWidth="1"/>
    <col min="8" max="8" width="6.140625" style="413" hidden="1" customWidth="1"/>
    <col min="9" max="9" width="5.42578125" style="413" hidden="1" customWidth="1"/>
    <col min="10" max="10" width="7" style="413" hidden="1" customWidth="1"/>
    <col min="11" max="11" width="4.28515625" hidden="1" customWidth="1"/>
    <col min="12" max="12" width="15" style="413" customWidth="1"/>
    <col min="13" max="14" width="22.42578125" style="413" customWidth="1"/>
    <col min="15" max="15" width="1.85546875" style="413" customWidth="1"/>
  </cols>
  <sheetData>
    <row r="1" spans="1:18" s="551" customFormat="1" ht="130.5" customHeight="1" thickBot="1">
      <c r="A1" s="1344"/>
      <c r="B1" s="1345"/>
      <c r="C1" s="1345"/>
      <c r="D1" s="1345"/>
      <c r="E1" s="1345"/>
      <c r="F1" s="1345"/>
      <c r="G1" s="1345"/>
      <c r="H1" s="1345"/>
      <c r="I1" s="1345"/>
      <c r="J1" s="1345"/>
      <c r="K1" s="1345"/>
      <c r="L1" s="1345"/>
      <c r="M1" s="1345"/>
      <c r="N1" s="1345"/>
      <c r="O1" s="1345"/>
      <c r="P1" s="1346"/>
      <c r="Q1"/>
      <c r="R1"/>
    </row>
    <row r="2" spans="1:18" s="552" customFormat="1" ht="16.5" thickBot="1">
      <c r="A2" s="1352" t="str">
        <f>'Datos Generales'!C5</f>
        <v>Corporación Autónoma Regional de La Guajira – CORPOGUAJIRA</v>
      </c>
      <c r="B2" s="1353"/>
      <c r="C2" s="1353"/>
      <c r="D2" s="1353"/>
      <c r="E2" s="1353"/>
      <c r="F2" s="1353"/>
      <c r="G2" s="1353"/>
      <c r="H2" s="1353"/>
      <c r="I2" s="1353"/>
      <c r="J2" s="1353"/>
      <c r="K2" s="1353"/>
      <c r="L2" s="1353"/>
      <c r="M2" s="1353"/>
      <c r="N2" s="1353"/>
      <c r="O2" s="1353"/>
      <c r="P2" s="1354"/>
      <c r="Q2"/>
      <c r="R2"/>
    </row>
    <row r="3" spans="1:18" s="552" customFormat="1" ht="16.5" thickBot="1">
      <c r="A3" s="1347" t="s">
        <v>1419</v>
      </c>
      <c r="B3" s="1348"/>
      <c r="C3" s="1348"/>
      <c r="D3" s="1348"/>
      <c r="E3" s="1348"/>
      <c r="F3" s="1348"/>
      <c r="G3" s="1348"/>
      <c r="H3" s="1348"/>
      <c r="I3" s="1348"/>
      <c r="J3" s="1348"/>
      <c r="K3" s="1348"/>
      <c r="L3" s="1348"/>
      <c r="M3" s="1348"/>
      <c r="N3" s="1348"/>
      <c r="O3" s="1348"/>
      <c r="P3" s="1349"/>
      <c r="Q3"/>
      <c r="R3"/>
    </row>
    <row r="4" spans="1:18" s="552" customFormat="1" ht="30.75" customHeight="1" thickBot="1">
      <c r="A4" s="1350" t="s">
        <v>1418</v>
      </c>
      <c r="B4" s="1351"/>
      <c r="C4" s="571" t="str">
        <f>'Datos Generales'!C6</f>
        <v>2016-II</v>
      </c>
      <c r="D4" s="571"/>
      <c r="E4" s="571"/>
      <c r="F4" s="571"/>
      <c r="G4" s="571"/>
      <c r="H4" s="571"/>
      <c r="I4" s="571"/>
      <c r="J4" s="571"/>
      <c r="K4" s="571"/>
      <c r="L4" s="572"/>
      <c r="M4" s="572"/>
      <c r="N4" s="572"/>
      <c r="O4" s="572"/>
      <c r="P4" s="573"/>
      <c r="Q4"/>
      <c r="R4"/>
    </row>
    <row r="5" spans="1:18" ht="30" customHeight="1">
      <c r="A5" s="517" t="s">
        <v>24</v>
      </c>
      <c r="B5" s="517" t="s">
        <v>1202</v>
      </c>
      <c r="C5" s="518">
        <v>2016</v>
      </c>
      <c r="D5" s="523">
        <v>2017</v>
      </c>
      <c r="E5" s="523">
        <v>2018</v>
      </c>
      <c r="F5" s="523">
        <v>2019</v>
      </c>
      <c r="H5" s="515" t="s">
        <v>1268</v>
      </c>
      <c r="I5" s="515" t="s">
        <v>1269</v>
      </c>
      <c r="J5" s="515" t="s">
        <v>60</v>
      </c>
      <c r="L5" s="516" t="s">
        <v>1266</v>
      </c>
      <c r="M5" s="516" t="s">
        <v>1270</v>
      </c>
      <c r="N5" s="526" t="s">
        <v>60</v>
      </c>
      <c r="O5" s="529" t="s">
        <v>899</v>
      </c>
      <c r="P5" s="527"/>
    </row>
    <row r="6" spans="1:18" ht="45" customHeight="1">
      <c r="A6" s="357" t="s">
        <v>1167</v>
      </c>
      <c r="B6" s="358" t="s">
        <v>1168</v>
      </c>
      <c r="C6" s="544">
        <f ca="1">+'1POMCAS'!D8</f>
        <v>0.14583333333333334</v>
      </c>
      <c r="D6" s="524"/>
      <c r="E6" s="525"/>
      <c r="F6" s="525"/>
      <c r="H6" s="522">
        <f>'1POMCAS'!F11</f>
        <v>0</v>
      </c>
      <c r="I6" s="522" t="str">
        <f>+'1POMCAS'!E12</f>
        <v>Proyecto No 1.1.Planificación, Ordenamiento e Información Ambiental Territorial (1)</v>
      </c>
      <c r="J6" s="522" t="str">
        <f>+'1POMCAS'!E13</f>
        <v xml:space="preserve">El Plan de Manejo del sistema de acuifero de Maicao se adoptó en el 2011 </v>
      </c>
      <c r="L6" s="546" t="str">
        <f t="shared" ref="L6:L32" ca="1" si="0">IF(ISNUMBER(C6),"",H6)</f>
        <v/>
      </c>
      <c r="M6" s="546" t="str">
        <f t="shared" ref="M6:M32" si="1">IF(ISNUMBER(I6),"",I6)</f>
        <v>Proyecto No 1.1.Planificación, Ordenamiento e Información Ambiental Territorial (1)</v>
      </c>
      <c r="N6" s="547" t="str">
        <f t="shared" ref="N6:N32" si="2">IF(ISNUMBER(J6),"",J6)</f>
        <v xml:space="preserve">El Plan de Manejo del sistema de acuifero de Maicao se adoptó en el 2011 </v>
      </c>
      <c r="O6" s="530" t="s">
        <v>899</v>
      </c>
      <c r="P6" s="528"/>
    </row>
    <row r="7" spans="1:18" ht="72">
      <c r="A7" s="357" t="s">
        <v>1169</v>
      </c>
      <c r="B7" s="358" t="s">
        <v>136</v>
      </c>
      <c r="C7" s="545">
        <f>+'2PORH'!D8</f>
        <v>0.5</v>
      </c>
      <c r="D7" s="525"/>
      <c r="E7" s="525"/>
      <c r="F7" s="525"/>
      <c r="H7" s="522" t="str">
        <f>+'2PORH'!F11</f>
        <v>Acuerdo # 008 del 11 de Mayo de 2016</v>
      </c>
      <c r="I7" s="522" t="str">
        <f>+'2PORH'!E12</f>
        <v>Proyecto 2.1. Administración de la oferta y demanda del recurso hídrico. (Superficiales y subterráneas) (4).</v>
      </c>
      <c r="J7" s="522" t="str">
        <f>+'2PORH'!E13</f>
        <v>El Plan de Acción no se programó meta para el primer año</v>
      </c>
      <c r="L7" s="546" t="str">
        <f t="shared" si="0"/>
        <v/>
      </c>
      <c r="M7" s="546" t="str">
        <f t="shared" si="1"/>
        <v>Proyecto 2.1. Administración de la oferta y demanda del recurso hídrico. (Superficiales y subterráneas) (4).</v>
      </c>
      <c r="N7" s="547" t="str">
        <f t="shared" si="2"/>
        <v>El Plan de Acción no se programó meta para el primer año</v>
      </c>
      <c r="O7" s="530" t="s">
        <v>899</v>
      </c>
      <c r="P7" s="528"/>
    </row>
    <row r="8" spans="1:18" ht="72">
      <c r="A8" s="357" t="s">
        <v>1170</v>
      </c>
      <c r="B8" s="358" t="s">
        <v>168</v>
      </c>
      <c r="C8" s="545">
        <f>+'3PSMV'!D8</f>
        <v>0.64</v>
      </c>
      <c r="D8" s="525"/>
      <c r="E8" s="525"/>
      <c r="F8" s="525"/>
      <c r="H8" s="522">
        <f>+'3PSMV'!F11</f>
        <v>0</v>
      </c>
      <c r="I8" s="522" t="str">
        <f>+'3PSMV'!E12</f>
        <v>Proyecto No. 6.1.  (13). Evaluación, Seguimiento, Monitoreo y Control de la calidad de los recursos naturales y la biodiversidad.</v>
      </c>
      <c r="J8" s="522">
        <f>+'3PSMV'!E13</f>
        <v>0</v>
      </c>
      <c r="L8" s="546" t="str">
        <f t="shared" si="0"/>
        <v/>
      </c>
      <c r="M8" s="546" t="str">
        <f t="shared" si="1"/>
        <v>Proyecto No. 6.1.  (13). Evaluación, Seguimiento, Monitoreo y Control de la calidad de los recursos naturales y la biodiversidad.</v>
      </c>
      <c r="N8" s="547" t="str">
        <f t="shared" si="2"/>
        <v/>
      </c>
      <c r="O8" s="530" t="s">
        <v>899</v>
      </c>
      <c r="P8" s="528"/>
    </row>
    <row r="9" spans="1:18" ht="72">
      <c r="A9" s="357" t="s">
        <v>1171</v>
      </c>
      <c r="B9" s="358" t="s">
        <v>189</v>
      </c>
      <c r="C9" s="545" t="str">
        <f>+'4UsoAguas'!D8</f>
        <v>N.A.</v>
      </c>
      <c r="D9" s="525"/>
      <c r="E9" s="525"/>
      <c r="F9" s="525"/>
      <c r="H9" s="522" t="str">
        <f>+'4UsoAguas'!F11</f>
        <v>Acuerdo # 008 del 11 de Mayo de 2016</v>
      </c>
      <c r="I9" s="522" t="str">
        <f>+'4UsoAguas'!E12</f>
        <v>Proyecto 2.1. Administración de la oferta y demanda del recurso hídrico. (Superficiales y subterráneas) (4).</v>
      </c>
      <c r="J9" s="522" t="str">
        <f>+'4UsoAguas'!E13</f>
        <v>El Plan de Acción 2016 - 2019 no se programó meta para el primer año. Solo la programa para el tercer año</v>
      </c>
      <c r="L9" s="546" t="str">
        <f t="shared" si="0"/>
        <v>Acuerdo # 008 del 11 de Mayo de 2016</v>
      </c>
      <c r="M9" s="546" t="str">
        <f t="shared" si="1"/>
        <v>Proyecto 2.1. Administración de la oferta y demanda del recurso hídrico. (Superficiales y subterráneas) (4).</v>
      </c>
      <c r="N9" s="547" t="str">
        <f t="shared" si="2"/>
        <v>El Plan de Acción 2016 - 2019 no se programó meta para el primer año. Solo la programa para el tercer año</v>
      </c>
      <c r="O9" s="530" t="s">
        <v>899</v>
      </c>
      <c r="P9" s="528"/>
    </row>
    <row r="10" spans="1:18" ht="72">
      <c r="A10" s="357" t="s">
        <v>1172</v>
      </c>
      <c r="B10" s="358" t="s">
        <v>207</v>
      </c>
      <c r="C10" s="545">
        <f>+'5PUEAA'!D8</f>
        <v>0.2857142857142857</v>
      </c>
      <c r="D10" s="525"/>
      <c r="E10" s="525"/>
      <c r="F10" s="525"/>
      <c r="H10" s="522">
        <f>+'5PUEAA'!F11</f>
        <v>0</v>
      </c>
      <c r="I10" s="522" t="str">
        <f>+'5PUEAA'!E12</f>
        <v>Proyecto No. 6.1.  (13). Evaluación, Seguimiento, Monitoreo y Control de la calidad de los recursos naturales y la biodiversidad.</v>
      </c>
      <c r="J10" s="522">
        <f>+'5PUEAA'!E13</f>
        <v>0</v>
      </c>
      <c r="L10" s="546" t="str">
        <f t="shared" si="0"/>
        <v/>
      </c>
      <c r="M10" s="546" t="str">
        <f t="shared" si="1"/>
        <v>Proyecto No. 6.1.  (13). Evaluación, Seguimiento, Monitoreo y Control de la calidad de los recursos naturales y la biodiversidad.</v>
      </c>
      <c r="N10" s="547" t="str">
        <f t="shared" si="2"/>
        <v/>
      </c>
      <c r="O10" s="530" t="s">
        <v>899</v>
      </c>
      <c r="P10" s="528"/>
    </row>
    <row r="11" spans="1:18" ht="48">
      <c r="A11" s="357" t="s">
        <v>1173</v>
      </c>
      <c r="B11" s="358" t="s">
        <v>228</v>
      </c>
      <c r="C11" s="545">
        <f>+'6POMCASejec'!D8</f>
        <v>0.75</v>
      </c>
      <c r="D11" s="525"/>
      <c r="E11" s="525"/>
      <c r="F11" s="525"/>
      <c r="H11" s="522">
        <f>+'6POMCASejec'!F11</f>
        <v>0</v>
      </c>
      <c r="I11" s="522" t="str">
        <f>+'6POMCASejec'!E12</f>
        <v>Proyecto No 3.1. Ecosistemas estratégicos continentales y marinos (6).</v>
      </c>
      <c r="J11" s="522">
        <f>+'6POMCASejec'!E13</f>
        <v>0</v>
      </c>
      <c r="L11" s="546" t="str">
        <f t="shared" si="0"/>
        <v/>
      </c>
      <c r="M11" s="546" t="str">
        <f t="shared" si="1"/>
        <v>Proyecto No 3.1. Ecosistemas estratégicos continentales y marinos (6).</v>
      </c>
      <c r="N11" s="547" t="str">
        <f t="shared" si="2"/>
        <v/>
      </c>
      <c r="O11" s="530" t="s">
        <v>899</v>
      </c>
      <c r="P11" s="528"/>
    </row>
    <row r="12" spans="1:18" ht="60">
      <c r="A12" s="357" t="s">
        <v>1174</v>
      </c>
      <c r="B12" s="358" t="s">
        <v>288</v>
      </c>
      <c r="C12" s="545">
        <f>+'7Clima'!D8</f>
        <v>0.875</v>
      </c>
      <c r="D12" s="525"/>
      <c r="E12" s="525"/>
      <c r="F12" s="525"/>
      <c r="H12" s="522">
        <f>+'7Clima'!F11</f>
        <v>0</v>
      </c>
      <c r="I12" s="522" t="str">
        <f>+'7Clima'!E12</f>
        <v>Proyecto No 1.1.Planificación, Ordenamiento e Información Ambiental Territorial (1)</v>
      </c>
      <c r="J12" s="522">
        <f>+'7Clima'!E13</f>
        <v>0</v>
      </c>
      <c r="L12" s="546" t="str">
        <f t="shared" si="0"/>
        <v/>
      </c>
      <c r="M12" s="546" t="str">
        <f t="shared" si="1"/>
        <v>Proyecto No 1.1.Planificación, Ordenamiento e Información Ambiental Territorial (1)</v>
      </c>
      <c r="N12" s="547" t="str">
        <f t="shared" si="2"/>
        <v/>
      </c>
      <c r="O12" s="530" t="s">
        <v>899</v>
      </c>
      <c r="P12" s="528"/>
    </row>
    <row r="13" spans="1:18" ht="48">
      <c r="A13" s="357" t="s">
        <v>1175</v>
      </c>
      <c r="B13" s="358" t="s">
        <v>322</v>
      </c>
      <c r="C13" s="545">
        <f>+'8Suelo'!D8</f>
        <v>0</v>
      </c>
      <c r="D13" s="525"/>
      <c r="E13" s="525"/>
      <c r="F13" s="525"/>
      <c r="H13" s="522" t="str">
        <f>+'8Suelo'!F11</f>
        <v>Acuerdo # 008 del 11 de mayo de 2016</v>
      </c>
      <c r="I13" s="522" t="str">
        <f>+'8Suelo'!E12</f>
        <v>Proyecto No 3.1. Ecosistemas estratégicos continentales y marinos (6).</v>
      </c>
      <c r="J13" s="522">
        <f>+'8Suelo'!E13</f>
        <v>0</v>
      </c>
      <c r="L13" s="546" t="str">
        <f t="shared" si="0"/>
        <v/>
      </c>
      <c r="M13" s="546" t="str">
        <f t="shared" si="1"/>
        <v>Proyecto No 3.1. Ecosistemas estratégicos continentales y marinos (6).</v>
      </c>
      <c r="N13" s="547" t="str">
        <f t="shared" si="2"/>
        <v/>
      </c>
      <c r="O13" s="530" t="s">
        <v>899</v>
      </c>
      <c r="P13" s="528"/>
    </row>
    <row r="14" spans="1:18" ht="48">
      <c r="A14" s="357" t="s">
        <v>1176</v>
      </c>
      <c r="B14" s="358" t="s">
        <v>356</v>
      </c>
      <c r="C14" s="545">
        <f>+'9RUNAP'!D9</f>
        <v>0</v>
      </c>
      <c r="D14" s="525"/>
      <c r="E14" s="525"/>
      <c r="F14" s="525"/>
      <c r="H14" s="522">
        <f>+'9RUNAP'!F12</f>
        <v>0</v>
      </c>
      <c r="I14" s="522" t="str">
        <f>+'9RUNAP'!E13</f>
        <v>Proyecto No 3.1. Ecosistemas estratégicos continentales y marinos (6).</v>
      </c>
      <c r="J14" s="522">
        <f>+'9RUNAP'!E14</f>
        <v>0</v>
      </c>
      <c r="L14" s="546" t="str">
        <f t="shared" si="0"/>
        <v/>
      </c>
      <c r="M14" s="546" t="str">
        <f t="shared" si="1"/>
        <v>Proyecto No 3.1. Ecosistemas estratégicos continentales y marinos (6).</v>
      </c>
      <c r="N14" s="547" t="str">
        <f t="shared" si="2"/>
        <v/>
      </c>
      <c r="O14" s="530" t="s">
        <v>899</v>
      </c>
      <c r="P14" s="528"/>
    </row>
    <row r="15" spans="1:18" ht="60">
      <c r="A15" s="357" t="s">
        <v>1177</v>
      </c>
      <c r="B15" s="358" t="s">
        <v>404</v>
      </c>
      <c r="C15" s="545">
        <f>'10Paramos'!D8</f>
        <v>0</v>
      </c>
      <c r="D15" s="525"/>
      <c r="E15" s="525"/>
      <c r="F15" s="525"/>
      <c r="H15" s="522" t="str">
        <f>'10Paramos'!F11</f>
        <v>Acuerdo # 008 del 11 de Mayo del 2016</v>
      </c>
      <c r="I15" s="522" t="str">
        <f>'10Paramos'!E12</f>
        <v>Proyecto No 1.1.Planificación, Ordenamiento e Información Ambiental Territorial (1)</v>
      </c>
      <c r="J15" s="522" t="str">
        <f>'10Paramos'!E13</f>
        <v>A la espera de los lineamientos para zonificación y regimen de usos.</v>
      </c>
      <c r="L15" s="546" t="str">
        <f t="shared" si="0"/>
        <v/>
      </c>
      <c r="M15" s="546" t="str">
        <f t="shared" si="1"/>
        <v>Proyecto No 1.1.Planificación, Ordenamiento e Información Ambiental Territorial (1)</v>
      </c>
      <c r="N15" s="547" t="str">
        <f t="shared" si="2"/>
        <v>A la espera de los lineamientos para zonificación y regimen de usos.</v>
      </c>
      <c r="O15" s="530" t="s">
        <v>899</v>
      </c>
      <c r="P15" s="528"/>
    </row>
    <row r="16" spans="1:18" ht="36">
      <c r="A16" s="357" t="s">
        <v>1178</v>
      </c>
      <c r="B16" s="358" t="s">
        <v>427</v>
      </c>
      <c r="C16" s="545" t="str">
        <f>+'11Forest'!D8</f>
        <v>SIN INFORMACION</v>
      </c>
      <c r="D16" s="525"/>
      <c r="E16" s="525"/>
      <c r="F16" s="525"/>
      <c r="H16" s="522" t="str">
        <f>+'11Forest'!F11</f>
        <v>Acuerdo # 008 del 11 de Mayo de 2016</v>
      </c>
      <c r="I16" s="522" t="str">
        <f>+'11Forest'!E12</f>
        <v>Proyecto No 3.2. Protección y conservación de la biodiversidad (7).</v>
      </c>
      <c r="J16" s="522">
        <f>+'11Forest'!E13</f>
        <v>0</v>
      </c>
      <c r="L16" s="546" t="str">
        <f t="shared" si="0"/>
        <v>Acuerdo # 008 del 11 de Mayo de 2016</v>
      </c>
      <c r="M16" s="546" t="str">
        <f t="shared" si="1"/>
        <v>Proyecto No 3.2. Protección y conservación de la biodiversidad (7).</v>
      </c>
      <c r="N16" s="547" t="str">
        <f t="shared" si="2"/>
        <v/>
      </c>
      <c r="O16" s="530" t="s">
        <v>899</v>
      </c>
      <c r="P16" s="528"/>
    </row>
    <row r="17" spans="1:16" ht="48">
      <c r="A17" s="357" t="s">
        <v>1179</v>
      </c>
      <c r="B17" s="358" t="s">
        <v>459</v>
      </c>
      <c r="C17" s="545">
        <f>+'12PlanesAP'!D8</f>
        <v>1</v>
      </c>
      <c r="D17" s="525"/>
      <c r="E17" s="525"/>
      <c r="F17" s="525"/>
      <c r="H17" s="522">
        <f>+'12PlanesAP'!F11</f>
        <v>0</v>
      </c>
      <c r="I17" s="522" t="str">
        <f>+'12PlanesAP'!E12</f>
        <v>Proyecto No 3.1. Ecosistemas estratégicos continentales y marinos (6).</v>
      </c>
      <c r="J17" s="522">
        <f>+'12PlanesAP'!E13</f>
        <v>0</v>
      </c>
      <c r="L17" s="546" t="str">
        <f t="shared" si="0"/>
        <v/>
      </c>
      <c r="M17" s="546" t="str">
        <f t="shared" si="1"/>
        <v>Proyecto No 3.1. Ecosistemas estratégicos continentales y marinos (6).</v>
      </c>
      <c r="N17" s="547" t="str">
        <f t="shared" si="2"/>
        <v/>
      </c>
      <c r="O17" s="530" t="s">
        <v>899</v>
      </c>
      <c r="P17" s="528"/>
    </row>
    <row r="18" spans="1:16" ht="36">
      <c r="A18" s="357" t="s">
        <v>1180</v>
      </c>
      <c r="B18" s="358" t="s">
        <v>489</v>
      </c>
      <c r="C18" s="545">
        <f>+'13Amenaz'!D8</f>
        <v>0.26470588235294118</v>
      </c>
      <c r="D18" s="525"/>
      <c r="E18" s="525"/>
      <c r="F18" s="525"/>
      <c r="H18" s="522">
        <f>+'13Amenaz'!F11</f>
        <v>0</v>
      </c>
      <c r="I18" s="522" t="str">
        <f>+'13Amenaz'!E12</f>
        <v>Proyecto No 3.2. Protección y conservación de la biodiversidad (7).</v>
      </c>
      <c r="J18" s="522">
        <f>+'13Amenaz'!E13</f>
        <v>0</v>
      </c>
      <c r="L18" s="546" t="str">
        <f t="shared" si="0"/>
        <v/>
      </c>
      <c r="M18" s="546" t="str">
        <f t="shared" si="1"/>
        <v>Proyecto No 3.2. Protección y conservación de la biodiversidad (7).</v>
      </c>
      <c r="N18" s="547" t="str">
        <f t="shared" si="2"/>
        <v/>
      </c>
      <c r="O18" s="530" t="s">
        <v>899</v>
      </c>
      <c r="P18" s="528"/>
    </row>
    <row r="19" spans="1:16" ht="36">
      <c r="A19" s="357" t="s">
        <v>1181</v>
      </c>
      <c r="B19" s="358" t="s">
        <v>535</v>
      </c>
      <c r="C19" s="545">
        <f>+'14Invasor'!D8</f>
        <v>0.5</v>
      </c>
      <c r="D19" s="525"/>
      <c r="E19" s="525"/>
      <c r="F19" s="525"/>
      <c r="H19" s="522">
        <f>+'14Invasor'!F11</f>
        <v>0</v>
      </c>
      <c r="I19" s="522" t="str">
        <f>+'14Invasor'!E12</f>
        <v>Proyecto No 3.2. Protección y conservación de la biodiversidad (7).</v>
      </c>
      <c r="J19" s="522">
        <f>+'14Invasor'!E13</f>
        <v>0</v>
      </c>
      <c r="L19" s="546" t="str">
        <f t="shared" si="0"/>
        <v/>
      </c>
      <c r="M19" s="546" t="str">
        <f t="shared" si="1"/>
        <v>Proyecto No 3.2. Protección y conservación de la biodiversidad (7).</v>
      </c>
      <c r="N19" s="547" t="str">
        <f t="shared" si="2"/>
        <v/>
      </c>
      <c r="O19" s="530" t="s">
        <v>899</v>
      </c>
      <c r="P19" s="528"/>
    </row>
    <row r="20" spans="1:16" ht="36">
      <c r="A20" s="357" t="s">
        <v>1182</v>
      </c>
      <c r="B20" s="358" t="s">
        <v>566</v>
      </c>
      <c r="C20" s="545">
        <f>+'15Restaura'!D8</f>
        <v>0.53500000000000003</v>
      </c>
      <c r="D20" s="525"/>
      <c r="E20" s="525"/>
      <c r="F20" s="525"/>
      <c r="H20" s="522">
        <f>+'15Restaura'!F11</f>
        <v>0</v>
      </c>
      <c r="I20" s="522" t="str">
        <f>+'15Restaura'!E12</f>
        <v>Programa No 3. Bosques, Biodiversidad y Servicios Ecosistemicos.</v>
      </c>
      <c r="J20" s="522">
        <f>+'15Restaura'!E13</f>
        <v>0</v>
      </c>
      <c r="L20" s="546" t="str">
        <f t="shared" si="0"/>
        <v/>
      </c>
      <c r="M20" s="546" t="str">
        <f t="shared" si="1"/>
        <v>Programa No 3. Bosques, Biodiversidad y Servicios Ecosistemicos.</v>
      </c>
      <c r="N20" s="547" t="str">
        <f t="shared" si="2"/>
        <v/>
      </c>
      <c r="O20" s="530" t="s">
        <v>899</v>
      </c>
      <c r="P20" s="528"/>
    </row>
    <row r="21" spans="1:16" ht="48">
      <c r="A21" s="357" t="s">
        <v>1183</v>
      </c>
      <c r="B21" s="358" t="s">
        <v>594</v>
      </c>
      <c r="C21" s="545" t="str">
        <f>+'16MIZC'!D8</f>
        <v>SIN INFORMACION</v>
      </c>
      <c r="D21" s="525"/>
      <c r="E21" s="525"/>
      <c r="F21" s="525"/>
      <c r="H21" s="522" t="str">
        <f>+'16MIZC'!F11</f>
        <v>Acuerdo # 008 del 11 de Mayo de 2016</v>
      </c>
      <c r="I21" s="522" t="str">
        <f>+'16MIZC'!E12</f>
        <v>Proyecto No 3.1. Ecosistemas estratégicos continentales y marinos (6).</v>
      </c>
      <c r="J21" s="522">
        <f>+'16MIZC'!E13</f>
        <v>0</v>
      </c>
      <c r="L21" s="546" t="str">
        <f t="shared" si="0"/>
        <v>Acuerdo # 008 del 11 de Mayo de 2016</v>
      </c>
      <c r="M21" s="546" t="str">
        <f t="shared" si="1"/>
        <v>Proyecto No 3.1. Ecosistemas estratégicos continentales y marinos (6).</v>
      </c>
      <c r="N21" s="547" t="str">
        <f t="shared" si="2"/>
        <v/>
      </c>
      <c r="O21" s="530" t="s">
        <v>899</v>
      </c>
      <c r="P21" s="528"/>
    </row>
    <row r="22" spans="1:16" ht="72">
      <c r="A22" s="357" t="s">
        <v>1184</v>
      </c>
      <c r="B22" s="358" t="s">
        <v>643</v>
      </c>
      <c r="C22" s="545">
        <f>+'17PGIRS'!D8</f>
        <v>0.46666666666666667</v>
      </c>
      <c r="D22" s="525"/>
      <c r="E22" s="525"/>
      <c r="F22" s="525"/>
      <c r="H22" s="522">
        <f>+'17PGIRS'!F11</f>
        <v>0</v>
      </c>
      <c r="I22" s="522" t="str">
        <f>+'17PGIRS'!E12</f>
        <v>Proyecto No. 6.1.  (13). Evaluación, Seguimiento, Monitoreo y Control de la calidad de los recursos naturales y la biodiversidad.</v>
      </c>
      <c r="J22" s="522">
        <f>+'17PGIRS'!E13</f>
        <v>0</v>
      </c>
      <c r="L22" s="546" t="str">
        <f t="shared" si="0"/>
        <v/>
      </c>
      <c r="M22" s="546" t="str">
        <f t="shared" si="1"/>
        <v>Proyecto No. 6.1.  (13). Evaluación, Seguimiento, Monitoreo y Control de la calidad de los recursos naturales y la biodiversidad.</v>
      </c>
      <c r="N22" s="547" t="str">
        <f t="shared" si="2"/>
        <v/>
      </c>
      <c r="O22" s="530" t="s">
        <v>899</v>
      </c>
      <c r="P22" s="528"/>
    </row>
    <row r="23" spans="1:16" ht="25.5">
      <c r="A23" s="357" t="s">
        <v>1185</v>
      </c>
      <c r="B23" s="358" t="s">
        <v>664</v>
      </c>
      <c r="C23" s="545">
        <f>+'18Sector'!D8</f>
        <v>0.25</v>
      </c>
      <c r="D23" s="525"/>
      <c r="E23" s="525"/>
      <c r="F23" s="525"/>
      <c r="H23" s="522">
        <f>+'18Sector'!F11</f>
        <v>0</v>
      </c>
      <c r="I23" s="522" t="str">
        <f>+'18Sector'!E12</f>
        <v>Proyecto No 4.2. Gestión Ambiental Sectorial (10)</v>
      </c>
      <c r="J23" s="522">
        <f>+'18Sector'!E13</f>
        <v>0</v>
      </c>
      <c r="L23" s="546" t="str">
        <f t="shared" si="0"/>
        <v/>
      </c>
      <c r="M23" s="546" t="str">
        <f t="shared" si="1"/>
        <v>Proyecto No 4.2. Gestión Ambiental Sectorial (10)</v>
      </c>
      <c r="N23" s="547" t="str">
        <f t="shared" si="2"/>
        <v/>
      </c>
      <c r="O23" s="530" t="s">
        <v>899</v>
      </c>
      <c r="P23" s="528"/>
    </row>
    <row r="24" spans="1:16" ht="120">
      <c r="A24" s="357" t="s">
        <v>1186</v>
      </c>
      <c r="B24" s="358" t="s">
        <v>717</v>
      </c>
      <c r="C24" s="545">
        <f>+'19GAU'!D8</f>
        <v>0.41399999999999992</v>
      </c>
      <c r="D24" s="525"/>
      <c r="E24" s="525"/>
      <c r="F24" s="525"/>
      <c r="H24" s="522">
        <f>+'19GAU'!F11</f>
        <v>0</v>
      </c>
      <c r="I24" s="522" t="str">
        <f>+'19GAU'!E12</f>
        <v>Programa No 4. Gestion Ambiental Sectorial y Urbana.</v>
      </c>
      <c r="J24" s="522" t="str">
        <f>+'19GAU'!E13</f>
        <v>El proyecto plantea en el PA 12 actividades/ Acciones de las cules en el año 1 se trabajan 10, en el año 2 12; en el año 3 once (11) y en el año 4 diez (10), por que dos se ejecutan en su totalidad en el año 2: El total de acciones del proyecto en el PA son 12.</v>
      </c>
      <c r="L24" s="546" t="str">
        <f t="shared" si="0"/>
        <v/>
      </c>
      <c r="M24" s="546" t="str">
        <f t="shared" si="1"/>
        <v>Programa No 4. Gestion Ambiental Sectorial y Urbana.</v>
      </c>
      <c r="N24" s="547" t="str">
        <f t="shared" si="2"/>
        <v>El proyecto plantea en el PA 12 actividades/ Acciones de las cules en el año 1 se trabajan 10, en el año 2 12; en el año 3 once (11) y en el año 4 diez (10), por que dos se ejecutan en su totalidad en el año 2: El total de acciones del proyecto en el PA son 12.</v>
      </c>
      <c r="O24" s="530" t="s">
        <v>899</v>
      </c>
      <c r="P24" s="528"/>
    </row>
    <row r="25" spans="1:16" ht="25.5">
      <c r="A25" s="357" t="s">
        <v>1187</v>
      </c>
      <c r="B25" s="358" t="s">
        <v>790</v>
      </c>
      <c r="C25" s="545">
        <f>+'20Negoc'!D8</f>
        <v>0.16500000000000001</v>
      </c>
      <c r="D25" s="525"/>
      <c r="E25" s="525"/>
      <c r="F25" s="525"/>
      <c r="H25" s="522">
        <f>+'20Negoc'!F11</f>
        <v>0</v>
      </c>
      <c r="I25" s="522" t="str">
        <f>+'20Negoc'!E12</f>
        <v>Proyecto No 3.3. Negocios verdes y sostenibles (8).</v>
      </c>
      <c r="J25" s="522">
        <f>+'20Negoc'!E13</f>
        <v>0</v>
      </c>
      <c r="L25" s="546" t="str">
        <f t="shared" si="0"/>
        <v/>
      </c>
      <c r="M25" s="546" t="str">
        <f t="shared" si="1"/>
        <v>Proyecto No 3.3. Negocios verdes y sostenibles (8).</v>
      </c>
      <c r="N25" s="547" t="str">
        <f t="shared" si="2"/>
        <v/>
      </c>
      <c r="O25" s="530" t="s">
        <v>899</v>
      </c>
      <c r="P25" s="528"/>
    </row>
    <row r="26" spans="1:16" ht="60">
      <c r="A26" s="357" t="s">
        <v>1188</v>
      </c>
      <c r="B26" s="358" t="s">
        <v>855</v>
      </c>
      <c r="C26" s="545">
        <f>+'21TiempoT'!D8</f>
        <v>0.73281680645807956</v>
      </c>
      <c r="D26" s="525"/>
      <c r="E26" s="525"/>
      <c r="F26" s="525"/>
      <c r="H26" s="522">
        <f>+'21TiempoT'!F11</f>
        <v>0</v>
      </c>
      <c r="I26" s="522" t="str">
        <f>+'21TiempoT'!E12</f>
        <v>Proyecto No 1.1.Planificación, Ordenamiento e Información Ambiental Territorial (1)</v>
      </c>
      <c r="J26" s="522">
        <f>+'21TiempoT'!E13</f>
        <v>0</v>
      </c>
      <c r="L26" s="546" t="str">
        <f t="shared" si="0"/>
        <v/>
      </c>
      <c r="M26" s="546" t="str">
        <f t="shared" si="1"/>
        <v>Proyecto No 1.1.Planificación, Ordenamiento e Información Ambiental Territorial (1)</v>
      </c>
      <c r="N26" s="547" t="str">
        <f t="shared" si="2"/>
        <v/>
      </c>
      <c r="O26" s="530" t="s">
        <v>899</v>
      </c>
      <c r="P26" s="528"/>
    </row>
    <row r="27" spans="1:16" ht="72">
      <c r="A27" s="357" t="s">
        <v>1189</v>
      </c>
      <c r="B27" s="358" t="s">
        <v>898</v>
      </c>
      <c r="C27" s="545">
        <f>+'22Autor'!D8</f>
        <v>0.54478849644003913</v>
      </c>
      <c r="D27" s="525"/>
      <c r="E27" s="525"/>
      <c r="F27" s="525"/>
      <c r="H27" s="522">
        <f>+'22Autor'!F11</f>
        <v>0</v>
      </c>
      <c r="I27" s="522" t="str">
        <f>+'22Autor'!E12</f>
        <v>Proyecto No. 6.1.  (13). Evaluación, Seguimiento, Monitoreo y Control de la calidad de los recursos naturales y la biodiversidad.</v>
      </c>
      <c r="J27" s="522">
        <f>+'22Autor'!E13</f>
        <v>0</v>
      </c>
      <c r="L27" s="546" t="str">
        <f t="shared" si="0"/>
        <v/>
      </c>
      <c r="M27" s="546" t="str">
        <f t="shared" si="1"/>
        <v>Proyecto No. 6.1.  (13). Evaluación, Seguimiento, Monitoreo y Control de la calidad de los recursos naturales y la biodiversidad.</v>
      </c>
      <c r="N27" s="547" t="str">
        <f t="shared" si="2"/>
        <v/>
      </c>
      <c r="O27" s="530" t="s">
        <v>899</v>
      </c>
      <c r="P27" s="528"/>
    </row>
    <row r="28" spans="1:16" ht="72">
      <c r="A28" s="357" t="s">
        <v>1190</v>
      </c>
      <c r="B28" s="358" t="s">
        <v>963</v>
      </c>
      <c r="C28" s="545">
        <f>+'22Autor'!D8</f>
        <v>0.54478849644003913</v>
      </c>
      <c r="D28" s="525"/>
      <c r="E28" s="525"/>
      <c r="F28" s="525"/>
      <c r="H28" s="522">
        <f>+'22Autor'!F11</f>
        <v>0</v>
      </c>
      <c r="I28" s="522" t="str">
        <f>+'22Autor'!E12</f>
        <v>Proyecto No. 6.1.  (13). Evaluación, Seguimiento, Monitoreo y Control de la calidad de los recursos naturales y la biodiversidad.</v>
      </c>
      <c r="J28" s="522">
        <f>+'22Autor'!E13</f>
        <v>0</v>
      </c>
      <c r="L28" s="546" t="str">
        <f t="shared" si="0"/>
        <v/>
      </c>
      <c r="M28" s="546" t="str">
        <f t="shared" si="1"/>
        <v>Proyecto No. 6.1.  (13). Evaluación, Seguimiento, Monitoreo y Control de la calidad de los recursos naturales y la biodiversidad.</v>
      </c>
      <c r="N28" s="547" t="str">
        <f t="shared" si="2"/>
        <v/>
      </c>
      <c r="O28" s="530" t="s">
        <v>899</v>
      </c>
      <c r="P28" s="528"/>
    </row>
    <row r="29" spans="1:16" ht="60">
      <c r="A29" s="357" t="s">
        <v>1191</v>
      </c>
      <c r="B29" s="358" t="s">
        <v>984</v>
      </c>
      <c r="C29" s="545">
        <f>'24POT'!D7</f>
        <v>0.8666666666666667</v>
      </c>
      <c r="D29" s="525"/>
      <c r="E29" s="525"/>
      <c r="F29" s="525"/>
      <c r="H29" s="522">
        <f>'24POT'!F10</f>
        <v>0</v>
      </c>
      <c r="I29" s="522" t="str">
        <f>'24POT'!E11</f>
        <v>Proyecto No 1.1.Planificación, Ordenamiento e Información Ambiental Territorial (1)</v>
      </c>
      <c r="J29" s="522">
        <f>'24POT'!E12</f>
        <v>0</v>
      </c>
      <c r="L29" s="546" t="str">
        <f t="shared" si="0"/>
        <v/>
      </c>
      <c r="M29" s="546" t="str">
        <f t="shared" si="1"/>
        <v>Proyecto No 1.1.Planificación, Ordenamiento e Información Ambiental Territorial (1)</v>
      </c>
      <c r="N29" s="547" t="str">
        <f t="shared" si="2"/>
        <v/>
      </c>
      <c r="O29" s="530" t="s">
        <v>899</v>
      </c>
      <c r="P29" s="528"/>
    </row>
    <row r="30" spans="1:16" ht="36">
      <c r="A30" s="357" t="s">
        <v>1192</v>
      </c>
      <c r="B30" s="358" t="s">
        <v>1013</v>
      </c>
      <c r="C30" s="545">
        <f>+'25Redes'!D8</f>
        <v>0.15000000000000002</v>
      </c>
      <c r="D30" s="525"/>
      <c r="E30" s="525"/>
      <c r="F30" s="525"/>
      <c r="H30" s="522">
        <f>+'25Redes'!F11</f>
        <v>0</v>
      </c>
      <c r="I30" s="522" t="str">
        <f>+'25Redes'!E12</f>
        <v>Proyecto No 1.2. Gestión del Riesgo y adaptación al Cambio Climático (2)</v>
      </c>
      <c r="J30" s="522">
        <f>+'25Redes'!E13</f>
        <v>0</v>
      </c>
      <c r="L30" s="546" t="str">
        <f t="shared" si="0"/>
        <v/>
      </c>
      <c r="M30" s="546" t="str">
        <f t="shared" si="1"/>
        <v>Proyecto No 1.2. Gestión del Riesgo y adaptación al Cambio Climático (2)</v>
      </c>
      <c r="N30" s="547" t="str">
        <f t="shared" si="2"/>
        <v/>
      </c>
      <c r="O30" s="530" t="s">
        <v>899</v>
      </c>
      <c r="P30" s="528"/>
    </row>
    <row r="31" spans="1:16" ht="60">
      <c r="A31" s="357" t="s">
        <v>1193</v>
      </c>
      <c r="B31" s="358" t="s">
        <v>1086</v>
      </c>
      <c r="C31" s="545">
        <f>+'26SIAC'!D8</f>
        <v>0.56338855039350089</v>
      </c>
      <c r="D31" s="525"/>
      <c r="E31" s="525"/>
      <c r="F31" s="525"/>
      <c r="H31" s="522">
        <f>+'26SIAC'!F11</f>
        <v>0</v>
      </c>
      <c r="I31" s="522" t="str">
        <f>+'26SIAC'!E12</f>
        <v>Proyecto No 1.1.Planificación, Ordenamiento e Información Ambiental Territorial (1)</v>
      </c>
      <c r="J31" s="522">
        <f>+'26SIAC'!E13</f>
        <v>0</v>
      </c>
      <c r="L31" s="546" t="str">
        <f t="shared" si="0"/>
        <v/>
      </c>
      <c r="M31" s="546" t="str">
        <f t="shared" si="1"/>
        <v>Proyecto No 1.1.Planificación, Ordenamiento e Información Ambiental Territorial (1)</v>
      </c>
      <c r="N31" s="547" t="str">
        <f t="shared" si="2"/>
        <v/>
      </c>
      <c r="O31" s="530" t="s">
        <v>899</v>
      </c>
      <c r="P31" s="528"/>
    </row>
    <row r="32" spans="1:16" ht="24">
      <c r="A32" s="357" t="s">
        <v>1194</v>
      </c>
      <c r="B32" s="358" t="s">
        <v>1133</v>
      </c>
      <c r="C32" s="545">
        <f>+'27Educa'!D8</f>
        <v>0.21000000000000002</v>
      </c>
      <c r="D32" s="525"/>
      <c r="E32" s="525"/>
      <c r="F32" s="525"/>
      <c r="H32" s="522">
        <f>+'27Educa'!F11</f>
        <v>0</v>
      </c>
      <c r="I32" s="522" t="str">
        <f>+'27Educa'!E12</f>
        <v>Programa No. 5. Educacion Ambiental</v>
      </c>
      <c r="J32" s="522">
        <f>+'27Educa'!E13</f>
        <v>0</v>
      </c>
      <c r="L32" s="546" t="str">
        <f t="shared" si="0"/>
        <v/>
      </c>
      <c r="M32" s="546" t="str">
        <f t="shared" si="1"/>
        <v>Programa No. 5. Educacion Ambiental</v>
      </c>
      <c r="N32" s="547" t="str">
        <f t="shared" si="2"/>
        <v/>
      </c>
      <c r="O32" s="530" t="s">
        <v>899</v>
      </c>
      <c r="P32" s="528"/>
    </row>
  </sheetData>
  <mergeCells count="4">
    <mergeCell ref="A1:P1"/>
    <mergeCell ref="A3:P3"/>
    <mergeCell ref="A4:B4"/>
    <mergeCell ref="A2:P2"/>
  </mergeCells>
  <conditionalFormatting sqref="C6:C32">
    <cfRule type="colorScale" priority="21">
      <colorScale>
        <cfvo type="min"/>
        <cfvo type="percentile" val="50"/>
        <cfvo type="max"/>
        <color rgb="FFF8696B"/>
        <color rgb="FFFFEB84"/>
        <color rgb="FF63BE7B"/>
      </colorScale>
    </cfRule>
  </conditionalFormatting>
  <conditionalFormatting sqref="H7:I32">
    <cfRule type="colorScale" priority="18">
      <colorScale>
        <cfvo type="min"/>
        <cfvo type="percentile" val="50"/>
        <cfvo type="max"/>
        <color rgb="FFF8696B"/>
        <color rgb="FFFFEB84"/>
        <color rgb="FF63BE7B"/>
      </colorScale>
    </cfRule>
  </conditionalFormatting>
  <conditionalFormatting sqref="L6:L7">
    <cfRule type="colorScale" priority="14">
      <colorScale>
        <cfvo type="min"/>
        <cfvo type="percentile" val="50"/>
        <cfvo type="max"/>
        <color rgb="FFF8696B"/>
        <color rgb="FFFFEB84"/>
        <color rgb="FF63BE7B"/>
      </colorScale>
    </cfRule>
  </conditionalFormatting>
  <conditionalFormatting sqref="L8:L32">
    <cfRule type="colorScale" priority="13">
      <colorScale>
        <cfvo type="min"/>
        <cfvo type="percentile" val="50"/>
        <cfvo type="max"/>
        <color rgb="FFF8696B"/>
        <color rgb="FFFFEB84"/>
        <color rgb="FF63BE7B"/>
      </colorScale>
    </cfRule>
  </conditionalFormatting>
  <conditionalFormatting sqref="M6:M32">
    <cfRule type="colorScale" priority="12">
      <colorScale>
        <cfvo type="min"/>
        <cfvo type="percentile" val="50"/>
        <cfvo type="max"/>
        <color rgb="FFF8696B"/>
        <color rgb="FFFFEB84"/>
        <color rgb="FF63BE7B"/>
      </colorScale>
    </cfRule>
  </conditionalFormatting>
  <conditionalFormatting sqref="N6">
    <cfRule type="colorScale" priority="10">
      <colorScale>
        <cfvo type="min"/>
        <cfvo type="percentile" val="50"/>
        <cfvo type="max"/>
        <color rgb="FFF8696B"/>
        <color rgb="FFFFEB84"/>
        <color rgb="FF63BE7B"/>
      </colorScale>
    </cfRule>
  </conditionalFormatting>
  <conditionalFormatting sqref="N7:N32">
    <cfRule type="colorScale" priority="8">
      <colorScale>
        <cfvo type="min"/>
        <cfvo type="percentile" val="50"/>
        <cfvo type="max"/>
        <color rgb="FFF8696B"/>
        <color rgb="FFFFEB84"/>
        <color rgb="FF63BE7B"/>
      </colorScale>
    </cfRule>
  </conditionalFormatting>
  <conditionalFormatting sqref="J7:J32">
    <cfRule type="colorScale" priority="7">
      <colorScale>
        <cfvo type="min"/>
        <cfvo type="percentile" val="50"/>
        <cfvo type="max"/>
        <color rgb="FFF8696B"/>
        <color rgb="FFFFEB84"/>
        <color rgb="FF63BE7B"/>
      </colorScale>
    </cfRule>
  </conditionalFormatting>
  <conditionalFormatting sqref="H6:I6">
    <cfRule type="colorScale" priority="6">
      <colorScale>
        <cfvo type="min"/>
        <cfvo type="percentile" val="50"/>
        <cfvo type="max"/>
        <color rgb="FFF8696B"/>
        <color rgb="FFFFEB84"/>
        <color rgb="FF63BE7B"/>
      </colorScale>
    </cfRule>
  </conditionalFormatting>
  <conditionalFormatting sqref="J6">
    <cfRule type="colorScale" priority="5">
      <colorScale>
        <cfvo type="min"/>
        <cfvo type="percentile" val="50"/>
        <cfvo type="max"/>
        <color rgb="FFF8696B"/>
        <color rgb="FFFFEB84"/>
        <color rgb="FF63BE7B"/>
      </colorScale>
    </cfRule>
  </conditionalFormatting>
  <conditionalFormatting sqref="O6">
    <cfRule type="colorScale" priority="2">
      <colorScale>
        <cfvo type="min"/>
        <cfvo type="percentile" val="50"/>
        <cfvo type="max"/>
        <color rgb="FFF8696B"/>
        <color rgb="FFFFEB84"/>
        <color rgb="FF63BE7B"/>
      </colorScale>
    </cfRule>
  </conditionalFormatting>
  <conditionalFormatting sqref="O7:O32">
    <cfRule type="colorScale" priority="1">
      <colorScale>
        <cfvo type="min"/>
        <cfvo type="percentile" val="50"/>
        <cfvo type="max"/>
        <color rgb="FFF8696B"/>
        <color rgb="FFFFEB84"/>
        <color rgb="FF63BE7B"/>
      </colorScale>
    </cfRule>
  </conditionalFormatting>
  <hyperlinks>
    <hyperlink ref="B6" location="'1POMCAS'!A1" display="Porcentaje de avance en la formulación y/o ajuste de los Planes de Ordenación y Manejo de Cuencas (POMCAS), Planes de Manejo de Acuíferos (PMA) y Planes de Manejo de Microcuencas (PMM)"/>
    <hyperlink ref="B7" location="'2PORH'!A1" display="Porcentaje de cuerpos de agua con planes de ordenamiento del recurso hídrico (PORH) adoptados"/>
    <hyperlink ref="B8" location="'3PSMV'!_Toc467769470" display="Porcentaje de Planes de Saneamiento y Manejo de Vertimientos (PSMV) con seguimiento"/>
    <hyperlink ref="B9" location="'4UsoAguas'!_Toc467769471" display="Porcentaje de cuerpos de agua con reglamentación del uso de las aguas"/>
    <hyperlink ref="B10" location="'5PUEAA'!_Toc467769472" display="Porcentaje de Programas de Uso Eficiente y Ahorro del Agua (PUEAA) con seguimiento"/>
    <hyperlink ref="B11" location="'6POMCASejec'!_Toc467769473" display="Porcentaje de Planes de Ordenación y Manejo de Cuencas (POMCAS), Planes de Manejo de Acuíferos (PMA) y Planes de Manejo de Microcuencas (PMM) en ejecución"/>
    <hyperlink ref="B12" location="'7Clima'!_Toc467769474" display="Porcentaje de entes territoriales asesorados en la incorporación, planificación y ejecución de acciones relacionadas con cambio climático en el marco de los instrumentos de planificación territorial"/>
    <hyperlink ref="B13" location="'8Suelo'!_Toc467769475" display="Porcentaje de suelos degradados en recuperación o rehabilitación"/>
    <hyperlink ref="B14" location="'9RUNAP'!_Toc467769476" display="Porcentaje de la superficie de áreas protegidas regionales declaradas, homologadas o recategorizadas, inscritas en el RUNAP"/>
    <hyperlink ref="B15" location="'10Paramos'!_Toc467769477" display="Porcentaje de páramos delimitados por el MADS, con zonificación y régimen de usos adoptados por la CAR"/>
    <hyperlink ref="B16" location="'11Forest'!_Toc467769478" display="Porcentaje de avance en la formulación del Plan de Ordenación Forestal"/>
    <hyperlink ref="B17" location="'12PlanesAP'!_Toc467769479" display="Porcentaje de áreas protegidas con planes de manejo en ejecución"/>
    <hyperlink ref="B18" location="'13Amenaz'!_Toc467769480" display="Porcentaje de especies amenazadas con medidas de conservación y manejo en ejecución"/>
    <hyperlink ref="B19" location="'14Invasor'!_Toc467769481" display="Porcentaje de especies invasoras con medidas de prevención, control y manejo en ejecución"/>
    <hyperlink ref="B20" location="'15Restaura'!_Toc467769482" display="Porcentaje de áreas de ecosistemas en restauración, rehabilitación y reforestación"/>
    <hyperlink ref="B21" location="'16MIZC'!_Toc467769483" display="Implementación de acciones en manejo integrado de zonas costeras"/>
    <hyperlink ref="B22" location="'17PGIRS'!_Toc467769484" display="Porcentaje de Planes de Gestión Integral de Residuos Sólidos (PGIRS) con seguimiento a metas de aprovechamiento"/>
    <hyperlink ref="B23" location="'18Sector'!_Toc467769485" display="Porcentaje de sectores con acompañamiento para la reconversión hacia sistemas sostenibles de producción"/>
    <hyperlink ref="B24" location="'19GAU'!_Toc467769486" display="Porcentaje de ejecución de acciones en Gestión Ambiental Urbana"/>
    <hyperlink ref="B25" location="'20Negoc'!_Toc467769487" display="Implementación del Programa Regional de Negocios Verdes por la autoridad ambiental"/>
    <hyperlink ref="B27" location="'22Autor'!_Toc467769489" display="Porcentaje de autorizaciones ambientales con seguimiento"/>
    <hyperlink ref="B28" location="'23Sanc'!_Toc467769490" display="Porcentaje de Procesos Sancionatorios Resueltos"/>
    <hyperlink ref="B29" location="'24POT'!_Toc467769491" display="Porcentaje de municipios asesorados o asistidos en la inclusión del componente ambiental en los procesos de planificación y ordenamiento territorial, con énfasis en la incorporación de las determinantes ambientales para la revisión y ajuste de los POT"/>
    <hyperlink ref="B30" location="'25Redes'!_Toc467769492" display="Porcentaje de redes y estaciones de monitoreo en operación"/>
    <hyperlink ref="B31" location="'26SIAC'!_Toc467769493" display="Porcentaje de actualización y reporte de la información en el SIAC"/>
    <hyperlink ref="B32" location="'27Educa'!_Toc467769494" display="Ejecución de Acciones en Educación Ambiental"/>
    <hyperlink ref="B26" location="'21TiempoT'!_Toc467769488" display="Tiempo promedio de trámite para la resolución de autorizaciones ambientales otorgadas por la corporación"/>
  </hyperlinks>
  <pageMargins left="0.7" right="0.7" top="0.75" bottom="0.75" header="0.3" footer="0.3"/>
  <pageSetup paperSize="178"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0"/>
  <sheetViews>
    <sheetView tabSelected="1" zoomScaleNormal="100" zoomScaleSheetLayoutView="100" workbookViewId="0">
      <selection activeCell="B63" sqref="B63"/>
    </sheetView>
  </sheetViews>
  <sheetFormatPr baseColWidth="10" defaultRowHeight="12.75"/>
  <cols>
    <col min="1" max="1" width="9.140625" style="562" customWidth="1"/>
    <col min="2" max="2" width="49" style="562" customWidth="1"/>
    <col min="3" max="4" width="20.5703125" style="562" customWidth="1"/>
    <col min="5" max="6" width="11.42578125" style="562"/>
    <col min="7" max="7" width="37.42578125" style="562" customWidth="1"/>
    <col min="8" max="9" width="17.5703125" style="562" bestFit="1" customWidth="1"/>
    <col min="10" max="10" width="16.5703125" style="562" bestFit="1" customWidth="1"/>
    <col min="11" max="16384" width="11.42578125" style="562"/>
  </cols>
  <sheetData>
    <row r="1" spans="1:8" ht="130.5" customHeight="1">
      <c r="A1" s="561"/>
      <c r="B1" s="561"/>
      <c r="C1" s="561"/>
      <c r="D1" s="561"/>
    </row>
    <row r="2" spans="1:8" ht="7.5" customHeight="1"/>
    <row r="3" spans="1:8">
      <c r="A3" s="1356" t="s">
        <v>1524</v>
      </c>
      <c r="B3" s="1356"/>
      <c r="C3" s="1356"/>
      <c r="D3" s="1356"/>
    </row>
    <row r="4" spans="1:8">
      <c r="A4" s="1355" t="s">
        <v>1525</v>
      </c>
      <c r="B4" s="1355"/>
      <c r="C4" s="1355"/>
      <c r="D4" s="1355"/>
    </row>
    <row r="5" spans="1:8">
      <c r="A5" s="1355" t="s">
        <v>1526</v>
      </c>
      <c r="B5" s="1355"/>
      <c r="C5" s="1355"/>
      <c r="D5" s="1355"/>
    </row>
    <row r="6" spans="1:8" ht="13.5" thickBot="1">
      <c r="A6" s="1355" t="s">
        <v>1889</v>
      </c>
      <c r="B6" s="1355"/>
      <c r="C6" s="1355"/>
      <c r="D6" s="1355"/>
    </row>
    <row r="7" spans="1:8" ht="13.5" thickBot="1">
      <c r="A7" s="837" t="s">
        <v>1527</v>
      </c>
      <c r="B7" s="838" t="s">
        <v>1528</v>
      </c>
      <c r="C7" s="838" t="s">
        <v>1529</v>
      </c>
      <c r="D7" s="839" t="s">
        <v>1530</v>
      </c>
    </row>
    <row r="8" spans="1:8">
      <c r="A8" s="840" t="s">
        <v>1531</v>
      </c>
      <c r="B8" s="841" t="s">
        <v>1327</v>
      </c>
      <c r="C8" s="842">
        <f>C9+C39</f>
        <v>12481732790</v>
      </c>
      <c r="D8" s="842">
        <f>D9+D39</f>
        <v>8260231006.1199999</v>
      </c>
      <c r="E8" s="1008">
        <f>D8/C8</f>
        <v>0.66178559860998276</v>
      </c>
    </row>
    <row r="9" spans="1:8">
      <c r="A9" s="843" t="s">
        <v>1532</v>
      </c>
      <c r="B9" s="844" t="s">
        <v>1328</v>
      </c>
      <c r="C9" s="845">
        <f>C10+C14</f>
        <v>7533000000</v>
      </c>
      <c r="D9" s="845">
        <f>D10+D14</f>
        <v>3915768899.5299997</v>
      </c>
      <c r="E9" s="1008">
        <f>D9/C9</f>
        <v>0.51981533247444578</v>
      </c>
    </row>
    <row r="10" spans="1:8">
      <c r="A10" s="846" t="s">
        <v>1533</v>
      </c>
      <c r="B10" s="847" t="s">
        <v>1329</v>
      </c>
      <c r="C10" s="848">
        <f>SUM(C11:C13)</f>
        <v>3260000000</v>
      </c>
      <c r="D10" s="848">
        <f>SUM(D11:D13)</f>
        <v>2582608283</v>
      </c>
    </row>
    <row r="11" spans="1:8">
      <c r="A11" s="849"/>
      <c r="B11" s="850" t="s">
        <v>1534</v>
      </c>
      <c r="C11" s="851">
        <v>0</v>
      </c>
      <c r="D11" s="851"/>
    </row>
    <row r="12" spans="1:8">
      <c r="A12" s="852" t="s">
        <v>1535</v>
      </c>
      <c r="B12" s="850" t="s">
        <v>1536</v>
      </c>
      <c r="C12" s="851">
        <v>3260000000</v>
      </c>
      <c r="D12" s="851">
        <v>2582608283</v>
      </c>
      <c r="E12" s="1008">
        <f>D12/C12</f>
        <v>0.79221112975460117</v>
      </c>
    </row>
    <row r="13" spans="1:8">
      <c r="A13" s="852"/>
      <c r="B13" s="850" t="s">
        <v>1330</v>
      </c>
      <c r="C13" s="851">
        <v>0</v>
      </c>
      <c r="D13" s="851"/>
      <c r="H13" s="1005"/>
    </row>
    <row r="14" spans="1:8">
      <c r="A14" s="853" t="s">
        <v>1537</v>
      </c>
      <c r="B14" s="847" t="s">
        <v>1331</v>
      </c>
      <c r="C14" s="848">
        <f>C21+C25+C33+C35</f>
        <v>4273000000</v>
      </c>
      <c r="D14" s="848">
        <f>D21+D25+D33+D35</f>
        <v>1333160616.53</v>
      </c>
      <c r="H14" s="1005"/>
    </row>
    <row r="15" spans="1:8">
      <c r="A15" s="852"/>
      <c r="B15" s="854" t="s">
        <v>1332</v>
      </c>
      <c r="C15" s="855">
        <f>SUM(C16:C17)</f>
        <v>0</v>
      </c>
      <c r="D15" s="855">
        <f>SUM(D16:D17)</f>
        <v>0</v>
      </c>
      <c r="H15" s="1005"/>
    </row>
    <row r="16" spans="1:8">
      <c r="A16" s="852"/>
      <c r="B16" s="850" t="s">
        <v>1332</v>
      </c>
      <c r="C16" s="851">
        <v>0</v>
      </c>
      <c r="D16" s="851"/>
      <c r="H16" s="1005"/>
    </row>
    <row r="17" spans="1:8">
      <c r="A17" s="852"/>
      <c r="B17" s="856" t="s">
        <v>1538</v>
      </c>
      <c r="C17" s="851">
        <v>0</v>
      </c>
      <c r="D17" s="851">
        <v>0</v>
      </c>
      <c r="H17" s="1005"/>
    </row>
    <row r="18" spans="1:8">
      <c r="A18" s="852"/>
      <c r="B18" s="854" t="s">
        <v>1333</v>
      </c>
      <c r="C18" s="857">
        <v>0</v>
      </c>
      <c r="D18" s="857"/>
      <c r="H18" s="1006"/>
    </row>
    <row r="19" spans="1:8">
      <c r="A19" s="852"/>
      <c r="B19" s="854" t="s">
        <v>1334</v>
      </c>
      <c r="C19" s="857">
        <v>0</v>
      </c>
      <c r="D19" s="857"/>
    </row>
    <row r="20" spans="1:8">
      <c r="A20" s="852"/>
      <c r="B20" s="854" t="s">
        <v>1335</v>
      </c>
      <c r="C20" s="857">
        <v>0</v>
      </c>
      <c r="D20" s="857"/>
    </row>
    <row r="21" spans="1:8">
      <c r="A21" s="852"/>
      <c r="B21" s="854" t="s">
        <v>1336</v>
      </c>
      <c r="C21" s="855">
        <f>SUM(C22:C24)</f>
        <v>1900000000</v>
      </c>
      <c r="D21" s="857">
        <f>SUM(D22:D24)</f>
        <v>772364114</v>
      </c>
    </row>
    <row r="22" spans="1:8">
      <c r="A22" s="852" t="s">
        <v>1539</v>
      </c>
      <c r="B22" s="850" t="s">
        <v>1337</v>
      </c>
      <c r="C22" s="1205">
        <v>1900000000</v>
      </c>
      <c r="D22" s="851">
        <v>772364114</v>
      </c>
      <c r="E22" s="1008">
        <f>D22/C22</f>
        <v>0.40650742842105264</v>
      </c>
    </row>
    <row r="23" spans="1:8">
      <c r="A23" s="852" t="s">
        <v>1540</v>
      </c>
      <c r="B23" s="850" t="s">
        <v>1541</v>
      </c>
      <c r="C23" s="851"/>
      <c r="D23" s="851"/>
    </row>
    <row r="24" spans="1:8">
      <c r="A24" s="852"/>
      <c r="B24" s="850" t="s">
        <v>1338</v>
      </c>
      <c r="C24" s="851">
        <v>0</v>
      </c>
      <c r="D24" s="851"/>
    </row>
    <row r="25" spans="1:8">
      <c r="A25" s="852" t="s">
        <v>1542</v>
      </c>
      <c r="B25" s="854" t="s">
        <v>1543</v>
      </c>
      <c r="C25" s="855">
        <f>SUM(C26:C32)</f>
        <v>1622000000</v>
      </c>
      <c r="D25" s="855">
        <f>SUM(D26:D32)</f>
        <v>411792056.02999997</v>
      </c>
    </row>
    <row r="26" spans="1:8">
      <c r="A26" s="852" t="s">
        <v>1544</v>
      </c>
      <c r="B26" s="850" t="s">
        <v>1545</v>
      </c>
      <c r="C26" s="851">
        <v>450000000</v>
      </c>
      <c r="D26" s="851">
        <v>94610441</v>
      </c>
      <c r="E26" s="1187">
        <f t="shared" ref="E26" si="0">D26/C26</f>
        <v>0.21024542444444444</v>
      </c>
    </row>
    <row r="27" spans="1:8">
      <c r="A27" s="852"/>
      <c r="B27" s="850" t="s">
        <v>1340</v>
      </c>
      <c r="C27" s="851"/>
      <c r="D27" s="851"/>
      <c r="E27" s="1187"/>
    </row>
    <row r="28" spans="1:8">
      <c r="A28" s="852" t="s">
        <v>1546</v>
      </c>
      <c r="B28" s="850" t="s">
        <v>1341</v>
      </c>
      <c r="C28" s="851">
        <v>460000000</v>
      </c>
      <c r="D28" s="851">
        <v>141695987</v>
      </c>
      <c r="E28" s="1187">
        <f>D28/C28</f>
        <v>0.30803475434782607</v>
      </c>
    </row>
    <row r="29" spans="1:8">
      <c r="A29" s="852" t="s">
        <v>1547</v>
      </c>
      <c r="B29" s="850" t="s">
        <v>1548</v>
      </c>
      <c r="C29" s="851">
        <v>2000000</v>
      </c>
      <c r="D29" s="851">
        <v>6692715</v>
      </c>
      <c r="E29" s="1187">
        <f t="shared" ref="E29:E31" si="1">D29/C29</f>
        <v>3.3463574999999999</v>
      </c>
    </row>
    <row r="30" spans="1:8">
      <c r="A30" s="852" t="s">
        <v>1549</v>
      </c>
      <c r="B30" s="850" t="s">
        <v>1866</v>
      </c>
      <c r="C30" s="851">
        <v>160000000</v>
      </c>
      <c r="D30" s="851">
        <v>141084679.03</v>
      </c>
      <c r="E30" s="1187">
        <f t="shared" si="1"/>
        <v>0.88177924393749996</v>
      </c>
    </row>
    <row r="31" spans="1:8">
      <c r="A31" s="858" t="s">
        <v>1550</v>
      </c>
      <c r="B31" s="859" t="s">
        <v>1551</v>
      </c>
      <c r="C31" s="860">
        <v>550000000</v>
      </c>
      <c r="D31" s="860">
        <v>27708234</v>
      </c>
      <c r="E31" s="1187">
        <f t="shared" si="1"/>
        <v>5.037860727272727E-2</v>
      </c>
    </row>
    <row r="32" spans="1:8">
      <c r="A32" s="852"/>
      <c r="B32" s="859" t="s">
        <v>1552</v>
      </c>
      <c r="C32" s="860"/>
      <c r="D32" s="860"/>
    </row>
    <row r="33" spans="1:8">
      <c r="A33" s="852" t="s">
        <v>1553</v>
      </c>
      <c r="B33" s="854" t="s">
        <v>1554</v>
      </c>
      <c r="C33" s="857">
        <f>C34</f>
        <v>480000000</v>
      </c>
      <c r="D33" s="857">
        <f>D34</f>
        <v>3000000</v>
      </c>
    </row>
    <row r="34" spans="1:8">
      <c r="A34" s="858" t="s">
        <v>1555</v>
      </c>
      <c r="B34" s="856" t="s">
        <v>1556</v>
      </c>
      <c r="C34" s="851">
        <v>480000000</v>
      </c>
      <c r="D34" s="851">
        <v>3000000</v>
      </c>
    </row>
    <row r="35" spans="1:8">
      <c r="A35" s="852" t="s">
        <v>1557</v>
      </c>
      <c r="B35" s="854" t="s">
        <v>1339</v>
      </c>
      <c r="C35" s="861">
        <f>SUM(C36:C38)</f>
        <v>271000000</v>
      </c>
      <c r="D35" s="857">
        <f>D36+D37+D38</f>
        <v>146004446.5</v>
      </c>
    </row>
    <row r="36" spans="1:8">
      <c r="A36" s="852" t="s">
        <v>1558</v>
      </c>
      <c r="B36" s="856" t="s">
        <v>1559</v>
      </c>
      <c r="C36" s="1149">
        <v>260000000</v>
      </c>
      <c r="D36" s="851">
        <v>143046598.5</v>
      </c>
    </row>
    <row r="37" spans="1:8">
      <c r="A37" s="852" t="s">
        <v>1560</v>
      </c>
      <c r="B37" s="856" t="s">
        <v>1561</v>
      </c>
      <c r="C37" s="1149">
        <v>10000000</v>
      </c>
      <c r="D37" s="1206">
        <v>2957848</v>
      </c>
    </row>
    <row r="38" spans="1:8">
      <c r="A38" s="852" t="s">
        <v>1562</v>
      </c>
      <c r="B38" s="850" t="s">
        <v>1339</v>
      </c>
      <c r="C38" s="1149">
        <v>1000000</v>
      </c>
      <c r="D38" s="851">
        <v>0</v>
      </c>
    </row>
    <row r="39" spans="1:8">
      <c r="A39" s="862" t="s">
        <v>1563</v>
      </c>
      <c r="B39" s="863" t="s">
        <v>1342</v>
      </c>
      <c r="C39" s="864">
        <f>+C40+C43+C46+C49+C53+C57</f>
        <v>4948732790</v>
      </c>
      <c r="D39" s="864">
        <f>+D40+D43+D46+D57+D49+D53</f>
        <v>4344462106.5900002</v>
      </c>
      <c r="E39" s="1008">
        <f>D39/C39</f>
        <v>0.87789385504283823</v>
      </c>
    </row>
    <row r="40" spans="1:8">
      <c r="A40" s="865"/>
      <c r="B40" s="866" t="s">
        <v>1343</v>
      </c>
      <c r="C40" s="867">
        <f>SUM(C41:C42)</f>
        <v>0</v>
      </c>
      <c r="D40" s="867">
        <f>SUM(D41:D42)</f>
        <v>0</v>
      </c>
    </row>
    <row r="41" spans="1:8">
      <c r="A41" s="865"/>
      <c r="B41" s="850" t="s">
        <v>1344</v>
      </c>
      <c r="C41" s="851">
        <v>0</v>
      </c>
      <c r="D41" s="851"/>
    </row>
    <row r="42" spans="1:8">
      <c r="A42" s="852"/>
      <c r="B42" s="850" t="s">
        <v>1345</v>
      </c>
      <c r="C42" s="851">
        <v>0</v>
      </c>
      <c r="D42" s="851"/>
    </row>
    <row r="43" spans="1:8">
      <c r="A43" s="865"/>
      <c r="B43" s="866" t="s">
        <v>1346</v>
      </c>
      <c r="C43" s="867">
        <f>SUM(C44:C45)</f>
        <v>0</v>
      </c>
      <c r="D43" s="867">
        <f>SUM(D44:D45)</f>
        <v>0</v>
      </c>
    </row>
    <row r="44" spans="1:8">
      <c r="A44" s="865"/>
      <c r="B44" s="850" t="s">
        <v>1344</v>
      </c>
      <c r="C44" s="851">
        <v>0</v>
      </c>
      <c r="D44" s="851"/>
    </row>
    <row r="45" spans="1:8">
      <c r="A45" s="852"/>
      <c r="B45" s="850" t="s">
        <v>1345</v>
      </c>
      <c r="C45" s="851">
        <v>0</v>
      </c>
      <c r="D45" s="851"/>
    </row>
    <row r="46" spans="1:8">
      <c r="A46" s="868" t="s">
        <v>1564</v>
      </c>
      <c r="B46" s="869" t="s">
        <v>1347</v>
      </c>
      <c r="C46" s="870">
        <v>52755000</v>
      </c>
      <c r="D46" s="870">
        <v>111151866.38</v>
      </c>
    </row>
    <row r="47" spans="1:8">
      <c r="A47" s="871" t="s">
        <v>1565</v>
      </c>
      <c r="B47" s="866" t="s">
        <v>1348</v>
      </c>
      <c r="C47" s="867">
        <f>C48+C49+C50+C51+C52+C522+C53</f>
        <v>4895977790</v>
      </c>
      <c r="D47" s="867">
        <f>D48+D49+D50+D51+D52+D522+D53</f>
        <v>4233310240.21</v>
      </c>
    </row>
    <row r="48" spans="1:8">
      <c r="A48" s="865"/>
      <c r="B48" s="850" t="s">
        <v>1349</v>
      </c>
      <c r="C48" s="872">
        <v>0</v>
      </c>
      <c r="D48" s="872"/>
      <c r="H48" s="1005"/>
    </row>
    <row r="49" spans="1:9">
      <c r="A49" s="865"/>
      <c r="B49" s="850" t="s">
        <v>1350</v>
      </c>
      <c r="C49" s="872">
        <f>12531620.5+520000000+33688804+189488034+267379538+1372889793.5</f>
        <v>2395977790</v>
      </c>
      <c r="D49" s="872">
        <f>33688804+520000000+189488034+267379538+1372889793.5</f>
        <v>2383446169.5</v>
      </c>
      <c r="H49" s="1203"/>
      <c r="I49" s="1204"/>
    </row>
    <row r="50" spans="1:9">
      <c r="A50" s="865"/>
      <c r="B50" s="850" t="s">
        <v>1351</v>
      </c>
      <c r="C50" s="872">
        <v>0</v>
      </c>
      <c r="D50" s="872"/>
      <c r="G50" s="1005"/>
      <c r="H50" s="1204"/>
      <c r="I50" s="1204"/>
    </row>
    <row r="51" spans="1:9">
      <c r="A51" s="865"/>
      <c r="B51" s="850" t="s">
        <v>1352</v>
      </c>
      <c r="C51" s="872"/>
      <c r="D51" s="872"/>
      <c r="H51" s="1203"/>
      <c r="I51" s="1203"/>
    </row>
    <row r="52" spans="1:9" ht="13.5" thickBot="1">
      <c r="A52" s="873"/>
      <c r="B52" s="874" t="s">
        <v>1353</v>
      </c>
      <c r="C52" s="875">
        <v>0</v>
      </c>
      <c r="D52" s="875"/>
      <c r="G52" s="1005"/>
      <c r="H52" s="1204"/>
      <c r="I52" s="1203"/>
    </row>
    <row r="53" spans="1:9" ht="13.5" thickBot="1">
      <c r="A53" s="876" t="s">
        <v>1565</v>
      </c>
      <c r="B53" s="877" t="s">
        <v>1566</v>
      </c>
      <c r="C53" s="878">
        <f>SUM(C54:C56)</f>
        <v>2500000000</v>
      </c>
      <c r="D53" s="879">
        <f>SUM(D54:D56)</f>
        <v>1849864070.71</v>
      </c>
      <c r="G53" s="1005"/>
      <c r="H53" s="1204"/>
      <c r="I53" s="1203"/>
    </row>
    <row r="54" spans="1:9">
      <c r="A54" s="880" t="s">
        <v>1567</v>
      </c>
      <c r="B54" s="881" t="s">
        <v>1568</v>
      </c>
      <c r="C54" s="1207">
        <v>999000000</v>
      </c>
      <c r="D54" s="1208"/>
      <c r="H54" s="1203"/>
      <c r="I54" s="1204"/>
    </row>
    <row r="55" spans="1:9">
      <c r="A55" s="882" t="s">
        <v>1569</v>
      </c>
      <c r="B55" s="850" t="s">
        <v>1570</v>
      </c>
      <c r="C55" s="872">
        <v>1500000000</v>
      </c>
      <c r="D55" s="1209">
        <v>1849864070.71</v>
      </c>
      <c r="H55" s="1203"/>
      <c r="I55" s="1204"/>
    </row>
    <row r="56" spans="1:9">
      <c r="A56" s="883" t="s">
        <v>1571</v>
      </c>
      <c r="B56" s="856" t="s">
        <v>1572</v>
      </c>
      <c r="C56" s="872">
        <v>1000000</v>
      </c>
      <c r="D56" s="872">
        <v>0</v>
      </c>
      <c r="G56" s="1005"/>
      <c r="H56" s="1203"/>
      <c r="I56" s="1203"/>
    </row>
    <row r="57" spans="1:9" ht="13.5" thickBot="1">
      <c r="A57" s="883"/>
      <c r="B57" s="884" t="s">
        <v>1354</v>
      </c>
      <c r="C57" s="885">
        <v>0</v>
      </c>
      <c r="D57" s="885"/>
      <c r="G57" s="1005"/>
    </row>
    <row r="58" spans="1:9" ht="13.5" thickBot="1">
      <c r="A58" s="886" t="s">
        <v>1573</v>
      </c>
      <c r="B58" s="887" t="s">
        <v>1574</v>
      </c>
      <c r="C58" s="888">
        <f>SUM(C59:C62)</f>
        <v>5713990828</v>
      </c>
      <c r="D58" s="889">
        <f>SUM(D59:D62)</f>
        <v>1852379094.7</v>
      </c>
      <c r="E58" s="1008">
        <f>D58/C58</f>
        <v>0.32418307107230099</v>
      </c>
      <c r="G58" s="1005"/>
    </row>
    <row r="59" spans="1:9">
      <c r="A59" s="890" t="s">
        <v>1575</v>
      </c>
      <c r="B59" s="891" t="s">
        <v>1355</v>
      </c>
      <c r="C59" s="892">
        <v>3241557000</v>
      </c>
      <c r="D59" s="1202">
        <v>1852379094.7</v>
      </c>
    </row>
    <row r="60" spans="1:9">
      <c r="A60" s="890"/>
      <c r="B60" s="893" t="s">
        <v>1576</v>
      </c>
      <c r="C60" s="894"/>
      <c r="D60" s="894"/>
    </row>
    <row r="61" spans="1:9">
      <c r="A61" s="895"/>
      <c r="B61" s="896" t="s">
        <v>1577</v>
      </c>
      <c r="C61" s="894">
        <v>2472433828</v>
      </c>
      <c r="D61" s="894"/>
    </row>
    <row r="62" spans="1:9" ht="13.5" thickBot="1">
      <c r="A62" s="897"/>
      <c r="B62" s="898" t="s">
        <v>1578</v>
      </c>
      <c r="C62" s="1007"/>
      <c r="D62" s="899"/>
    </row>
    <row r="63" spans="1:9" ht="13.5" thickBot="1">
      <c r="A63" s="900"/>
      <c r="B63" s="901" t="s">
        <v>1579</v>
      </c>
      <c r="C63" s="902">
        <f>+C8+C58</f>
        <v>18195723618</v>
      </c>
      <c r="D63" s="902">
        <f>+D8+D58</f>
        <v>10112610100.82</v>
      </c>
      <c r="E63" s="1008">
        <f>D63/C63</f>
        <v>0.55576850435429603</v>
      </c>
    </row>
    <row r="65" spans="3:10">
      <c r="C65" s="1005"/>
      <c r="D65" s="1005"/>
      <c r="G65" s="1025"/>
      <c r="H65" s="1025" t="str">
        <f t="shared" ref="H65:I65" si="2">C7</f>
        <v>Apropiado</v>
      </c>
      <c r="I65" s="1025" t="str">
        <f t="shared" si="2"/>
        <v>Recaudado</v>
      </c>
      <c r="J65" s="1025" t="s">
        <v>1438</v>
      </c>
    </row>
    <row r="66" spans="3:10">
      <c r="G66" s="1025" t="str">
        <f>B9</f>
        <v>INGRESOS CORRIENTES</v>
      </c>
      <c r="H66" s="1026">
        <f>C9</f>
        <v>7533000000</v>
      </c>
      <c r="I66" s="1026">
        <f>D9</f>
        <v>3915768899.5299997</v>
      </c>
      <c r="J66" s="1027">
        <f>E9</f>
        <v>0.51981533247444578</v>
      </c>
    </row>
    <row r="67" spans="3:10">
      <c r="G67" s="1025" t="str">
        <f>B39</f>
        <v>RECURSOS DE CAPITAL</v>
      </c>
      <c r="H67" s="1026">
        <f>C39</f>
        <v>4948732790</v>
      </c>
      <c r="I67" s="1026">
        <f>D39</f>
        <v>4344462106.5900002</v>
      </c>
      <c r="J67" s="1027">
        <f>E39</f>
        <v>0.87789385504283823</v>
      </c>
    </row>
    <row r="68" spans="3:10">
      <c r="G68" s="1028" t="s">
        <v>1616</v>
      </c>
      <c r="H68" s="1029">
        <f>C58</f>
        <v>5713990828</v>
      </c>
      <c r="I68" s="1026">
        <f>D58</f>
        <v>1852379094.7</v>
      </c>
      <c r="J68" s="1027">
        <f>E58</f>
        <v>0.32418307107230099</v>
      </c>
    </row>
    <row r="69" spans="3:10">
      <c r="G69" s="1028" t="s">
        <v>1831</v>
      </c>
      <c r="H69" s="1029" t="e">
        <f>#REF!</f>
        <v>#REF!</v>
      </c>
      <c r="I69" s="1026" t="e">
        <f>#REF!</f>
        <v>#REF!</v>
      </c>
      <c r="J69" s="1030">
        <v>1</v>
      </c>
    </row>
    <row r="70" spans="3:10">
      <c r="G70" s="1025" t="s">
        <v>1617</v>
      </c>
      <c r="H70" s="1029">
        <f>C63</f>
        <v>18195723618</v>
      </c>
      <c r="I70" s="1026">
        <f>D63</f>
        <v>10112610100.82</v>
      </c>
      <c r="J70" s="1030">
        <f>I70/H70</f>
        <v>0.55576850435429603</v>
      </c>
    </row>
  </sheetData>
  <mergeCells count="4">
    <mergeCell ref="A4:D4"/>
    <mergeCell ref="A5:D5"/>
    <mergeCell ref="A6:D6"/>
    <mergeCell ref="A3:D3"/>
  </mergeCells>
  <printOptions horizontalCentered="1" verticalCentered="1"/>
  <pageMargins left="0.78740157480314965" right="0.78740157480314965" top="0.98425196850393704" bottom="0.98425196850393704"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4"/>
  <sheetViews>
    <sheetView zoomScale="110" zoomScaleNormal="110" zoomScaleSheetLayoutView="100" workbookViewId="0">
      <selection activeCell="F44" sqref="F44"/>
    </sheetView>
  </sheetViews>
  <sheetFormatPr baseColWidth="10" defaultRowHeight="12.75"/>
  <cols>
    <col min="1" max="1" width="46" style="555" customWidth="1"/>
    <col min="2" max="2" width="17" style="555" customWidth="1"/>
    <col min="3" max="3" width="15" style="555" customWidth="1"/>
    <col min="4" max="4" width="14.7109375" style="555" customWidth="1"/>
    <col min="5" max="5" width="15.42578125" style="555" customWidth="1"/>
    <col min="6" max="6" width="15" style="555" customWidth="1"/>
    <col min="7" max="11" width="15.7109375" style="555" customWidth="1"/>
    <col min="12" max="12" width="15" style="555" customWidth="1"/>
    <col min="13" max="13" width="14.7109375" style="555" customWidth="1"/>
    <col min="14" max="14" width="11.42578125" style="555"/>
    <col min="15" max="15" width="20.7109375" style="555" customWidth="1"/>
    <col min="16" max="16" width="20.5703125" style="555" customWidth="1"/>
    <col min="17" max="17" width="22.28515625" style="555" customWidth="1"/>
    <col min="18" max="18" width="21" style="555" customWidth="1"/>
    <col min="19" max="19" width="17.5703125" style="555" bestFit="1" customWidth="1"/>
    <col min="20" max="20" width="11.42578125" style="555"/>
    <col min="21" max="21" width="15.7109375" style="555" customWidth="1"/>
    <col min="22" max="22" width="20" style="555" customWidth="1"/>
    <col min="23" max="24" width="18.85546875" style="555" customWidth="1"/>
    <col min="25" max="16384" width="11.42578125" style="555"/>
  </cols>
  <sheetData>
    <row r="1" spans="1:17" ht="130.5" customHeight="1">
      <c r="A1" s="1360"/>
      <c r="B1" s="1360"/>
      <c r="C1" s="1360"/>
      <c r="D1" s="1360"/>
      <c r="E1" s="1360"/>
      <c r="F1" s="1360"/>
      <c r="G1" s="1360"/>
      <c r="H1" s="1360"/>
      <c r="I1" s="1360"/>
      <c r="J1" s="1360"/>
      <c r="K1" s="1360"/>
      <c r="L1" s="1360"/>
      <c r="M1" s="563"/>
    </row>
    <row r="2" spans="1:17" ht="15.75" thickBot="1">
      <c r="A2" s="1361" t="s">
        <v>1580</v>
      </c>
      <c r="B2" s="1361"/>
      <c r="C2" s="1361"/>
      <c r="D2" s="1361"/>
      <c r="E2" s="1361"/>
      <c r="F2" s="1361"/>
      <c r="G2" s="1361"/>
      <c r="H2" s="1361"/>
      <c r="I2" s="1361"/>
      <c r="J2" s="1361"/>
      <c r="K2" s="1361"/>
      <c r="L2" s="1361"/>
      <c r="M2" s="413"/>
      <c r="O2" s="1009"/>
    </row>
    <row r="3" spans="1:17" ht="13.5" thickBot="1">
      <c r="A3" s="1362" t="s">
        <v>1581</v>
      </c>
      <c r="B3" s="1363"/>
      <c r="C3" s="1363"/>
      <c r="D3" s="1363"/>
      <c r="E3" s="1363"/>
      <c r="F3" s="1363"/>
      <c r="G3" s="1363"/>
      <c r="H3" s="1363"/>
      <c r="I3" s="1363"/>
      <c r="J3" s="1363"/>
      <c r="K3" s="1363"/>
      <c r="L3" s="1363"/>
      <c r="M3" s="1364"/>
      <c r="O3" s="1009"/>
    </row>
    <row r="4" spans="1:17" ht="13.5" thickBot="1">
      <c r="A4" s="1362" t="s">
        <v>1582</v>
      </c>
      <c r="B4" s="1363"/>
      <c r="C4" s="1363"/>
      <c r="D4" s="1363"/>
      <c r="E4" s="1363"/>
      <c r="F4" s="1363"/>
      <c r="G4" s="1363"/>
      <c r="H4" s="1363"/>
      <c r="I4" s="1363"/>
      <c r="J4" s="1363"/>
      <c r="K4" s="1363"/>
      <c r="L4" s="1363"/>
      <c r="M4" s="1364"/>
      <c r="O4" s="1009"/>
      <c r="Q4" s="1009"/>
    </row>
    <row r="5" spans="1:17" ht="15.75" thickBot="1">
      <c r="A5" s="903" t="s">
        <v>1583</v>
      </c>
      <c r="B5" s="904"/>
      <c r="C5" s="905"/>
      <c r="D5" s="905"/>
      <c r="E5" s="1363" t="s">
        <v>1890</v>
      </c>
      <c r="F5" s="1363"/>
      <c r="G5" s="1363"/>
      <c r="H5" s="1075"/>
      <c r="I5" s="1075"/>
      <c r="J5" s="1075"/>
      <c r="K5" s="904"/>
      <c r="L5" s="904"/>
      <c r="M5" s="13"/>
      <c r="O5" s="1009"/>
      <c r="Q5" s="1009"/>
    </row>
    <row r="6" spans="1:17" ht="26.25" customHeight="1" thickBot="1">
      <c r="A6" s="1365" t="s">
        <v>1356</v>
      </c>
      <c r="B6" s="1357" t="s">
        <v>1357</v>
      </c>
      <c r="C6" s="1358"/>
      <c r="D6" s="1359"/>
      <c r="E6" s="1357" t="s">
        <v>1891</v>
      </c>
      <c r="F6" s="1358"/>
      <c r="G6" s="1359"/>
      <c r="H6" s="1357" t="s">
        <v>1830</v>
      </c>
      <c r="I6" s="1358"/>
      <c r="J6" s="1359"/>
      <c r="K6" s="1357" t="s">
        <v>1584</v>
      </c>
      <c r="L6" s="1358"/>
      <c r="M6" s="1359"/>
      <c r="Q6" s="1009"/>
    </row>
    <row r="7" spans="1:17" ht="13.5" thickBot="1">
      <c r="A7" s="1366"/>
      <c r="B7" s="906" t="s">
        <v>1585</v>
      </c>
      <c r="C7" s="907" t="s">
        <v>1586</v>
      </c>
      <c r="D7" s="908" t="s">
        <v>1612</v>
      </c>
      <c r="E7" s="906" t="s">
        <v>1585</v>
      </c>
      <c r="F7" s="907" t="s">
        <v>1586</v>
      </c>
      <c r="G7" s="908" t="s">
        <v>1612</v>
      </c>
      <c r="H7" s="906" t="s">
        <v>1585</v>
      </c>
      <c r="I7" s="907" t="s">
        <v>1586</v>
      </c>
      <c r="J7" s="1077" t="s">
        <v>1612</v>
      </c>
      <c r="K7" s="906" t="s">
        <v>1585</v>
      </c>
      <c r="L7" s="907" t="s">
        <v>1586</v>
      </c>
      <c r="M7" s="909" t="s">
        <v>1612</v>
      </c>
      <c r="Q7" s="1009"/>
    </row>
    <row r="8" spans="1:17" ht="13.5" thickBot="1">
      <c r="A8" s="910" t="s">
        <v>1358</v>
      </c>
      <c r="B8" s="911">
        <f>666154858+40000000</f>
        <v>706154858</v>
      </c>
      <c r="C8" s="911">
        <v>492265863</v>
      </c>
      <c r="D8" s="911">
        <v>52095214</v>
      </c>
      <c r="E8" s="911">
        <v>2914600000</v>
      </c>
      <c r="F8" s="912">
        <v>1468313226</v>
      </c>
      <c r="G8" s="913">
        <v>1258215573</v>
      </c>
      <c r="H8" s="913">
        <v>162044235</v>
      </c>
      <c r="I8" s="913">
        <v>79000000</v>
      </c>
      <c r="J8" s="913">
        <v>0</v>
      </c>
      <c r="K8" s="914">
        <f>+B8+E8+H8</f>
        <v>3782799093</v>
      </c>
      <c r="L8" s="914">
        <f t="shared" ref="L8:M8" si="0">+C8+F8+I8</f>
        <v>2039579089</v>
      </c>
      <c r="M8" s="914">
        <f t="shared" si="0"/>
        <v>1310310787</v>
      </c>
      <c r="Q8" s="1009"/>
    </row>
    <row r="9" spans="1:17" ht="13.5" thickBot="1">
      <c r="A9" s="915" t="s">
        <v>1359</v>
      </c>
      <c r="B9" s="916">
        <f>B10+B11</f>
        <v>2737043000</v>
      </c>
      <c r="C9" s="916">
        <f>C10+C11</f>
        <v>1135686836.25</v>
      </c>
      <c r="D9" s="917">
        <f>D10+D11</f>
        <v>206935412.13999999</v>
      </c>
      <c r="E9" s="918">
        <f>SUM(E10:E11)</f>
        <v>326957000</v>
      </c>
      <c r="F9" s="919">
        <f>F10+F11</f>
        <v>115000000</v>
      </c>
      <c r="G9" s="919">
        <f t="shared" ref="G9" si="1">G10+G11</f>
        <v>0</v>
      </c>
      <c r="H9" s="919"/>
      <c r="I9" s="919"/>
      <c r="J9" s="919"/>
      <c r="K9" s="916">
        <f>+B9+E9</f>
        <v>3064000000</v>
      </c>
      <c r="L9" s="920">
        <f>+C9+F9</f>
        <v>1250686836.25</v>
      </c>
      <c r="M9" s="914">
        <f>+D9+G9</f>
        <v>206935412.13999999</v>
      </c>
    </row>
    <row r="10" spans="1:17">
      <c r="A10" s="921" t="s">
        <v>1587</v>
      </c>
      <c r="B10" s="922">
        <f>2716934000-40000000</f>
        <v>2676934000</v>
      </c>
      <c r="C10" s="922">
        <v>1132401596.25</v>
      </c>
      <c r="D10" s="923">
        <v>203650172.13999999</v>
      </c>
      <c r="E10" s="924">
        <v>299066000</v>
      </c>
      <c r="F10" s="922">
        <v>115000000</v>
      </c>
      <c r="G10" s="922"/>
      <c r="H10" s="922">
        <v>11098458</v>
      </c>
      <c r="I10" s="922">
        <v>0</v>
      </c>
      <c r="J10" s="922"/>
      <c r="K10" s="925">
        <f>+B10+E10+H10</f>
        <v>2987098458</v>
      </c>
      <c r="L10" s="925">
        <f>+C10+F10+I10</f>
        <v>1247401596.25</v>
      </c>
      <c r="M10" s="925">
        <f>+D10+G10+J10</f>
        <v>203650172.13999999</v>
      </c>
    </row>
    <row r="11" spans="1:17" ht="13.5" thickBot="1">
      <c r="A11" s="927" t="s">
        <v>1360</v>
      </c>
      <c r="B11" s="922">
        <v>60109000</v>
      </c>
      <c r="C11" s="922">
        <v>3285240</v>
      </c>
      <c r="D11" s="928">
        <v>3285240</v>
      </c>
      <c r="E11" s="924">
        <v>27891000</v>
      </c>
      <c r="F11" s="922"/>
      <c r="G11" s="922"/>
      <c r="H11" s="1076"/>
      <c r="I11" s="1076"/>
      <c r="J11" s="1076"/>
      <c r="K11" s="929">
        <f>+B11+E11+H11</f>
        <v>88000000</v>
      </c>
      <c r="L11" s="929">
        <f t="shared" ref="L11:M11" si="2">+C11+F11+I11</f>
        <v>3285240</v>
      </c>
      <c r="M11" s="929">
        <f t="shared" si="2"/>
        <v>3285240</v>
      </c>
    </row>
    <row r="12" spans="1:17" ht="13.5" thickBot="1">
      <c r="A12" s="930" t="s">
        <v>1361</v>
      </c>
      <c r="B12" s="916">
        <f>+B13+B16+B19</f>
        <v>873132437</v>
      </c>
      <c r="C12" s="916">
        <f>+C13+C16</f>
        <v>344929003</v>
      </c>
      <c r="D12" s="931">
        <f>+D13+D16</f>
        <v>344929003</v>
      </c>
      <c r="E12" s="932">
        <f>+E13+E16+E19</f>
        <v>0</v>
      </c>
      <c r="F12" s="933">
        <f>+F13+F16+F19</f>
        <v>0</v>
      </c>
      <c r="G12" s="933">
        <f t="shared" ref="G12" si="3">+G13+G16+G19</f>
        <v>0</v>
      </c>
      <c r="H12" s="933"/>
      <c r="I12" s="933"/>
      <c r="J12" s="933"/>
      <c r="K12" s="933">
        <f t="shared" ref="K12:M13" si="4">+B12+E12</f>
        <v>873132437</v>
      </c>
      <c r="L12" s="933">
        <f t="shared" si="4"/>
        <v>344929003</v>
      </c>
      <c r="M12" s="914">
        <f t="shared" si="4"/>
        <v>344929003</v>
      </c>
    </row>
    <row r="13" spans="1:17" ht="13.5" thickBot="1">
      <c r="A13" s="934" t="s">
        <v>1362</v>
      </c>
      <c r="B13" s="933">
        <f>SUM(B14:B15)</f>
        <v>842132437</v>
      </c>
      <c r="C13" s="933">
        <f>SUM(C14+C15)</f>
        <v>344929003</v>
      </c>
      <c r="D13" s="931">
        <f>SUM(D14+D15)</f>
        <v>344929003</v>
      </c>
      <c r="E13" s="935">
        <f>SUM(E14:E15)</f>
        <v>0</v>
      </c>
      <c r="F13" s="933">
        <f>SUM(F14:F15)</f>
        <v>0</v>
      </c>
      <c r="G13" s="933">
        <f t="shared" ref="G13" si="5">SUM(G14:G15)</f>
        <v>0</v>
      </c>
      <c r="H13" s="933"/>
      <c r="I13" s="933"/>
      <c r="J13" s="933"/>
      <c r="K13" s="933">
        <f t="shared" si="4"/>
        <v>842132437</v>
      </c>
      <c r="L13" s="936">
        <f t="shared" si="4"/>
        <v>344929003</v>
      </c>
      <c r="M13" s="914">
        <f t="shared" si="4"/>
        <v>344929003</v>
      </c>
    </row>
    <row r="14" spans="1:17" ht="13.5" thickBot="1">
      <c r="A14" s="921" t="s">
        <v>1364</v>
      </c>
      <c r="B14" s="922">
        <f>835300000+6832437</f>
        <v>842132437</v>
      </c>
      <c r="C14" s="922">
        <v>344929003</v>
      </c>
      <c r="D14" s="923">
        <v>344929003</v>
      </c>
      <c r="E14" s="924">
        <v>0</v>
      </c>
      <c r="F14" s="922">
        <v>0</v>
      </c>
      <c r="G14" s="922"/>
      <c r="H14" s="922"/>
      <c r="I14" s="922"/>
      <c r="J14" s="922"/>
      <c r="K14" s="925">
        <f>+B14+E14+H14</f>
        <v>842132437</v>
      </c>
      <c r="L14" s="925">
        <f t="shared" ref="L14:M14" si="6">+C14+F14+I14</f>
        <v>344929003</v>
      </c>
      <c r="M14" s="925">
        <f t="shared" si="6"/>
        <v>344929003</v>
      </c>
    </row>
    <row r="15" spans="1:17" ht="13.5" thickBot="1">
      <c r="A15" s="921" t="s">
        <v>1588</v>
      </c>
      <c r="B15" s="922">
        <v>0</v>
      </c>
      <c r="C15" s="937">
        <v>0</v>
      </c>
      <c r="D15" s="938"/>
      <c r="E15" s="924">
        <v>0</v>
      </c>
      <c r="F15" s="922">
        <v>0</v>
      </c>
      <c r="G15" s="922"/>
      <c r="H15" s="922"/>
      <c r="I15" s="922"/>
      <c r="J15" s="922"/>
      <c r="K15" s="925">
        <f t="shared" ref="K15:M21" si="7">+B15+E15</f>
        <v>0</v>
      </c>
      <c r="L15" s="939">
        <f t="shared" si="7"/>
        <v>0</v>
      </c>
      <c r="M15" s="914">
        <f t="shared" si="7"/>
        <v>0</v>
      </c>
    </row>
    <row r="16" spans="1:17" ht="13.5" thickBot="1">
      <c r="A16" s="934" t="s">
        <v>1365</v>
      </c>
      <c r="B16" s="933">
        <f>SUM(B17:B18)</f>
        <v>0</v>
      </c>
      <c r="C16" s="933">
        <f>SUM(C17:C18)</f>
        <v>0</v>
      </c>
      <c r="D16" s="931"/>
      <c r="E16" s="935">
        <f>SUM(E17:E18)</f>
        <v>0</v>
      </c>
      <c r="F16" s="933">
        <f>SUM(F17:F18)</f>
        <v>0</v>
      </c>
      <c r="G16" s="933"/>
      <c r="H16" s="933"/>
      <c r="I16" s="933"/>
      <c r="J16" s="933"/>
      <c r="K16" s="925">
        <f t="shared" si="7"/>
        <v>0</v>
      </c>
      <c r="L16" s="936">
        <f t="shared" si="7"/>
        <v>0</v>
      </c>
      <c r="M16" s="914">
        <f t="shared" si="7"/>
        <v>0</v>
      </c>
    </row>
    <row r="17" spans="1:19" ht="13.5" thickBot="1">
      <c r="A17" s="921" t="s">
        <v>1366</v>
      </c>
      <c r="B17" s="872">
        <v>0</v>
      </c>
      <c r="C17" s="872">
        <v>0</v>
      </c>
      <c r="D17" s="940"/>
      <c r="E17" s="941">
        <v>0</v>
      </c>
      <c r="F17" s="872">
        <v>0</v>
      </c>
      <c r="G17" s="872"/>
      <c r="H17" s="872"/>
      <c r="I17" s="872"/>
      <c r="J17" s="872"/>
      <c r="K17" s="925">
        <f t="shared" si="7"/>
        <v>0</v>
      </c>
      <c r="L17" s="926">
        <f t="shared" si="7"/>
        <v>0</v>
      </c>
      <c r="M17" s="914">
        <f t="shared" si="7"/>
        <v>0</v>
      </c>
    </row>
    <row r="18" spans="1:19" ht="13.5" thickBot="1">
      <c r="A18" s="921" t="s">
        <v>1367</v>
      </c>
      <c r="B18" s="872">
        <v>0</v>
      </c>
      <c r="C18" s="872">
        <v>0</v>
      </c>
      <c r="D18" s="940"/>
      <c r="E18" s="941">
        <v>0</v>
      </c>
      <c r="F18" s="872">
        <v>0</v>
      </c>
      <c r="G18" s="872"/>
      <c r="H18" s="872"/>
      <c r="I18" s="872"/>
      <c r="J18" s="872"/>
      <c r="K18" s="925">
        <f t="shared" si="7"/>
        <v>0</v>
      </c>
      <c r="L18" s="926">
        <f t="shared" si="7"/>
        <v>0</v>
      </c>
      <c r="M18" s="914">
        <f t="shared" si="7"/>
        <v>0</v>
      </c>
    </row>
    <row r="19" spans="1:19" ht="13.5" thickBot="1">
      <c r="A19" s="934" t="s">
        <v>1368</v>
      </c>
      <c r="B19" s="933">
        <f>B20+B22+B23</f>
        <v>31000000</v>
      </c>
      <c r="C19" s="933">
        <f>+C20+C22+C23</f>
        <v>13789080</v>
      </c>
      <c r="D19" s="931">
        <f>+D20+D22+D23</f>
        <v>0</v>
      </c>
      <c r="E19" s="935">
        <f>+E20+E23</f>
        <v>0</v>
      </c>
      <c r="F19" s="933">
        <f>+F20+F23</f>
        <v>0</v>
      </c>
      <c r="G19" s="933">
        <f t="shared" ref="G19" si="8">+G20+G23</f>
        <v>0</v>
      </c>
      <c r="H19" s="933"/>
      <c r="I19" s="933"/>
      <c r="J19" s="933"/>
      <c r="K19" s="933">
        <f t="shared" si="7"/>
        <v>31000000</v>
      </c>
      <c r="L19" s="933">
        <f t="shared" si="7"/>
        <v>13789080</v>
      </c>
      <c r="M19" s="914">
        <f t="shared" si="7"/>
        <v>0</v>
      </c>
      <c r="P19" s="1031"/>
      <c r="Q19" s="1031" t="s">
        <v>1355</v>
      </c>
      <c r="R19" s="1031" t="s">
        <v>1613</v>
      </c>
      <c r="S19" s="1031" t="s">
        <v>157</v>
      </c>
    </row>
    <row r="20" spans="1:19" ht="13.5" thickBot="1">
      <c r="A20" s="934" t="s">
        <v>1369</v>
      </c>
      <c r="B20" s="933">
        <f>B21</f>
        <v>0</v>
      </c>
      <c r="C20" s="933">
        <f>+C21</f>
        <v>0</v>
      </c>
      <c r="D20" s="931"/>
      <c r="E20" s="935">
        <f>+E21</f>
        <v>0</v>
      </c>
      <c r="F20" s="933">
        <f>+F21</f>
        <v>0</v>
      </c>
      <c r="G20" s="933"/>
      <c r="H20" s="933"/>
      <c r="I20" s="933"/>
      <c r="J20" s="933"/>
      <c r="K20" s="933">
        <f t="shared" si="7"/>
        <v>0</v>
      </c>
      <c r="L20" s="936">
        <f t="shared" si="7"/>
        <v>0</v>
      </c>
      <c r="M20" s="914">
        <f t="shared" si="7"/>
        <v>0</v>
      </c>
      <c r="P20" s="1031" t="str">
        <f>K7</f>
        <v>PRESUPUESTADO</v>
      </c>
      <c r="Q20" s="1032">
        <f>K24</f>
        <v>7719931530</v>
      </c>
      <c r="R20" s="1032">
        <f>K26</f>
        <v>10637836323</v>
      </c>
      <c r="S20" s="1032">
        <f>Q20+R20</f>
        <v>18357767853</v>
      </c>
    </row>
    <row r="21" spans="1:19" ht="13.5" thickBot="1">
      <c r="A21" s="921" t="s">
        <v>1370</v>
      </c>
      <c r="B21" s="872"/>
      <c r="C21" s="872"/>
      <c r="D21" s="940"/>
      <c r="E21" s="941">
        <v>0</v>
      </c>
      <c r="F21" s="872">
        <v>0</v>
      </c>
      <c r="G21" s="872"/>
      <c r="H21" s="872"/>
      <c r="I21" s="872"/>
      <c r="J21" s="872"/>
      <c r="K21" s="942">
        <f t="shared" si="7"/>
        <v>0</v>
      </c>
      <c r="L21" s="942">
        <f t="shared" si="7"/>
        <v>0</v>
      </c>
      <c r="M21" s="914">
        <f t="shared" si="7"/>
        <v>0</v>
      </c>
      <c r="P21" s="1031" t="str">
        <f>L7</f>
        <v>COMPROMETIDO</v>
      </c>
      <c r="Q21" s="1032">
        <f>L24</f>
        <v>3648984008.25</v>
      </c>
      <c r="R21" s="1032">
        <f>L26</f>
        <v>4554654951.5</v>
      </c>
      <c r="S21" s="1032">
        <f t="shared" ref="S21:S22" si="9">Q21+R21</f>
        <v>8203638959.75</v>
      </c>
    </row>
    <row r="22" spans="1:19">
      <c r="A22" s="921" t="s">
        <v>1363</v>
      </c>
      <c r="B22" s="922">
        <v>17000000</v>
      </c>
      <c r="C22" s="922"/>
      <c r="D22" s="923"/>
      <c r="E22" s="943">
        <v>0</v>
      </c>
      <c r="F22" s="922">
        <v>0</v>
      </c>
      <c r="G22" s="922"/>
      <c r="H22" s="922"/>
      <c r="I22" s="922"/>
      <c r="J22" s="922"/>
      <c r="K22" s="925">
        <f>+B22+E22+H22</f>
        <v>17000000</v>
      </c>
      <c r="L22" s="925">
        <f t="shared" ref="L22:M24" si="10">+C22+F22+I22</f>
        <v>0</v>
      </c>
      <c r="M22" s="925">
        <f t="shared" si="10"/>
        <v>0</v>
      </c>
      <c r="P22" s="1031" t="str">
        <f>M7</f>
        <v>PAGOS</v>
      </c>
      <c r="Q22" s="1032">
        <f>M24</f>
        <v>1862175202.1399999</v>
      </c>
      <c r="R22" s="1032">
        <f>M26</f>
        <v>2359941605.5</v>
      </c>
      <c r="S22" s="1032">
        <f t="shared" si="9"/>
        <v>4222116807.6399999</v>
      </c>
    </row>
    <row r="23" spans="1:19" ht="13.5" thickBot="1">
      <c r="A23" s="944" t="s">
        <v>1611</v>
      </c>
      <c r="B23" s="945">
        <v>14000000</v>
      </c>
      <c r="C23" s="946">
        <v>13789080</v>
      </c>
      <c r="D23" s="1010"/>
      <c r="E23" s="947">
        <v>0</v>
      </c>
      <c r="F23" s="948">
        <v>0</v>
      </c>
      <c r="G23" s="946"/>
      <c r="H23" s="946"/>
      <c r="I23" s="946"/>
      <c r="J23" s="946"/>
      <c r="K23" s="949">
        <f>+B23+E23+H23</f>
        <v>14000000</v>
      </c>
      <c r="L23" s="949">
        <f t="shared" si="10"/>
        <v>13789080</v>
      </c>
      <c r="M23" s="949">
        <f t="shared" si="10"/>
        <v>0</v>
      </c>
      <c r="N23" s="555" t="s">
        <v>1614</v>
      </c>
      <c r="O23" s="555" t="s">
        <v>1615</v>
      </c>
    </row>
    <row r="24" spans="1:19" ht="13.5" thickBot="1">
      <c r="A24" s="1157" t="s">
        <v>1371</v>
      </c>
      <c r="B24" s="1158">
        <f>B8+B9+B12</f>
        <v>4316330295</v>
      </c>
      <c r="C24" s="1158">
        <f>+C8+C9+C12+C19</f>
        <v>1986670782.25</v>
      </c>
      <c r="D24" s="1159">
        <f>+D8+D9+D12+D19</f>
        <v>603959629.13999999</v>
      </c>
      <c r="E24" s="1160">
        <f>+E8+E9+E12</f>
        <v>3241557000</v>
      </c>
      <c r="F24" s="1161">
        <f>F8+F9</f>
        <v>1583313226</v>
      </c>
      <c r="G24" s="1161">
        <f t="shared" ref="G24:J24" si="11">G8+G9</f>
        <v>1258215573</v>
      </c>
      <c r="H24" s="1161">
        <f t="shared" si="11"/>
        <v>162044235</v>
      </c>
      <c r="I24" s="1161">
        <f t="shared" si="11"/>
        <v>79000000</v>
      </c>
      <c r="J24" s="1161">
        <f t="shared" si="11"/>
        <v>0</v>
      </c>
      <c r="K24" s="1158">
        <f>+B24+E24+H24</f>
        <v>7719931530</v>
      </c>
      <c r="L24" s="1158">
        <f t="shared" si="10"/>
        <v>3648984008.25</v>
      </c>
      <c r="M24" s="1158">
        <f t="shared" si="10"/>
        <v>1862175202.1399999</v>
      </c>
      <c r="N24" s="1024">
        <f>L24/K24</f>
        <v>0.47267051450778863</v>
      </c>
      <c r="O24" s="1024">
        <f>M24/L24</f>
        <v>0.51032703841118565</v>
      </c>
    </row>
    <row r="25" spans="1:19" ht="13.5" thickBot="1">
      <c r="A25" s="950"/>
      <c r="B25" s="951"/>
      <c r="C25" s="951"/>
      <c r="D25" s="951"/>
      <c r="E25" s="951"/>
      <c r="F25" s="951"/>
      <c r="G25" s="951"/>
      <c r="H25" s="951"/>
      <c r="I25" s="951"/>
      <c r="J25" s="951"/>
      <c r="K25" s="952"/>
      <c r="L25" s="952"/>
      <c r="M25" s="952"/>
    </row>
    <row r="26" spans="1:19" ht="13.5" thickBot="1">
      <c r="A26" s="1157" t="s">
        <v>1372</v>
      </c>
      <c r="B26" s="1162">
        <f>B27+B31+B34+B38+B41+B44+B47</f>
        <v>8165402495</v>
      </c>
      <c r="C26" s="1162">
        <f>C27+C31+C34+C38+C41+C44+C47</f>
        <v>4554654951.5</v>
      </c>
      <c r="D26" s="1162">
        <f>D27+D31+D34+D38+D41+D44+D47</f>
        <v>2359941605.5</v>
      </c>
      <c r="E26" s="1163">
        <f>E27+E31+E34+E38+E41+E44+E47+E48</f>
        <v>2472433828</v>
      </c>
      <c r="F26" s="1164">
        <f>F27+F31+F34+F38+F41+F44+F47+F48</f>
        <v>0</v>
      </c>
      <c r="G26" s="1162">
        <f>G27+G31+G34+G38+G41+G44+G47+G48</f>
        <v>0</v>
      </c>
      <c r="H26" s="1162">
        <f t="shared" ref="H26:J26" si="12">H27+H31+H34+H38+H41+H44+H47+H48</f>
        <v>0</v>
      </c>
      <c r="I26" s="1162">
        <f t="shared" si="12"/>
        <v>0</v>
      </c>
      <c r="J26" s="1162">
        <f t="shared" si="12"/>
        <v>0</v>
      </c>
      <c r="K26" s="1162">
        <f t="shared" ref="K26:K38" si="13">+B26+E26+H26</f>
        <v>10637836323</v>
      </c>
      <c r="L26" s="1162">
        <f t="shared" ref="L26:M26" si="14">+C26+F26+I26</f>
        <v>4554654951.5</v>
      </c>
      <c r="M26" s="1162">
        <f t="shared" si="14"/>
        <v>2359941605.5</v>
      </c>
      <c r="N26" s="1024">
        <f>L26/K26</f>
        <v>0.42815614126835255</v>
      </c>
      <c r="O26" s="1024">
        <f>M26/L26</f>
        <v>0.51813839481359447</v>
      </c>
    </row>
    <row r="27" spans="1:19">
      <c r="A27" s="1150" t="s">
        <v>1589</v>
      </c>
      <c r="B27" s="1151">
        <f>SUM(B28:B30)</f>
        <v>584444847</v>
      </c>
      <c r="C27" s="1151">
        <f>SUM(C28:C30)</f>
        <v>290350742</v>
      </c>
      <c r="D27" s="1152">
        <f>SUM(D28:D30)</f>
        <v>238910626</v>
      </c>
      <c r="E27" s="1153">
        <f>SUM(E28:E29)</f>
        <v>0</v>
      </c>
      <c r="F27" s="1154">
        <f>SUM(F28:F29)</f>
        <v>0</v>
      </c>
      <c r="G27" s="1151">
        <f t="shared" ref="G27:J27" si="15">SUM(G28:G29)</f>
        <v>0</v>
      </c>
      <c r="H27" s="1151">
        <f>SUM(H28:H30)</f>
        <v>0</v>
      </c>
      <c r="I27" s="1151">
        <f t="shared" si="15"/>
        <v>0</v>
      </c>
      <c r="J27" s="1151">
        <f t="shared" si="15"/>
        <v>0</v>
      </c>
      <c r="K27" s="1155">
        <f t="shared" si="13"/>
        <v>584444847</v>
      </c>
      <c r="L27" s="1156">
        <f t="shared" ref="L27:M38" si="16">+C27+F27+I27</f>
        <v>290350742</v>
      </c>
      <c r="M27" s="1156">
        <f t="shared" si="16"/>
        <v>238910626</v>
      </c>
    </row>
    <row r="28" spans="1:19" ht="18" customHeight="1">
      <c r="A28" s="1011" t="s">
        <v>1590</v>
      </c>
      <c r="B28" s="954">
        <f>255793987-1262501</f>
        <v>254531486</v>
      </c>
      <c r="C28" s="955">
        <v>109475414</v>
      </c>
      <c r="D28" s="956">
        <v>91961298</v>
      </c>
      <c r="E28" s="957"/>
      <c r="F28" s="958"/>
      <c r="G28" s="959"/>
      <c r="H28" s="959"/>
      <c r="I28" s="959"/>
      <c r="J28" s="959"/>
      <c r="K28" s="1116">
        <f>SUM(B28+E28+H28)</f>
        <v>254531486</v>
      </c>
      <c r="L28" s="960">
        <f t="shared" ref="L28:M30" si="17">C28+F28+I28</f>
        <v>109475414</v>
      </c>
      <c r="M28" s="960">
        <f t="shared" si="17"/>
        <v>91961298</v>
      </c>
      <c r="Q28" s="1009"/>
    </row>
    <row r="29" spans="1:19">
      <c r="A29" s="961" t="s">
        <v>1591</v>
      </c>
      <c r="B29" s="962">
        <f>161366494-5000000+1262501</f>
        <v>157628995</v>
      </c>
      <c r="C29" s="963">
        <v>86021154</v>
      </c>
      <c r="D29" s="964">
        <v>64290097</v>
      </c>
      <c r="E29" s="965"/>
      <c r="F29" s="965"/>
      <c r="G29" s="962"/>
      <c r="H29" s="962"/>
      <c r="I29" s="962"/>
      <c r="J29" s="962"/>
      <c r="K29" s="1116">
        <f t="shared" ref="K29:K30" si="18">SUM(B29+E29+H29)</f>
        <v>157628995</v>
      </c>
      <c r="L29" s="960">
        <f t="shared" si="17"/>
        <v>86021154</v>
      </c>
      <c r="M29" s="960">
        <f t="shared" si="17"/>
        <v>64290097</v>
      </c>
    </row>
    <row r="30" spans="1:19">
      <c r="A30" s="967" t="s">
        <v>1592</v>
      </c>
      <c r="B30" s="962">
        <v>172284366</v>
      </c>
      <c r="C30" s="962">
        <v>94854174</v>
      </c>
      <c r="D30" s="964">
        <v>82659231</v>
      </c>
      <c r="E30" s="965"/>
      <c r="F30" s="962"/>
      <c r="G30" s="962"/>
      <c r="H30" s="962"/>
      <c r="I30" s="962"/>
      <c r="J30" s="962"/>
      <c r="K30" s="1116">
        <f t="shared" si="18"/>
        <v>172284366</v>
      </c>
      <c r="L30" s="960">
        <f t="shared" si="17"/>
        <v>94854174</v>
      </c>
      <c r="M30" s="960">
        <f t="shared" si="17"/>
        <v>82659231</v>
      </c>
    </row>
    <row r="31" spans="1:19">
      <c r="A31" s="1169" t="s">
        <v>1593</v>
      </c>
      <c r="B31" s="1170">
        <f>SUM(B32:B33)</f>
        <v>2940257226</v>
      </c>
      <c r="C31" s="1170">
        <f>SUM(C32:C33)</f>
        <v>2156315731.5</v>
      </c>
      <c r="D31" s="1171">
        <f>SUM(D32:D33)</f>
        <v>894446040</v>
      </c>
      <c r="E31" s="1172">
        <f>SUM(E32:E33)</f>
        <v>0</v>
      </c>
      <c r="F31" s="1170">
        <f>SUM(F32:F33)</f>
        <v>0</v>
      </c>
      <c r="G31" s="1170">
        <f t="shared" ref="G31:J31" si="19">SUM(G32:G33)</f>
        <v>0</v>
      </c>
      <c r="H31" s="1170">
        <f t="shared" si="19"/>
        <v>0</v>
      </c>
      <c r="I31" s="1170">
        <f t="shared" si="19"/>
        <v>0</v>
      </c>
      <c r="J31" s="1170">
        <f t="shared" si="19"/>
        <v>0</v>
      </c>
      <c r="K31" s="1173">
        <f t="shared" si="13"/>
        <v>2940257226</v>
      </c>
      <c r="L31" s="1174">
        <f t="shared" si="16"/>
        <v>2156315731.5</v>
      </c>
      <c r="M31" s="1174">
        <f t="shared" si="16"/>
        <v>894446040</v>
      </c>
    </row>
    <row r="32" spans="1:19" ht="25.5">
      <c r="A32" s="961" t="s">
        <v>1594</v>
      </c>
      <c r="B32" s="678">
        <f>755539641+6000000+139502092+12531620.5+1372889793.5</f>
        <v>2286463147</v>
      </c>
      <c r="C32" s="678">
        <v>1764211794.5</v>
      </c>
      <c r="D32" s="968">
        <v>708046972</v>
      </c>
      <c r="E32" s="965"/>
      <c r="F32" s="965"/>
      <c r="G32" s="962"/>
      <c r="H32" s="971"/>
      <c r="I32" s="678"/>
      <c r="J32" s="678"/>
      <c r="K32" s="1116">
        <f t="shared" ref="K32:M33" si="20">B32+E32+H32</f>
        <v>2286463147</v>
      </c>
      <c r="L32" s="960">
        <f t="shared" si="20"/>
        <v>1764211794.5</v>
      </c>
      <c r="M32" s="960">
        <f t="shared" si="20"/>
        <v>708046972</v>
      </c>
      <c r="Q32" s="1009"/>
    </row>
    <row r="33" spans="1:17">
      <c r="A33" s="961" t="s">
        <v>1595</v>
      </c>
      <c r="B33" s="962">
        <v>653794079</v>
      </c>
      <c r="C33" s="962">
        <v>392103937</v>
      </c>
      <c r="D33" s="964">
        <v>186399068</v>
      </c>
      <c r="E33" s="965"/>
      <c r="F33" s="962"/>
      <c r="G33" s="962"/>
      <c r="H33" s="962"/>
      <c r="I33" s="962"/>
      <c r="J33" s="962"/>
      <c r="K33" s="1116">
        <f t="shared" si="20"/>
        <v>653794079</v>
      </c>
      <c r="L33" s="960">
        <f t="shared" si="20"/>
        <v>392103937</v>
      </c>
      <c r="M33" s="960">
        <f t="shared" si="20"/>
        <v>186399068</v>
      </c>
    </row>
    <row r="34" spans="1:17" ht="22.5">
      <c r="A34" s="1175" t="s">
        <v>1596</v>
      </c>
      <c r="B34" s="1177">
        <f>SUM(B35:B37)</f>
        <v>1841475813</v>
      </c>
      <c r="C34" s="1178">
        <f>SUM(C35:C37)</f>
        <v>561371123</v>
      </c>
      <c r="D34" s="1179">
        <f>SUM(D35:D37)</f>
        <v>415980285</v>
      </c>
      <c r="E34" s="1179">
        <f>SUM(E35:E37)</f>
        <v>2472433828</v>
      </c>
      <c r="F34" s="1179">
        <f>SUM(F35:F37)</f>
        <v>0</v>
      </c>
      <c r="G34" s="1178">
        <f t="shared" ref="G34" si="21">SUM(G35:G36)</f>
        <v>0</v>
      </c>
      <c r="H34" s="1178">
        <f>SUM(H35:H37)</f>
        <v>0</v>
      </c>
      <c r="I34" s="1178">
        <f t="shared" ref="I34:J34" si="22">SUM(I35:I37)</f>
        <v>0</v>
      </c>
      <c r="J34" s="1178">
        <f t="shared" si="22"/>
        <v>0</v>
      </c>
      <c r="K34" s="1180">
        <f t="shared" si="13"/>
        <v>4313909641</v>
      </c>
      <c r="L34" s="1181">
        <f t="shared" si="16"/>
        <v>561371123</v>
      </c>
      <c r="M34" s="1181">
        <f t="shared" si="16"/>
        <v>415980285</v>
      </c>
    </row>
    <row r="35" spans="1:17">
      <c r="A35" s="969" t="s">
        <v>1597</v>
      </c>
      <c r="B35" s="970">
        <f>758893326+154733813</f>
        <v>913627139</v>
      </c>
      <c r="C35" s="971">
        <v>307411915</v>
      </c>
      <c r="D35" s="972">
        <v>228491394</v>
      </c>
      <c r="E35" s="973">
        <v>2472433828</v>
      </c>
      <c r="F35" s="973"/>
      <c r="G35" s="962"/>
      <c r="H35" s="962"/>
      <c r="I35" s="962"/>
      <c r="J35" s="962"/>
      <c r="K35" s="1117">
        <f>B35+E35+H35</f>
        <v>3386060967</v>
      </c>
      <c r="L35" s="974">
        <f>C35+F35+I35</f>
        <v>307411915</v>
      </c>
      <c r="M35" s="974">
        <f>D35+G35+J35</f>
        <v>228491394</v>
      </c>
    </row>
    <row r="36" spans="1:17">
      <c r="A36" s="975" t="s">
        <v>1598</v>
      </c>
      <c r="B36" s="976">
        <f>653530147+32000000+189488034</f>
        <v>875018181</v>
      </c>
      <c r="C36" s="962">
        <v>230823334</v>
      </c>
      <c r="D36" s="964">
        <v>168417148</v>
      </c>
      <c r="E36" s="965"/>
      <c r="F36" s="962"/>
      <c r="G36" s="962"/>
      <c r="H36" s="962"/>
      <c r="I36" s="962"/>
      <c r="J36" s="962"/>
      <c r="K36" s="1117">
        <f t="shared" ref="K36:K37" si="23">B36+E36+H36</f>
        <v>875018181</v>
      </c>
      <c r="L36" s="974">
        <f t="shared" ref="L36:L37" si="24">C36+F36+I36</f>
        <v>230823334</v>
      </c>
      <c r="M36" s="974">
        <f t="shared" ref="M36:M37" si="25">D36+G36+J36</f>
        <v>168417148</v>
      </c>
    </row>
    <row r="37" spans="1:17">
      <c r="A37" s="969" t="s">
        <v>1599</v>
      </c>
      <c r="B37" s="977">
        <f>84830493-32000000</f>
        <v>52830493</v>
      </c>
      <c r="C37" s="962">
        <v>23135874</v>
      </c>
      <c r="D37" s="964">
        <v>19071743</v>
      </c>
      <c r="E37" s="965"/>
      <c r="F37" s="965"/>
      <c r="G37" s="962"/>
      <c r="H37" s="962"/>
      <c r="I37" s="962"/>
      <c r="J37" s="962"/>
      <c r="K37" s="1117">
        <f t="shared" si="23"/>
        <v>52830493</v>
      </c>
      <c r="L37" s="974">
        <f t="shared" si="24"/>
        <v>23135874</v>
      </c>
      <c r="M37" s="974">
        <f t="shared" si="25"/>
        <v>19071743</v>
      </c>
    </row>
    <row r="38" spans="1:17">
      <c r="A38" s="1175" t="s">
        <v>1600</v>
      </c>
      <c r="B38" s="1176">
        <f>SUM(B39:B40)</f>
        <v>1128325252</v>
      </c>
      <c r="C38" s="1170">
        <f>SUM(C39:C40)</f>
        <v>809693088</v>
      </c>
      <c r="D38" s="1170">
        <f>SUM(D39:D40)</f>
        <v>234613653.5</v>
      </c>
      <c r="E38" s="1172">
        <f>SUM(E39:E40)</f>
        <v>0</v>
      </c>
      <c r="F38" s="1170">
        <f>SUM(F39:F40)</f>
        <v>0</v>
      </c>
      <c r="G38" s="1170">
        <f t="shared" ref="G38:J38" si="26">SUM(G39:G40)</f>
        <v>0</v>
      </c>
      <c r="H38" s="1170">
        <f t="shared" si="26"/>
        <v>0</v>
      </c>
      <c r="I38" s="1170">
        <f t="shared" si="26"/>
        <v>0</v>
      </c>
      <c r="J38" s="1170">
        <f t="shared" si="26"/>
        <v>0</v>
      </c>
      <c r="K38" s="1173">
        <f t="shared" si="13"/>
        <v>1128325252</v>
      </c>
      <c r="L38" s="1174">
        <f t="shared" si="16"/>
        <v>809693088</v>
      </c>
      <c r="M38" s="1174">
        <f t="shared" si="16"/>
        <v>234613653.5</v>
      </c>
    </row>
    <row r="39" spans="1:17">
      <c r="A39" s="978" t="s">
        <v>1601</v>
      </c>
      <c r="B39" s="977">
        <f>325706080+520000000</f>
        <v>845706080</v>
      </c>
      <c r="C39" s="979">
        <v>650643388</v>
      </c>
      <c r="D39" s="980">
        <v>123966182.5</v>
      </c>
      <c r="E39" s="981"/>
      <c r="F39" s="962"/>
      <c r="G39" s="979"/>
      <c r="H39" s="979"/>
      <c r="I39" s="979"/>
      <c r="J39" s="979"/>
      <c r="K39" s="1118">
        <f>SUM(B39+E39+H39)</f>
        <v>845706080</v>
      </c>
      <c r="L39" s="966">
        <f>C39+F39+I39</f>
        <v>650643388</v>
      </c>
      <c r="M39" s="966">
        <f>D39+G39+J39</f>
        <v>123966182.5</v>
      </c>
      <c r="Q39" s="1009"/>
    </row>
    <row r="40" spans="1:17">
      <c r="A40" s="982" t="s">
        <v>1602</v>
      </c>
      <c r="B40" s="678">
        <v>282619172</v>
      </c>
      <c r="C40" s="678">
        <v>159049700</v>
      </c>
      <c r="D40" s="968">
        <v>110647471</v>
      </c>
      <c r="E40" s="965"/>
      <c r="F40" s="962"/>
      <c r="G40" s="962"/>
      <c r="H40" s="962"/>
      <c r="I40" s="962"/>
      <c r="J40" s="962"/>
      <c r="K40" s="1118">
        <f>SUM(B40+E40+H40)</f>
        <v>282619172</v>
      </c>
      <c r="L40" s="966">
        <f>C40+F40+I40</f>
        <v>159049700</v>
      </c>
      <c r="M40" s="966">
        <f>D40+G40+J40</f>
        <v>110647471</v>
      </c>
    </row>
    <row r="41" spans="1:17">
      <c r="A41" s="1182" t="s">
        <v>1603</v>
      </c>
      <c r="B41" s="1183">
        <f>SUM(B42:B43)</f>
        <v>612020948</v>
      </c>
      <c r="C41" s="1183">
        <f>SUM(C42:C43)</f>
        <v>215303377</v>
      </c>
      <c r="D41" s="1183">
        <f>SUM(D42:D43)</f>
        <v>184217095</v>
      </c>
      <c r="E41" s="1184">
        <f>SUM(E42:E43)</f>
        <v>0</v>
      </c>
      <c r="F41" s="1170">
        <f>SUM(F42:F43)</f>
        <v>0</v>
      </c>
      <c r="G41" s="1170">
        <f t="shared" ref="G41:J41" si="27">SUM(G42:G43)</f>
        <v>0</v>
      </c>
      <c r="H41" s="1170">
        <f t="shared" si="27"/>
        <v>0</v>
      </c>
      <c r="I41" s="1170">
        <f t="shared" si="27"/>
        <v>0</v>
      </c>
      <c r="J41" s="1170">
        <f t="shared" si="27"/>
        <v>0</v>
      </c>
      <c r="K41" s="1185">
        <f t="shared" ref="K41:K44" si="28">+B41+E41+H41</f>
        <v>612020948</v>
      </c>
      <c r="L41" s="1186">
        <f t="shared" ref="L41:M44" si="29">+C41+F41+I41</f>
        <v>215303377</v>
      </c>
      <c r="M41" s="1186">
        <f t="shared" si="29"/>
        <v>184217095</v>
      </c>
    </row>
    <row r="42" spans="1:17">
      <c r="A42" s="969" t="s">
        <v>1604</v>
      </c>
      <c r="B42" s="977">
        <f>411544536-16000000</f>
        <v>395544536</v>
      </c>
      <c r="C42" s="962">
        <v>165152148</v>
      </c>
      <c r="D42" s="964">
        <v>141288299</v>
      </c>
      <c r="E42" s="983"/>
      <c r="F42" s="962"/>
      <c r="G42" s="984"/>
      <c r="H42" s="984"/>
      <c r="I42" s="984"/>
      <c r="J42" s="984"/>
      <c r="K42" s="1119">
        <f t="shared" ref="K42:M43" si="30">B42+E42+H42</f>
        <v>395544536</v>
      </c>
      <c r="L42" s="985">
        <f t="shared" si="30"/>
        <v>165152148</v>
      </c>
      <c r="M42" s="985">
        <f t="shared" si="30"/>
        <v>141288299</v>
      </c>
    </row>
    <row r="43" spans="1:17">
      <c r="A43" s="982" t="s">
        <v>1605</v>
      </c>
      <c r="B43" s="692">
        <f>238476412-22000000</f>
        <v>216476412</v>
      </c>
      <c r="C43" s="678">
        <v>50151229</v>
      </c>
      <c r="D43" s="968">
        <v>42928796</v>
      </c>
      <c r="E43" s="965"/>
      <c r="F43" s="962"/>
      <c r="G43" s="984"/>
      <c r="H43" s="984"/>
      <c r="I43" s="984"/>
      <c r="J43" s="984"/>
      <c r="K43" s="1119">
        <f t="shared" si="30"/>
        <v>216476412</v>
      </c>
      <c r="L43" s="985">
        <f t="shared" si="30"/>
        <v>50151229</v>
      </c>
      <c r="M43" s="985">
        <f t="shared" si="30"/>
        <v>42928796</v>
      </c>
    </row>
    <row r="44" spans="1:17">
      <c r="A44" s="1175" t="s">
        <v>1606</v>
      </c>
      <c r="B44" s="1176">
        <f>SUM(B45:B46)</f>
        <v>1058878409</v>
      </c>
      <c r="C44" s="1176">
        <f t="shared" ref="C44:J44" si="31">SUM(C45:C46)</f>
        <v>521620890</v>
      </c>
      <c r="D44" s="1176">
        <f t="shared" si="31"/>
        <v>391773906</v>
      </c>
      <c r="E44" s="1176">
        <f t="shared" si="31"/>
        <v>0</v>
      </c>
      <c r="F44" s="1176">
        <f t="shared" si="31"/>
        <v>0</v>
      </c>
      <c r="G44" s="1176">
        <f t="shared" si="31"/>
        <v>0</v>
      </c>
      <c r="H44" s="1176">
        <f t="shared" si="31"/>
        <v>0</v>
      </c>
      <c r="I44" s="1176">
        <f t="shared" si="31"/>
        <v>0</v>
      </c>
      <c r="J44" s="1176">
        <f t="shared" si="31"/>
        <v>0</v>
      </c>
      <c r="K44" s="1173">
        <f t="shared" si="28"/>
        <v>1058878409</v>
      </c>
      <c r="L44" s="1174">
        <f t="shared" si="29"/>
        <v>521620890</v>
      </c>
      <c r="M44" s="1174">
        <f t="shared" si="29"/>
        <v>391773906</v>
      </c>
    </row>
    <row r="45" spans="1:17" ht="25.5">
      <c r="A45" s="982" t="s">
        <v>1607</v>
      </c>
      <c r="B45" s="678">
        <f>769365817+5000000</f>
        <v>774365817</v>
      </c>
      <c r="C45" s="678">
        <v>378371197</v>
      </c>
      <c r="D45" s="678">
        <v>305743421</v>
      </c>
      <c r="E45" s="962"/>
      <c r="F45" s="962"/>
      <c r="G45" s="962"/>
      <c r="H45" s="962"/>
      <c r="I45" s="962"/>
      <c r="J45" s="962"/>
      <c r="K45" s="1116">
        <f t="shared" ref="K45:M46" si="32">B45+E45+H45</f>
        <v>774365817</v>
      </c>
      <c r="L45" s="960">
        <f t="shared" si="32"/>
        <v>378371197</v>
      </c>
      <c r="M45" s="960">
        <f t="shared" si="32"/>
        <v>305743421</v>
      </c>
    </row>
    <row r="46" spans="1:17" ht="13.5" thickBot="1">
      <c r="A46" s="988" t="s">
        <v>1608</v>
      </c>
      <c r="B46" s="678">
        <f>252512592+32000000</f>
        <v>284512592</v>
      </c>
      <c r="C46" s="671">
        <v>143249693</v>
      </c>
      <c r="D46" s="989">
        <v>86030485</v>
      </c>
      <c r="E46" s="983"/>
      <c r="F46" s="962"/>
      <c r="G46" s="984"/>
      <c r="H46" s="984"/>
      <c r="I46" s="984"/>
      <c r="J46" s="984"/>
      <c r="K46" s="1116">
        <f t="shared" si="32"/>
        <v>284512592</v>
      </c>
      <c r="L46" s="966">
        <f t="shared" si="32"/>
        <v>143249693</v>
      </c>
      <c r="M46" s="966">
        <f t="shared" si="32"/>
        <v>86030485</v>
      </c>
    </row>
    <row r="47" spans="1:17" ht="13.5" thickBot="1">
      <c r="A47" s="930" t="s">
        <v>1609</v>
      </c>
      <c r="B47" s="990"/>
      <c r="C47" s="990"/>
      <c r="D47" s="991"/>
      <c r="E47" s="992"/>
      <c r="F47" s="993"/>
      <c r="G47" s="993"/>
      <c r="H47" s="993"/>
      <c r="I47" s="993"/>
      <c r="J47" s="993"/>
      <c r="K47" s="990">
        <f>+B47+E47</f>
        <v>0</v>
      </c>
      <c r="L47" s="986">
        <f>+C47+F47</f>
        <v>0</v>
      </c>
      <c r="M47" s="953">
        <f>+D47+G47+L47</f>
        <v>0</v>
      </c>
    </row>
    <row r="48" spans="1:17" ht="13.5" thickBot="1">
      <c r="A48" s="994" t="s">
        <v>1610</v>
      </c>
      <c r="B48" s="995"/>
      <c r="C48" s="995"/>
      <c r="D48" s="996"/>
      <c r="E48" s="997"/>
      <c r="F48" s="998"/>
      <c r="G48" s="998"/>
      <c r="H48" s="998"/>
      <c r="I48" s="998"/>
      <c r="J48" s="998"/>
      <c r="K48" s="995"/>
      <c r="L48" s="999"/>
      <c r="M48" s="953">
        <f>+D48+G48+L48</f>
        <v>0</v>
      </c>
    </row>
    <row r="49" spans="1:18" ht="14.25" thickBot="1">
      <c r="A49" s="1000"/>
      <c r="B49" s="1001"/>
      <c r="C49" s="1001"/>
      <c r="D49" s="1001"/>
      <c r="E49" s="1002"/>
      <c r="F49" s="1003"/>
      <c r="G49" s="1001"/>
      <c r="H49" s="1001"/>
      <c r="I49" s="1001"/>
      <c r="J49" s="1001"/>
      <c r="K49" s="1004"/>
      <c r="L49" s="987">
        <f>+C49+F49</f>
        <v>0</v>
      </c>
      <c r="M49" s="953">
        <f>+D49+G49+L49</f>
        <v>0</v>
      </c>
    </row>
    <row r="50" spans="1:18" ht="13.5" thickBot="1">
      <c r="A50" s="1165" t="s">
        <v>1373</v>
      </c>
      <c r="B50" s="1166">
        <f>B24+B26</f>
        <v>12481732790</v>
      </c>
      <c r="C50" s="1166">
        <f>C24+C26</f>
        <v>6541325733.75</v>
      </c>
      <c r="D50" s="1167">
        <f>D24+D26</f>
        <v>2963901234.6399999</v>
      </c>
      <c r="E50" s="1168">
        <f>E24+E26</f>
        <v>5713990828</v>
      </c>
      <c r="F50" s="1160">
        <f>F24+F26</f>
        <v>1583313226</v>
      </c>
      <c r="G50" s="1160">
        <f t="shared" ref="G50:J50" si="33">G24+G26</f>
        <v>1258215573</v>
      </c>
      <c r="H50" s="1160">
        <f t="shared" si="33"/>
        <v>162044235</v>
      </c>
      <c r="I50" s="1160">
        <f t="shared" si="33"/>
        <v>79000000</v>
      </c>
      <c r="J50" s="1160">
        <f t="shared" si="33"/>
        <v>0</v>
      </c>
      <c r="K50" s="1160">
        <f>K24+K26</f>
        <v>18357767853</v>
      </c>
      <c r="L50" s="1160">
        <f t="shared" ref="L50:M50" si="34">L24+L26</f>
        <v>8203638959.75</v>
      </c>
      <c r="M50" s="1160">
        <f t="shared" si="34"/>
        <v>4222116807.6399999</v>
      </c>
      <c r="N50" s="1024">
        <f>L50/K50</f>
        <v>0.44687562373817541</v>
      </c>
      <c r="O50" s="1024">
        <f>M50/L50</f>
        <v>0.51466389834501758</v>
      </c>
    </row>
    <row r="52" spans="1:18">
      <c r="O52" s="1031"/>
      <c r="P52" s="1031" t="s">
        <v>1355</v>
      </c>
      <c r="Q52" s="1031" t="s">
        <v>1613</v>
      </c>
      <c r="R52" s="1031" t="s">
        <v>157</v>
      </c>
    </row>
    <row r="53" spans="1:18">
      <c r="B53" s="1024"/>
      <c r="O53" s="1031" t="s">
        <v>1586</v>
      </c>
      <c r="P53" s="1210">
        <f>L24</f>
        <v>3648984008.25</v>
      </c>
      <c r="Q53" s="1210">
        <f>L26</f>
        <v>4554654951.5</v>
      </c>
      <c r="R53" s="1210">
        <f>P53+Q53</f>
        <v>8203638959.75</v>
      </c>
    </row>
    <row r="54" spans="1:18">
      <c r="O54" s="1031" t="s">
        <v>1612</v>
      </c>
      <c r="P54" s="1210">
        <f>M24</f>
        <v>1862175202.1399999</v>
      </c>
      <c r="Q54" s="1210">
        <f>M26</f>
        <v>2359941605.5</v>
      </c>
      <c r="R54" s="1210">
        <f>P54+Q54</f>
        <v>4222116807.6399999</v>
      </c>
    </row>
    <row r="56" spans="1:18">
      <c r="E56" s="1024"/>
    </row>
    <row r="64" spans="1:18">
      <c r="A64" s="1009"/>
    </row>
  </sheetData>
  <mergeCells count="10">
    <mergeCell ref="E6:G6"/>
    <mergeCell ref="K6:M6"/>
    <mergeCell ref="A1:L1"/>
    <mergeCell ref="A2:L2"/>
    <mergeCell ref="A3:M3"/>
    <mergeCell ref="A4:M4"/>
    <mergeCell ref="E5:G5"/>
    <mergeCell ref="A6:A7"/>
    <mergeCell ref="B6:D6"/>
    <mergeCell ref="H6:J6"/>
  </mergeCells>
  <printOptions horizontalCentered="1" verticalCentered="1"/>
  <pageMargins left="0.78740157480314965" right="0.78740157480314965" top="0.98425196850393704" bottom="0.98425196850393704" header="0" footer="0"/>
  <pageSetup paperSize="9" scale="77"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15"/>
  <sheetViews>
    <sheetView showGridLines="0" zoomScale="98" zoomScaleNormal="98" workbookViewId="0">
      <selection sqref="A1:XFD1048576"/>
    </sheetView>
  </sheetViews>
  <sheetFormatPr baseColWidth="10" defaultColWidth="11.5703125" defaultRowHeight="15"/>
  <cols>
    <col min="1" max="1" width="1.85546875" style="1" customWidth="1"/>
    <col min="2" max="2" width="12.85546875" style="6" customWidth="1"/>
    <col min="3" max="3" width="5" style="88" bestFit="1" customWidth="1"/>
    <col min="4" max="4" width="34.85546875" style="1" customWidth="1"/>
    <col min="5" max="5" width="12.140625" style="1" customWidth="1"/>
    <col min="6" max="6" width="13.5703125" style="1" customWidth="1"/>
    <col min="7" max="16384" width="11.5703125" style="1"/>
  </cols>
  <sheetData>
    <row r="1" spans="1:21" s="551" customFormat="1" ht="100.5" customHeight="1" thickBot="1">
      <c r="A1" s="1344"/>
      <c r="B1" s="1345"/>
      <c r="C1" s="1345"/>
      <c r="D1" s="1345"/>
      <c r="E1" s="1345"/>
      <c r="F1" s="1345"/>
      <c r="G1" s="1345"/>
      <c r="H1" s="1345"/>
      <c r="I1" s="1345"/>
      <c r="J1" s="1345"/>
      <c r="K1" s="1345"/>
      <c r="L1" s="1345"/>
      <c r="M1" s="1345"/>
      <c r="N1" s="1345"/>
      <c r="O1" s="1345"/>
      <c r="P1" s="1346"/>
      <c r="Q1" s="413"/>
      <c r="R1" s="413"/>
    </row>
    <row r="2" spans="1:21" s="552" customFormat="1" ht="16.5" thickBot="1">
      <c r="A2" s="1352" t="str">
        <f>'Datos Generales'!C5</f>
        <v>Corporación Autónoma Regional de La Guajira – CORPOGUAJIRA</v>
      </c>
      <c r="B2" s="1353"/>
      <c r="C2" s="1353"/>
      <c r="D2" s="1353"/>
      <c r="E2" s="1353"/>
      <c r="F2" s="1353"/>
      <c r="G2" s="1353"/>
      <c r="H2" s="1353"/>
      <c r="I2" s="1353"/>
      <c r="J2" s="1353"/>
      <c r="K2" s="1353"/>
      <c r="L2" s="1353"/>
      <c r="M2" s="1353"/>
      <c r="N2" s="1353"/>
      <c r="O2" s="1353"/>
      <c r="P2" s="1354"/>
      <c r="Q2" s="413"/>
      <c r="R2" s="413"/>
    </row>
    <row r="3" spans="1:21" s="552" customFormat="1" ht="16.5" thickBot="1">
      <c r="A3" s="1347" t="s">
        <v>1419</v>
      </c>
      <c r="B3" s="1348"/>
      <c r="C3" s="1348"/>
      <c r="D3" s="1348"/>
      <c r="E3" s="1348"/>
      <c r="F3" s="1348"/>
      <c r="G3" s="1348"/>
      <c r="H3" s="1348"/>
      <c r="I3" s="1348"/>
      <c r="J3" s="1348"/>
      <c r="K3" s="1348"/>
      <c r="L3" s="1348"/>
      <c r="M3" s="1348"/>
      <c r="N3" s="1348"/>
      <c r="O3" s="1348"/>
      <c r="P3" s="1349"/>
      <c r="Q3" s="413"/>
      <c r="R3" s="413"/>
    </row>
    <row r="4" spans="1:21" s="552" customFormat="1" ht="16.5" thickBot="1">
      <c r="A4" s="1350" t="s">
        <v>1418</v>
      </c>
      <c r="B4" s="1351"/>
      <c r="C4" s="1351"/>
      <c r="D4" s="1351"/>
      <c r="E4" s="571" t="str">
        <f>'Datos Generales'!C6</f>
        <v>2016-II</v>
      </c>
      <c r="F4" s="571"/>
      <c r="G4" s="571"/>
      <c r="H4" s="571"/>
      <c r="I4" s="571"/>
      <c r="J4" s="571"/>
      <c r="K4" s="571"/>
      <c r="L4" s="572"/>
      <c r="M4" s="572"/>
      <c r="N4" s="572"/>
      <c r="O4" s="572"/>
      <c r="P4" s="573"/>
      <c r="Q4" s="413"/>
      <c r="R4" s="413"/>
    </row>
    <row r="5" spans="1:21" s="245" customFormat="1" ht="16.5" customHeight="1" thickBot="1">
      <c r="A5" s="1347" t="s">
        <v>0</v>
      </c>
      <c r="B5" s="1348"/>
      <c r="C5" s="1348"/>
      <c r="D5" s="1348"/>
      <c r="E5" s="1348"/>
      <c r="F5" s="1348"/>
      <c r="G5" s="1348"/>
      <c r="H5" s="1348"/>
      <c r="I5" s="1348"/>
      <c r="J5" s="1348"/>
      <c r="K5" s="1348"/>
      <c r="L5" s="1348"/>
      <c r="M5" s="1348"/>
      <c r="N5" s="1348"/>
      <c r="O5" s="1348"/>
      <c r="P5" s="1349"/>
    </row>
    <row r="6" spans="1:21" s="245" customFormat="1">
      <c r="B6" s="249" t="s">
        <v>1</v>
      </c>
      <c r="C6" s="250"/>
      <c r="D6" s="248"/>
      <c r="E6" s="577"/>
      <c r="F6" s="248" t="s">
        <v>133</v>
      </c>
      <c r="G6" s="248"/>
      <c r="H6" s="248"/>
      <c r="I6" s="248"/>
      <c r="J6" s="248"/>
      <c r="K6" s="248"/>
      <c r="L6" s="248"/>
      <c r="P6" s="413"/>
    </row>
    <row r="7" spans="1:21" s="245" customFormat="1" ht="15.75" thickBot="1">
      <c r="B7" s="251"/>
      <c r="C7" s="252"/>
      <c r="D7" s="248"/>
      <c r="E7" s="253"/>
      <c r="F7" s="254" t="s">
        <v>134</v>
      </c>
      <c r="G7" s="248"/>
      <c r="H7" s="248"/>
      <c r="I7" s="248"/>
      <c r="J7" s="248"/>
      <c r="K7" s="248"/>
      <c r="L7" s="248"/>
      <c r="P7" s="413"/>
    </row>
    <row r="8" spans="1:21" s="245" customFormat="1" ht="15.75" thickBot="1">
      <c r="B8" s="255" t="s">
        <v>1204</v>
      </c>
      <c r="C8" s="256">
        <v>2017</v>
      </c>
      <c r="D8" s="257">
        <f ca="1">IF(E10="NO APLICA","NO APLICA",IF(E11="NO SE REPORTA","SIN INFORMACION",+H100))</f>
        <v>0.14583333333333334</v>
      </c>
      <c r="E8" s="258"/>
      <c r="F8" s="248" t="s">
        <v>135</v>
      </c>
      <c r="G8" s="248"/>
      <c r="H8" s="248"/>
      <c r="I8" s="248"/>
      <c r="J8" s="248"/>
      <c r="K8" s="248"/>
    </row>
    <row r="9" spans="1:21" customFormat="1">
      <c r="A9" s="245"/>
      <c r="B9" s="507" t="s">
        <v>1205</v>
      </c>
      <c r="C9" s="304"/>
      <c r="D9" s="248"/>
      <c r="E9" s="248"/>
      <c r="F9" s="248"/>
      <c r="G9" s="248"/>
      <c r="H9" s="248"/>
      <c r="I9" s="248"/>
      <c r="J9" s="248"/>
      <c r="K9" s="248"/>
    </row>
    <row r="10" spans="1:21" s="413" customFormat="1">
      <c r="A10" s="245"/>
      <c r="B10" s="1412" t="s">
        <v>1265</v>
      </c>
      <c r="C10" s="1412"/>
      <c r="D10" s="1412"/>
      <c r="E10" s="513" t="s">
        <v>1262</v>
      </c>
      <c r="F10" s="1419"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420"/>
      <c r="H10" s="1420"/>
      <c r="I10" s="1420"/>
      <c r="J10" s="1420"/>
      <c r="K10" s="1420"/>
      <c r="L10" s="1420"/>
      <c r="M10" s="1420"/>
      <c r="N10" s="1420"/>
      <c r="O10" s="1420"/>
      <c r="P10" s="1420"/>
      <c r="Q10" s="1420"/>
      <c r="R10" s="1420"/>
      <c r="S10" s="1420"/>
      <c r="T10" s="509"/>
      <c r="U10" s="509"/>
    </row>
    <row r="11" spans="1:21" s="413" customFormat="1" ht="14.45" customHeight="1">
      <c r="A11" s="245"/>
      <c r="B11" s="510"/>
      <c r="C11" s="511"/>
      <c r="D11" s="512" t="str">
        <f>IF(E10="SI APLICA","¿El indicador no se reporta por limitaciones de información disponible? ","")</f>
        <v xml:space="preserve">¿El indicador no se reporta por limitaciones de información disponible? </v>
      </c>
      <c r="E11" s="514" t="s">
        <v>1264</v>
      </c>
      <c r="F11" s="1413"/>
      <c r="G11" s="1414"/>
      <c r="H11" s="1414"/>
      <c r="I11" s="1414"/>
      <c r="J11" s="1414"/>
      <c r="K11" s="1414"/>
      <c r="L11" s="1414"/>
      <c r="M11" s="1414"/>
      <c r="N11" s="1414"/>
      <c r="O11" s="1414"/>
      <c r="P11" s="1414"/>
      <c r="Q11" s="1414"/>
      <c r="R11" s="1414"/>
      <c r="S11" s="1414"/>
    </row>
    <row r="12" spans="1:21" s="413" customFormat="1" ht="23.45" customHeight="1">
      <c r="A12" s="245"/>
      <c r="B12" s="507"/>
      <c r="C12" s="304"/>
      <c r="D12" s="550" t="str">
        <f>IF(E11="SI SE REPORTA","¿Qué programas o proyectos del Plan de Acción están asociados al indicador? ","")</f>
        <v xml:space="preserve">¿Qué programas o proyectos del Plan de Acción están asociados al indicador? </v>
      </c>
      <c r="E12" s="1415" t="str">
        <f>'Anexo 1 Matriz Inf Gestión'!E9:H9</f>
        <v>Proyecto No 1.1.Planificación, Ordenamiento e Información Ambiental Territorial (1)</v>
      </c>
      <c r="F12" s="1415"/>
      <c r="G12" s="1415"/>
      <c r="H12" s="1415"/>
      <c r="I12" s="1415"/>
      <c r="J12" s="1415"/>
      <c r="K12" s="1415"/>
      <c r="L12" s="1415"/>
      <c r="M12" s="1415"/>
      <c r="N12" s="1415"/>
      <c r="O12" s="1415"/>
      <c r="P12" s="1415"/>
      <c r="Q12" s="1415"/>
      <c r="R12" s="1415"/>
    </row>
    <row r="13" spans="1:21" s="413" customFormat="1" ht="21.95" customHeight="1">
      <c r="A13" s="245"/>
      <c r="B13" s="507"/>
      <c r="C13" s="304"/>
      <c r="D13" s="512" t="s">
        <v>1267</v>
      </c>
      <c r="E13" s="1416" t="s">
        <v>1727</v>
      </c>
      <c r="F13" s="1417"/>
      <c r="G13" s="1417"/>
      <c r="H13" s="1417"/>
      <c r="I13" s="1417"/>
      <c r="J13" s="1417"/>
      <c r="K13" s="1417"/>
      <c r="L13" s="1417"/>
      <c r="M13" s="1417"/>
      <c r="N13" s="1417"/>
      <c r="O13" s="1417"/>
      <c r="P13" s="1417"/>
      <c r="Q13" s="1417"/>
      <c r="R13" s="1418"/>
    </row>
    <row r="14" spans="1:21" s="413" customFormat="1" ht="6.95" customHeight="1" thickBot="1">
      <c r="A14" s="245"/>
      <c r="B14" s="507"/>
      <c r="C14" s="304"/>
      <c r="D14" s="248"/>
      <c r="E14" s="248"/>
      <c r="F14" s="248"/>
      <c r="G14" s="248"/>
      <c r="H14" s="248"/>
      <c r="I14" s="248"/>
      <c r="J14" s="248"/>
      <c r="K14" s="248"/>
    </row>
    <row r="15" spans="1:21" ht="15.6" customHeight="1" thickBot="1">
      <c r="A15" s="359"/>
      <c r="B15" s="1367" t="s">
        <v>2</v>
      </c>
      <c r="C15" s="360"/>
      <c r="D15" s="1373" t="s">
        <v>3</v>
      </c>
      <c r="E15" s="1374"/>
      <c r="F15" s="1374"/>
      <c r="G15" s="1374"/>
      <c r="H15" s="1374"/>
      <c r="I15" s="1374"/>
      <c r="J15" s="1374"/>
      <c r="K15" s="1375"/>
    </row>
    <row r="16" spans="1:21" ht="36.75" thickBot="1">
      <c r="A16" s="359"/>
      <c r="B16" s="1368"/>
      <c r="C16" s="361"/>
      <c r="D16" s="287" t="s">
        <v>4</v>
      </c>
      <c r="E16" s="217">
        <v>9</v>
      </c>
      <c r="F16" s="248"/>
      <c r="G16" s="248"/>
      <c r="H16" s="248"/>
      <c r="I16" s="248"/>
      <c r="J16" s="248"/>
      <c r="K16" s="274"/>
    </row>
    <row r="17" spans="1:11" ht="36.75" thickBot="1">
      <c r="A17" s="359"/>
      <c r="B17" s="1368"/>
      <c r="C17" s="361"/>
      <c r="D17" s="278" t="s">
        <v>5</v>
      </c>
      <c r="E17" s="217">
        <v>7</v>
      </c>
      <c r="F17" s="248"/>
      <c r="G17" s="248"/>
      <c r="H17" s="248"/>
      <c r="I17" s="248"/>
      <c r="J17" s="248"/>
      <c r="K17" s="274"/>
    </row>
    <row r="18" spans="1:11" ht="48.75" thickBot="1">
      <c r="A18" s="359"/>
      <c r="B18" s="1368"/>
      <c r="C18" s="361"/>
      <c r="D18" s="278" t="s">
        <v>6</v>
      </c>
      <c r="E18" s="217">
        <v>0</v>
      </c>
      <c r="F18" s="248"/>
      <c r="G18" s="248"/>
      <c r="H18" s="248"/>
      <c r="I18" s="248"/>
      <c r="J18" s="248"/>
      <c r="K18" s="274"/>
    </row>
    <row r="19" spans="1:11" ht="24.75" thickBot="1">
      <c r="A19" s="359"/>
      <c r="B19" s="1368"/>
      <c r="C19" s="361"/>
      <c r="D19" s="278" t="s">
        <v>7</v>
      </c>
      <c r="E19" s="217">
        <v>4</v>
      </c>
      <c r="F19" s="248"/>
      <c r="G19" s="248"/>
      <c r="H19" s="248"/>
      <c r="I19" s="248"/>
      <c r="J19" s="248"/>
      <c r="K19" s="274"/>
    </row>
    <row r="20" spans="1:11" ht="24.75" thickBot="1">
      <c r="A20" s="359"/>
      <c r="B20" s="1368"/>
      <c r="C20" s="361"/>
      <c r="D20" s="278" t="s">
        <v>8</v>
      </c>
      <c r="E20" s="217">
        <v>2</v>
      </c>
      <c r="F20" s="248"/>
      <c r="G20" s="248"/>
      <c r="H20" s="248"/>
      <c r="I20" s="248"/>
      <c r="J20" s="248"/>
      <c r="K20" s="274"/>
    </row>
    <row r="21" spans="1:11" ht="24.75" thickBot="1">
      <c r="A21" s="359"/>
      <c r="B21" s="1369"/>
      <c r="C21" s="361"/>
      <c r="D21" s="278" t="s">
        <v>9</v>
      </c>
      <c r="E21" s="217">
        <v>0</v>
      </c>
      <c r="F21" s="248"/>
      <c r="G21" s="248"/>
      <c r="H21" s="248"/>
      <c r="I21" s="248"/>
      <c r="J21" s="248"/>
      <c r="K21" s="274"/>
    </row>
    <row r="22" spans="1:11" ht="14.1" customHeight="1">
      <c r="A22" s="359"/>
      <c r="B22" s="378"/>
      <c r="C22" s="362"/>
      <c r="D22" s="1376" t="s">
        <v>10</v>
      </c>
      <c r="E22" s="1377"/>
      <c r="F22" s="1377"/>
      <c r="G22" s="1377"/>
      <c r="H22" s="1377"/>
      <c r="I22" s="1377"/>
      <c r="J22" s="1377"/>
      <c r="K22" s="1378"/>
    </row>
    <row r="23" spans="1:11" ht="14.1" customHeight="1" thickBot="1">
      <c r="A23" s="359"/>
      <c r="B23" s="378"/>
      <c r="C23" s="362"/>
      <c r="D23" s="1376" t="s">
        <v>11</v>
      </c>
      <c r="E23" s="1377"/>
      <c r="F23" s="1377"/>
      <c r="G23" s="1377"/>
      <c r="H23" s="1377"/>
      <c r="I23" s="1377"/>
      <c r="J23" s="1377"/>
      <c r="K23" s="1378"/>
    </row>
    <row r="24" spans="1:11" ht="39" customHeight="1" thickBot="1">
      <c r="A24" s="359"/>
      <c r="B24" s="378"/>
      <c r="C24" s="240"/>
      <c r="D24" s="279" t="s">
        <v>12</v>
      </c>
      <c r="E24" s="279" t="s">
        <v>13</v>
      </c>
      <c r="F24" s="279" t="s">
        <v>14</v>
      </c>
      <c r="G24" s="279" t="s">
        <v>1206</v>
      </c>
      <c r="H24" s="363" t="s">
        <v>15</v>
      </c>
      <c r="I24" s="363" t="s">
        <v>1217</v>
      </c>
      <c r="J24" s="19"/>
      <c r="K24" s="20"/>
    </row>
    <row r="25" spans="1:11" s="243" customFormat="1" ht="14.1" customHeight="1" thickBot="1">
      <c r="B25" s="235"/>
      <c r="C25" s="240">
        <v>1</v>
      </c>
      <c r="D25" s="167" t="s">
        <v>16</v>
      </c>
      <c r="E25" s="167">
        <v>1504</v>
      </c>
      <c r="F25" s="167" t="s">
        <v>1618</v>
      </c>
      <c r="G25" s="197">
        <v>107853</v>
      </c>
      <c r="H25" s="30" t="s">
        <v>1621</v>
      </c>
      <c r="I25" s="242">
        <v>0.15</v>
      </c>
      <c r="J25" s="19"/>
      <c r="K25" s="20"/>
    </row>
    <row r="26" spans="1:11" s="243" customFormat="1" ht="14.1" customHeight="1" thickBot="1">
      <c r="B26" s="235"/>
      <c r="C26" s="240">
        <v>2</v>
      </c>
      <c r="D26" s="167" t="s">
        <v>16</v>
      </c>
      <c r="E26" s="167">
        <v>1505</v>
      </c>
      <c r="F26" s="167" t="s">
        <v>1619</v>
      </c>
      <c r="G26" s="197">
        <v>89477</v>
      </c>
      <c r="H26" s="30" t="s">
        <v>1620</v>
      </c>
      <c r="I26" s="242">
        <v>0.15</v>
      </c>
      <c r="J26" s="19"/>
      <c r="K26" s="20"/>
    </row>
    <row r="27" spans="1:11" s="243" customFormat="1" ht="14.1" customHeight="1" thickBot="1">
      <c r="B27" s="235"/>
      <c r="C27" s="240">
        <v>3</v>
      </c>
      <c r="D27" s="167" t="s">
        <v>16</v>
      </c>
      <c r="E27" s="167" t="s">
        <v>1622</v>
      </c>
      <c r="F27" s="167" t="s">
        <v>1623</v>
      </c>
      <c r="G27" s="197">
        <v>117222</v>
      </c>
      <c r="H27" s="30"/>
      <c r="I27" s="242">
        <v>0</v>
      </c>
      <c r="J27" s="19"/>
      <c r="K27" s="20"/>
    </row>
    <row r="28" spans="1:11" s="243" customFormat="1" ht="14.1" customHeight="1" thickBot="1">
      <c r="B28" s="235"/>
      <c r="C28" s="240">
        <v>4</v>
      </c>
      <c r="D28" s="167" t="s">
        <v>16</v>
      </c>
      <c r="E28" s="167" t="s">
        <v>1624</v>
      </c>
      <c r="F28" s="167" t="s">
        <v>1625</v>
      </c>
      <c r="G28" s="197">
        <v>38837</v>
      </c>
      <c r="H28" s="30"/>
      <c r="I28" s="242">
        <v>0</v>
      </c>
      <c r="J28" s="19"/>
      <c r="K28" s="20"/>
    </row>
    <row r="29" spans="1:11" s="243" customFormat="1" ht="14.1" customHeight="1" thickBot="1">
      <c r="B29" s="235"/>
      <c r="C29" s="240">
        <v>5</v>
      </c>
      <c r="D29" s="167" t="s">
        <v>17</v>
      </c>
      <c r="E29" s="167" t="s">
        <v>1634</v>
      </c>
      <c r="F29" s="167" t="s">
        <v>1637</v>
      </c>
      <c r="G29" s="197">
        <v>65000</v>
      </c>
      <c r="H29" s="30"/>
      <c r="I29" s="242">
        <v>1</v>
      </c>
      <c r="J29" s="19"/>
      <c r="K29" s="20"/>
    </row>
    <row r="30" spans="1:11" s="243" customFormat="1" ht="14.1" customHeight="1" thickBot="1">
      <c r="B30" s="235"/>
      <c r="C30" s="240">
        <v>6</v>
      </c>
      <c r="D30" s="167" t="s">
        <v>16</v>
      </c>
      <c r="E30" s="167"/>
      <c r="F30" s="167"/>
      <c r="G30" s="197"/>
      <c r="H30" s="30"/>
      <c r="I30" s="242"/>
      <c r="J30" s="19"/>
      <c r="K30" s="20"/>
    </row>
    <row r="31" spans="1:11" s="243" customFormat="1" ht="14.1" customHeight="1" thickBot="1">
      <c r="B31" s="235"/>
      <c r="C31" s="240">
        <v>7</v>
      </c>
      <c r="D31" s="167" t="s">
        <v>16</v>
      </c>
      <c r="E31" s="167"/>
      <c r="F31" s="167"/>
      <c r="G31" s="197"/>
      <c r="H31" s="30"/>
      <c r="I31" s="242"/>
      <c r="J31" s="19"/>
      <c r="K31" s="20"/>
    </row>
    <row r="32" spans="1:11" s="243" customFormat="1" ht="14.1" customHeight="1" thickBot="1">
      <c r="B32" s="235"/>
      <c r="C32" s="240">
        <v>8</v>
      </c>
      <c r="D32" s="167" t="s">
        <v>17</v>
      </c>
      <c r="E32" s="167" t="s">
        <v>1635</v>
      </c>
      <c r="F32" s="167" t="s">
        <v>1636</v>
      </c>
      <c r="G32" s="197">
        <v>0</v>
      </c>
      <c r="H32" s="30"/>
      <c r="I32" s="242">
        <v>0</v>
      </c>
      <c r="J32" s="19"/>
      <c r="K32" s="20"/>
    </row>
    <row r="33" spans="1:11" s="243" customFormat="1" ht="14.1" customHeight="1" thickBot="1">
      <c r="B33" s="235"/>
      <c r="C33" s="240">
        <v>9</v>
      </c>
      <c r="D33" s="167" t="s">
        <v>16</v>
      </c>
      <c r="E33" s="167"/>
      <c r="F33" s="167"/>
      <c r="G33" s="197"/>
      <c r="H33" s="30"/>
      <c r="I33" s="242"/>
      <c r="J33" s="19"/>
      <c r="K33" s="20"/>
    </row>
    <row r="34" spans="1:11" s="243" customFormat="1" ht="14.1" customHeight="1" thickBot="1">
      <c r="B34" s="235"/>
      <c r="C34" s="240">
        <v>10</v>
      </c>
      <c r="D34" s="167" t="s">
        <v>16</v>
      </c>
      <c r="E34" s="167"/>
      <c r="F34" s="167"/>
      <c r="G34" s="197"/>
      <c r="H34" s="30"/>
      <c r="I34" s="242"/>
      <c r="J34" s="19"/>
      <c r="K34" s="20"/>
    </row>
    <row r="35" spans="1:11" s="243" customFormat="1" ht="14.1" customHeight="1" thickBot="1">
      <c r="B35" s="235"/>
      <c r="C35" s="240">
        <v>11</v>
      </c>
      <c r="D35" s="167" t="s">
        <v>17</v>
      </c>
      <c r="E35" s="167" t="s">
        <v>1638</v>
      </c>
      <c r="F35" s="167" t="s">
        <v>1639</v>
      </c>
      <c r="G35" s="197">
        <v>0</v>
      </c>
      <c r="H35" s="30"/>
      <c r="I35" s="242">
        <v>0</v>
      </c>
      <c r="J35" s="19"/>
      <c r="K35" s="20"/>
    </row>
    <row r="36" spans="1:11" s="243" customFormat="1" ht="14.1" customHeight="1" thickBot="1">
      <c r="B36" s="235"/>
      <c r="C36" s="240">
        <v>12</v>
      </c>
      <c r="D36" s="167" t="s">
        <v>17</v>
      </c>
      <c r="E36" s="167" t="s">
        <v>1640</v>
      </c>
      <c r="F36" s="167" t="s">
        <v>1641</v>
      </c>
      <c r="G36" s="197">
        <v>422300</v>
      </c>
      <c r="H36" s="30"/>
      <c r="I36" s="242">
        <v>0</v>
      </c>
      <c r="J36" s="19"/>
      <c r="K36" s="20"/>
    </row>
    <row r="37" spans="1:11" s="243" customFormat="1" ht="14.1" customHeight="1" thickBot="1">
      <c r="B37" s="235"/>
      <c r="C37" s="240">
        <v>13</v>
      </c>
      <c r="D37" s="167" t="s">
        <v>18</v>
      </c>
      <c r="E37" s="167"/>
      <c r="F37" s="167"/>
      <c r="G37" s="197"/>
      <c r="H37" s="30"/>
      <c r="I37" s="242"/>
      <c r="J37" s="19"/>
      <c r="K37" s="20"/>
    </row>
    <row r="38" spans="1:11" s="243" customFormat="1" ht="14.1" customHeight="1" thickBot="1">
      <c r="B38" s="235"/>
      <c r="C38" s="240">
        <v>14</v>
      </c>
      <c r="D38" s="167" t="s">
        <v>18</v>
      </c>
      <c r="E38" s="167"/>
      <c r="F38" s="167"/>
      <c r="G38" s="197"/>
      <c r="H38" s="30"/>
      <c r="I38" s="242"/>
      <c r="J38" s="19"/>
      <c r="K38" s="20"/>
    </row>
    <row r="39" spans="1:11" ht="14.1" customHeight="1">
      <c r="A39" s="359"/>
      <c r="B39" s="378"/>
      <c r="C39" s="362"/>
      <c r="D39" s="1379" t="s">
        <v>19</v>
      </c>
      <c r="E39" s="1380"/>
      <c r="F39" s="1380"/>
      <c r="G39" s="1380"/>
      <c r="H39" s="1380"/>
      <c r="I39" s="1380"/>
      <c r="J39" s="1380"/>
      <c r="K39" s="1381"/>
    </row>
    <row r="40" spans="1:11" ht="14.1" customHeight="1">
      <c r="A40" s="359"/>
      <c r="B40" s="378"/>
      <c r="C40" s="362"/>
      <c r="D40" s="1382" t="s">
        <v>20</v>
      </c>
      <c r="E40" s="1383"/>
      <c r="F40" s="1383"/>
      <c r="G40" s="1383"/>
      <c r="H40" s="1383"/>
      <c r="I40" s="1383"/>
      <c r="J40" s="1383"/>
      <c r="K40" s="1384"/>
    </row>
    <row r="41" spans="1:11" ht="14.1" customHeight="1">
      <c r="A41" s="359"/>
      <c r="B41" s="378"/>
      <c r="C41" s="362"/>
      <c r="D41" s="1382" t="s">
        <v>21</v>
      </c>
      <c r="E41" s="1383"/>
      <c r="F41" s="1383"/>
      <c r="G41" s="1383"/>
      <c r="H41" s="1383"/>
      <c r="I41" s="1383"/>
      <c r="J41" s="1383"/>
      <c r="K41" s="1384"/>
    </row>
    <row r="42" spans="1:11" ht="14.1" customHeight="1">
      <c r="A42" s="359"/>
      <c r="B42" s="378"/>
      <c r="C42" s="362"/>
      <c r="D42" s="1382" t="s">
        <v>22</v>
      </c>
      <c r="E42" s="1383"/>
      <c r="F42" s="1383"/>
      <c r="G42" s="1383"/>
      <c r="H42" s="1383"/>
      <c r="I42" s="1383"/>
      <c r="J42" s="1383"/>
      <c r="K42" s="1384"/>
    </row>
    <row r="43" spans="1:11" ht="14.1" customHeight="1" thickBot="1">
      <c r="A43" s="359"/>
      <c r="B43" s="378"/>
      <c r="C43" s="362"/>
      <c r="D43" s="1370" t="s">
        <v>23</v>
      </c>
      <c r="E43" s="1371"/>
      <c r="F43" s="1371"/>
      <c r="G43" s="1371"/>
      <c r="H43" s="1371"/>
      <c r="I43" s="1371"/>
      <c r="J43" s="1371"/>
      <c r="K43" s="1372"/>
    </row>
    <row r="44" spans="1:11" ht="14.1" customHeight="1" thickBot="1">
      <c r="A44" s="359"/>
      <c r="B44" s="378"/>
      <c r="C44" s="279" t="s">
        <v>24</v>
      </c>
      <c r="D44" s="287" t="s">
        <v>12</v>
      </c>
      <c r="E44" s="287" t="s">
        <v>13</v>
      </c>
      <c r="F44" s="280" t="s">
        <v>14</v>
      </c>
      <c r="G44" s="317" t="s">
        <v>25</v>
      </c>
      <c r="H44" s="317" t="s">
        <v>26</v>
      </c>
      <c r="I44" s="317" t="s">
        <v>27</v>
      </c>
      <c r="J44" s="317" t="s">
        <v>28</v>
      </c>
      <c r="K44" s="281"/>
    </row>
    <row r="45" spans="1:11" s="243" customFormat="1" ht="14.1" customHeight="1" thickBot="1">
      <c r="B45" s="235"/>
      <c r="C45" s="240">
        <v>1</v>
      </c>
      <c r="D45" s="167" t="s">
        <v>16</v>
      </c>
      <c r="E45" s="167">
        <v>1504</v>
      </c>
      <c r="F45" s="167" t="s">
        <v>1618</v>
      </c>
      <c r="G45" s="32">
        <v>0.7</v>
      </c>
      <c r="H45" s="32">
        <v>0.3</v>
      </c>
      <c r="I45" s="32"/>
      <c r="J45" s="32"/>
      <c r="K45" s="115"/>
    </row>
    <row r="46" spans="1:11" s="243" customFormat="1" ht="14.1" customHeight="1" thickBot="1">
      <c r="B46" s="235"/>
      <c r="C46" s="240">
        <v>2</v>
      </c>
      <c r="D46" s="167" t="s">
        <v>16</v>
      </c>
      <c r="E46" s="167">
        <v>1505</v>
      </c>
      <c r="F46" s="167" t="s">
        <v>1619</v>
      </c>
      <c r="G46" s="32">
        <v>0.7</v>
      </c>
      <c r="H46" s="32">
        <v>0.3</v>
      </c>
      <c r="I46" s="32"/>
      <c r="J46" s="32"/>
      <c r="K46" s="115"/>
    </row>
    <row r="47" spans="1:11" s="243" customFormat="1" ht="14.1" customHeight="1" thickBot="1">
      <c r="B47" s="235"/>
      <c r="C47" s="240">
        <v>3</v>
      </c>
      <c r="D47" s="167" t="s">
        <v>16</v>
      </c>
      <c r="E47" s="167" t="s">
        <v>1622</v>
      </c>
      <c r="F47" s="167" t="s">
        <v>1623</v>
      </c>
      <c r="G47" s="32">
        <v>0.2</v>
      </c>
      <c r="H47" s="32">
        <v>0.8</v>
      </c>
      <c r="I47" s="32"/>
      <c r="J47" s="32"/>
      <c r="K47" s="115"/>
    </row>
    <row r="48" spans="1:11" s="243" customFormat="1" ht="14.1" customHeight="1" thickBot="1">
      <c r="B48" s="235"/>
      <c r="C48" s="240">
        <v>4</v>
      </c>
      <c r="D48" s="167" t="s">
        <v>17</v>
      </c>
      <c r="E48" s="167" t="s">
        <v>1634</v>
      </c>
      <c r="F48" s="167" t="s">
        <v>1637</v>
      </c>
      <c r="G48" s="32">
        <v>0</v>
      </c>
      <c r="H48" s="32"/>
      <c r="I48" s="32"/>
      <c r="J48" s="32"/>
      <c r="K48" s="115"/>
    </row>
    <row r="49" spans="1:11" s="243" customFormat="1" ht="14.1" customHeight="1" thickBot="1">
      <c r="B49" s="235"/>
      <c r="C49" s="240">
        <v>5</v>
      </c>
      <c r="D49" s="167" t="s">
        <v>17</v>
      </c>
      <c r="E49" s="167"/>
      <c r="F49" s="167"/>
      <c r="G49" s="32"/>
      <c r="H49" s="32"/>
      <c r="I49" s="32"/>
      <c r="J49" s="32"/>
      <c r="K49" s="115"/>
    </row>
    <row r="50" spans="1:11" s="243" customFormat="1" ht="14.1" customHeight="1" thickBot="1">
      <c r="B50" s="235"/>
      <c r="C50" s="240">
        <v>6</v>
      </c>
      <c r="D50" s="167" t="s">
        <v>16</v>
      </c>
      <c r="E50" s="167" t="s">
        <v>1624</v>
      </c>
      <c r="F50" s="167" t="s">
        <v>1625</v>
      </c>
      <c r="G50" s="32">
        <v>0</v>
      </c>
      <c r="H50" s="32">
        <v>0</v>
      </c>
      <c r="I50" s="32">
        <v>0.5</v>
      </c>
      <c r="J50" s="32">
        <v>0.5</v>
      </c>
      <c r="K50" s="115"/>
    </row>
    <row r="51" spans="1:11" s="243" customFormat="1" ht="14.1" customHeight="1" thickBot="1">
      <c r="B51" s="235"/>
      <c r="C51" s="240">
        <v>7</v>
      </c>
      <c r="D51" s="167" t="s">
        <v>16</v>
      </c>
      <c r="E51" s="167"/>
      <c r="F51" s="167"/>
      <c r="G51" s="32"/>
      <c r="H51" s="32"/>
      <c r="I51" s="32"/>
      <c r="J51" s="32"/>
      <c r="K51" s="115"/>
    </row>
    <row r="52" spans="1:11" s="243" customFormat="1" ht="14.1" customHeight="1" thickBot="1">
      <c r="B52" s="235"/>
      <c r="C52" s="240">
        <v>8</v>
      </c>
      <c r="D52" s="167" t="s">
        <v>17</v>
      </c>
      <c r="E52" s="167" t="s">
        <v>1635</v>
      </c>
      <c r="F52" s="167" t="s">
        <v>1636</v>
      </c>
      <c r="G52" s="32">
        <v>0</v>
      </c>
      <c r="H52" s="32"/>
      <c r="I52" s="32"/>
      <c r="J52" s="32"/>
      <c r="K52" s="115"/>
    </row>
    <row r="53" spans="1:11" s="243" customFormat="1" ht="14.1" customHeight="1" thickBot="1">
      <c r="B53" s="235"/>
      <c r="C53" s="240">
        <v>9</v>
      </c>
      <c r="D53" s="167" t="s">
        <v>17</v>
      </c>
      <c r="E53" s="167"/>
      <c r="F53" s="167"/>
      <c r="G53" s="32"/>
      <c r="H53" s="32"/>
      <c r="I53" s="32"/>
      <c r="J53" s="32"/>
      <c r="K53" s="115"/>
    </row>
    <row r="54" spans="1:11" s="243" customFormat="1" ht="14.1" customHeight="1" thickBot="1">
      <c r="B54" s="235"/>
      <c r="C54" s="240">
        <v>10</v>
      </c>
      <c r="D54" s="167" t="s">
        <v>16</v>
      </c>
      <c r="E54" s="167"/>
      <c r="F54" s="167"/>
      <c r="G54" s="32"/>
      <c r="H54" s="32"/>
      <c r="I54" s="32"/>
      <c r="J54" s="32"/>
      <c r="K54" s="115"/>
    </row>
    <row r="55" spans="1:11" s="243" customFormat="1" ht="14.1" customHeight="1" thickBot="1">
      <c r="B55" s="235"/>
      <c r="C55" s="240">
        <v>11</v>
      </c>
      <c r="D55" s="167" t="s">
        <v>16</v>
      </c>
      <c r="E55" s="167"/>
      <c r="F55" s="167"/>
      <c r="G55" s="32"/>
      <c r="H55" s="32"/>
      <c r="I55" s="32"/>
      <c r="J55" s="32"/>
      <c r="K55" s="115"/>
    </row>
    <row r="56" spans="1:11" s="243" customFormat="1" ht="14.1" customHeight="1" thickBot="1">
      <c r="B56" s="235"/>
      <c r="C56" s="240">
        <v>12</v>
      </c>
      <c r="D56" s="167" t="s">
        <v>17</v>
      </c>
      <c r="E56" s="167" t="s">
        <v>1638</v>
      </c>
      <c r="F56" s="167" t="s">
        <v>1639</v>
      </c>
      <c r="G56" s="32">
        <v>0</v>
      </c>
      <c r="H56" s="32"/>
      <c r="I56" s="32"/>
      <c r="J56" s="32"/>
      <c r="K56" s="115"/>
    </row>
    <row r="57" spans="1:11" s="243" customFormat="1" ht="14.1" customHeight="1" thickBot="1">
      <c r="B57" s="235"/>
      <c r="C57" s="240">
        <v>13</v>
      </c>
      <c r="D57" s="167" t="s">
        <v>17</v>
      </c>
      <c r="E57" s="167" t="s">
        <v>1640</v>
      </c>
      <c r="F57" s="167" t="s">
        <v>1641</v>
      </c>
      <c r="G57" s="32">
        <v>0</v>
      </c>
      <c r="H57" s="32"/>
      <c r="I57" s="32"/>
      <c r="J57" s="32"/>
      <c r="K57" s="115"/>
    </row>
    <row r="58" spans="1:11" s="243" customFormat="1" ht="14.1" customHeight="1" thickBot="1">
      <c r="B58" s="235"/>
      <c r="C58" s="240">
        <v>14</v>
      </c>
      <c r="D58" s="167" t="s">
        <v>18</v>
      </c>
      <c r="E58" s="167"/>
      <c r="F58" s="167"/>
      <c r="G58" s="32"/>
      <c r="H58" s="32"/>
      <c r="I58" s="32"/>
      <c r="J58" s="32"/>
      <c r="K58" s="116"/>
    </row>
    <row r="59" spans="1:11" ht="14.1" customHeight="1">
      <c r="A59" s="359"/>
      <c r="B59" s="378"/>
      <c r="C59" s="362"/>
      <c r="D59" s="1373" t="s">
        <v>29</v>
      </c>
      <c r="E59" s="1374"/>
      <c r="F59" s="1374"/>
      <c r="G59" s="1374"/>
      <c r="H59" s="1374"/>
      <c r="I59" s="1374"/>
      <c r="J59" s="1374"/>
      <c r="K59" s="1375"/>
    </row>
    <row r="60" spans="1:11" ht="14.1" customHeight="1" thickBot="1">
      <c r="A60" s="359"/>
      <c r="B60" s="378"/>
      <c r="C60" s="362"/>
      <c r="D60" s="1370" t="s">
        <v>30</v>
      </c>
      <c r="E60" s="1371"/>
      <c r="F60" s="1371"/>
      <c r="G60" s="1371"/>
      <c r="H60" s="1371"/>
      <c r="I60" s="1371"/>
      <c r="J60" s="1371"/>
      <c r="K60" s="1372"/>
    </row>
    <row r="61" spans="1:11" ht="14.1" customHeight="1" thickBot="1">
      <c r="A61" s="359"/>
      <c r="B61" s="378"/>
      <c r="C61" s="279" t="s">
        <v>24</v>
      </c>
      <c r="D61" s="287" t="s">
        <v>12</v>
      </c>
      <c r="E61" s="287" t="s">
        <v>31</v>
      </c>
      <c r="F61" s="280" t="s">
        <v>14</v>
      </c>
      <c r="G61" s="317" t="s">
        <v>25</v>
      </c>
      <c r="H61" s="317" t="s">
        <v>26</v>
      </c>
      <c r="I61" s="317" t="s">
        <v>27</v>
      </c>
      <c r="J61" s="317" t="s">
        <v>28</v>
      </c>
      <c r="K61" s="281"/>
    </row>
    <row r="62" spans="1:11" s="243" customFormat="1" ht="14.1" customHeight="1" thickBot="1">
      <c r="B62" s="235"/>
      <c r="C62" s="240">
        <v>1</v>
      </c>
      <c r="D62" s="244" t="str">
        <f>IF(ISBLANK(D45),"",D45)</f>
        <v>POMCA</v>
      </c>
      <c r="E62" s="244">
        <f t="shared" ref="E62:F75" si="0">IF(ISBLANK(E45),"",E45)</f>
        <v>1504</v>
      </c>
      <c r="F62" s="244" t="str">
        <f>IF(ISBLANK(F45),"",F45)</f>
        <v>TAPIAS</v>
      </c>
      <c r="G62" s="32">
        <v>0.33</v>
      </c>
      <c r="H62" s="32">
        <v>0.06</v>
      </c>
      <c r="I62" s="32"/>
      <c r="J62" s="32"/>
      <c r="K62" s="115"/>
    </row>
    <row r="63" spans="1:11" s="243" customFormat="1" ht="14.1" customHeight="1" thickBot="1">
      <c r="B63" s="235"/>
      <c r="C63" s="240">
        <v>2</v>
      </c>
      <c r="D63" s="244" t="str">
        <f t="shared" ref="D63:D75" si="1">IF(ISBLANK(D46),"",D46)</f>
        <v>POMCA</v>
      </c>
      <c r="E63" s="244">
        <f t="shared" si="0"/>
        <v>1505</v>
      </c>
      <c r="F63" s="244" t="str">
        <f t="shared" si="0"/>
        <v>CAMARONES</v>
      </c>
      <c r="G63" s="32">
        <v>0.33</v>
      </c>
      <c r="H63" s="32">
        <v>0.06</v>
      </c>
      <c r="I63" s="32"/>
      <c r="J63" s="32"/>
      <c r="K63" s="115"/>
    </row>
    <row r="64" spans="1:11" s="243" customFormat="1" ht="14.1" customHeight="1" thickBot="1">
      <c r="B64" s="235"/>
      <c r="C64" s="240">
        <v>3</v>
      </c>
      <c r="D64" s="244" t="str">
        <f t="shared" si="1"/>
        <v>POMCA</v>
      </c>
      <c r="E64" s="244" t="str">
        <f t="shared" si="0"/>
        <v>1503-02</v>
      </c>
      <c r="F64" s="244" t="str">
        <f t="shared" si="0"/>
        <v>ANCHO Y OTROS DIRECTOS AL CARIBE</v>
      </c>
      <c r="G64" s="32">
        <v>0.15</v>
      </c>
      <c r="H64" s="32">
        <v>0.18</v>
      </c>
      <c r="I64" s="32"/>
      <c r="J64" s="32"/>
      <c r="K64" s="115"/>
    </row>
    <row r="65" spans="1:11" s="243" customFormat="1" ht="14.1" customHeight="1" thickBot="1">
      <c r="B65" s="235"/>
      <c r="C65" s="240">
        <v>4</v>
      </c>
      <c r="D65" s="244" t="str">
        <f t="shared" si="1"/>
        <v>PMA</v>
      </c>
      <c r="E65" s="244" t="str">
        <f t="shared" si="0"/>
        <v>SAC 3.1</v>
      </c>
      <c r="F65" s="244" t="str">
        <f t="shared" si="0"/>
        <v>Sistema Acuifero de Maicao</v>
      </c>
      <c r="G65" s="32">
        <v>0</v>
      </c>
      <c r="H65" s="32">
        <v>0</v>
      </c>
      <c r="I65" s="32"/>
      <c r="J65" s="32"/>
      <c r="K65" s="115"/>
    </row>
    <row r="66" spans="1:11" s="243" customFormat="1" ht="14.1" customHeight="1" thickBot="1">
      <c r="B66" s="235"/>
      <c r="C66" s="240">
        <v>5</v>
      </c>
      <c r="D66" s="244" t="str">
        <f t="shared" si="1"/>
        <v>PMA</v>
      </c>
      <c r="E66" s="244" t="str">
        <f t="shared" si="0"/>
        <v/>
      </c>
      <c r="F66" s="244" t="str">
        <f t="shared" si="0"/>
        <v/>
      </c>
      <c r="G66" s="32"/>
      <c r="H66" s="32"/>
      <c r="I66" s="32"/>
      <c r="J66" s="32"/>
      <c r="K66" s="115"/>
    </row>
    <row r="67" spans="1:11" s="243" customFormat="1" ht="14.1" customHeight="1" thickBot="1">
      <c r="B67" s="235"/>
      <c r="C67" s="240">
        <v>6</v>
      </c>
      <c r="D67" s="244" t="str">
        <f t="shared" si="1"/>
        <v>POMCA</v>
      </c>
      <c r="E67" s="244" t="str">
        <f t="shared" si="0"/>
        <v>1503-01</v>
      </c>
      <c r="F67" s="244" t="str">
        <f t="shared" si="0"/>
        <v>PALOMINO</v>
      </c>
      <c r="G67" s="32">
        <v>0</v>
      </c>
      <c r="H67" s="32">
        <v>0</v>
      </c>
      <c r="I67" s="32"/>
      <c r="J67" s="32"/>
      <c r="K67" s="115"/>
    </row>
    <row r="68" spans="1:11" s="243" customFormat="1" ht="14.1" customHeight="1" thickBot="1">
      <c r="B68" s="235"/>
      <c r="C68" s="240">
        <v>7</v>
      </c>
      <c r="D68" s="244" t="str">
        <f t="shared" si="1"/>
        <v>POMCA</v>
      </c>
      <c r="E68" s="244" t="str">
        <f t="shared" si="0"/>
        <v/>
      </c>
      <c r="F68" s="244" t="str">
        <f t="shared" si="0"/>
        <v/>
      </c>
      <c r="G68" s="32"/>
      <c r="H68" s="32"/>
      <c r="I68" s="32"/>
      <c r="J68" s="32"/>
      <c r="K68" s="115"/>
    </row>
    <row r="69" spans="1:11" s="243" customFormat="1" ht="14.1" customHeight="1" thickBot="1">
      <c r="B69" s="235"/>
      <c r="C69" s="240">
        <v>8</v>
      </c>
      <c r="D69" s="244" t="str">
        <f t="shared" si="1"/>
        <v>PMA</v>
      </c>
      <c r="E69" s="244" t="str">
        <f t="shared" si="0"/>
        <v>SAC 3.2</v>
      </c>
      <c r="F69" s="244" t="str">
        <f t="shared" si="0"/>
        <v>Sistema de Acuifero Riohacha - Manaure</v>
      </c>
      <c r="G69" s="32">
        <v>0</v>
      </c>
      <c r="H69" s="32">
        <v>0</v>
      </c>
      <c r="I69" s="32"/>
      <c r="J69" s="32"/>
      <c r="K69" s="115"/>
    </row>
    <row r="70" spans="1:11" s="243" customFormat="1" ht="14.1" customHeight="1" thickBot="1">
      <c r="B70" s="235"/>
      <c r="C70" s="240">
        <v>9</v>
      </c>
      <c r="D70" s="244" t="str">
        <f t="shared" si="1"/>
        <v>PMA</v>
      </c>
      <c r="E70" s="244" t="str">
        <f t="shared" si="0"/>
        <v/>
      </c>
      <c r="F70" s="244" t="str">
        <f t="shared" si="0"/>
        <v/>
      </c>
      <c r="G70" s="32"/>
      <c r="H70" s="32"/>
      <c r="I70" s="32"/>
      <c r="J70" s="32"/>
      <c r="K70" s="115"/>
    </row>
    <row r="71" spans="1:11" s="243" customFormat="1" ht="14.1" customHeight="1" thickBot="1">
      <c r="B71" s="235"/>
      <c r="C71" s="240">
        <v>10</v>
      </c>
      <c r="D71" s="244" t="str">
        <f t="shared" si="1"/>
        <v>POMCA</v>
      </c>
      <c r="E71" s="244" t="str">
        <f t="shared" si="0"/>
        <v/>
      </c>
      <c r="F71" s="244" t="str">
        <f t="shared" si="0"/>
        <v/>
      </c>
      <c r="G71" s="32"/>
      <c r="H71" s="32"/>
      <c r="I71" s="32"/>
      <c r="J71" s="32"/>
      <c r="K71" s="115"/>
    </row>
    <row r="72" spans="1:11" s="243" customFormat="1" ht="14.1" customHeight="1" thickBot="1">
      <c r="B72" s="235"/>
      <c r="C72" s="240">
        <v>11</v>
      </c>
      <c r="D72" s="244" t="str">
        <f t="shared" si="1"/>
        <v>POMCA</v>
      </c>
      <c r="E72" s="244" t="str">
        <f t="shared" si="0"/>
        <v/>
      </c>
      <c r="F72" s="244" t="str">
        <f t="shared" si="0"/>
        <v/>
      </c>
      <c r="G72" s="32"/>
      <c r="H72" s="32"/>
      <c r="I72" s="32"/>
      <c r="J72" s="32"/>
      <c r="K72" s="115"/>
    </row>
    <row r="73" spans="1:11" s="243" customFormat="1" ht="14.1" customHeight="1" thickBot="1">
      <c r="B73" s="235"/>
      <c r="C73" s="240">
        <v>12</v>
      </c>
      <c r="D73" s="244" t="str">
        <f t="shared" si="1"/>
        <v>PMA</v>
      </c>
      <c r="E73" s="244" t="str">
        <f t="shared" si="0"/>
        <v>SAC 3.3</v>
      </c>
      <c r="F73" s="244" t="str">
        <f t="shared" si="0"/>
        <v>Sistema de Acuifero Alta Guajira</v>
      </c>
      <c r="G73" s="32">
        <v>0</v>
      </c>
      <c r="H73" s="32">
        <v>0</v>
      </c>
      <c r="I73" s="32"/>
      <c r="J73" s="32"/>
      <c r="K73" s="115"/>
    </row>
    <row r="74" spans="1:11" s="243" customFormat="1" ht="14.1" customHeight="1" thickBot="1">
      <c r="B74" s="235"/>
      <c r="C74" s="240">
        <v>13</v>
      </c>
      <c r="D74" s="244" t="str">
        <f t="shared" si="1"/>
        <v>PMA</v>
      </c>
      <c r="E74" s="244" t="str">
        <f t="shared" si="0"/>
        <v>SAC 4.2</v>
      </c>
      <c r="F74" s="244" t="str">
        <f t="shared" si="0"/>
        <v>Sistema de Acuifero Ranchería</v>
      </c>
      <c r="G74" s="32">
        <v>0</v>
      </c>
      <c r="H74" s="32">
        <v>0</v>
      </c>
      <c r="I74" s="32"/>
      <c r="J74" s="32"/>
      <c r="K74" s="115"/>
    </row>
    <row r="75" spans="1:11" s="243" customFormat="1" ht="14.1" customHeight="1" thickBot="1">
      <c r="B75" s="235"/>
      <c r="C75" s="240">
        <v>14</v>
      </c>
      <c r="D75" s="244" t="str">
        <f t="shared" si="1"/>
        <v>PMM</v>
      </c>
      <c r="E75" s="244" t="str">
        <f t="shared" si="0"/>
        <v/>
      </c>
      <c r="F75" s="244" t="str">
        <f t="shared" si="0"/>
        <v/>
      </c>
      <c r="G75" s="32"/>
      <c r="H75" s="32"/>
      <c r="I75" s="32"/>
      <c r="J75" s="32"/>
      <c r="K75" s="115"/>
    </row>
    <row r="76" spans="1:11" ht="14.1" customHeight="1">
      <c r="A76" s="359"/>
      <c r="B76" s="378"/>
      <c r="C76" s="362"/>
      <c r="D76" s="1373" t="s">
        <v>19</v>
      </c>
      <c r="E76" s="1374"/>
      <c r="F76" s="1374"/>
      <c r="G76" s="1374"/>
      <c r="H76" s="1374"/>
      <c r="I76" s="1374"/>
      <c r="J76" s="1374"/>
      <c r="K76" s="1375"/>
    </row>
    <row r="77" spans="1:11" ht="14.1" customHeight="1">
      <c r="A77" s="359"/>
      <c r="B77" s="378"/>
      <c r="C77" s="362"/>
      <c r="D77" s="1379" t="s">
        <v>32</v>
      </c>
      <c r="E77" s="1380"/>
      <c r="F77" s="1380"/>
      <c r="G77" s="1380"/>
      <c r="H77" s="1380"/>
      <c r="I77" s="1380"/>
      <c r="J77" s="1380"/>
      <c r="K77" s="1381"/>
    </row>
    <row r="78" spans="1:11" ht="14.1" customHeight="1" thickBot="1">
      <c r="A78" s="359"/>
      <c r="B78" s="378"/>
      <c r="C78" s="362"/>
      <c r="D78" s="1370" t="s">
        <v>33</v>
      </c>
      <c r="E78" s="1371"/>
      <c r="F78" s="1371"/>
      <c r="G78" s="1371"/>
      <c r="H78" s="1371"/>
      <c r="I78" s="1371"/>
      <c r="J78" s="1371"/>
      <c r="K78" s="1372"/>
    </row>
    <row r="79" spans="1:11" ht="14.1" customHeight="1" thickBot="1">
      <c r="A79" s="359"/>
      <c r="B79" s="378"/>
      <c r="C79" s="365" t="s">
        <v>24</v>
      </c>
      <c r="D79" s="332" t="s">
        <v>12</v>
      </c>
      <c r="E79" s="332" t="s">
        <v>31</v>
      </c>
      <c r="F79" s="366" t="s">
        <v>14</v>
      </c>
      <c r="G79" s="366" t="s">
        <v>25</v>
      </c>
      <c r="H79" s="366" t="s">
        <v>26</v>
      </c>
      <c r="I79" s="366" t="s">
        <v>27</v>
      </c>
      <c r="J79" s="366" t="s">
        <v>28</v>
      </c>
      <c r="K79" s="281"/>
    </row>
    <row r="80" spans="1:11" ht="14.1" customHeight="1" thickBot="1">
      <c r="A80" s="359"/>
      <c r="B80" s="378"/>
      <c r="C80" s="345">
        <v>1</v>
      </c>
      <c r="D80" s="367" t="str">
        <f>IF(ISBLANK(D62),"",D62)</f>
        <v>POMCA</v>
      </c>
      <c r="E80" s="367">
        <f>IF(ISBLANK(E62),"",E62)</f>
        <v>1504</v>
      </c>
      <c r="F80" s="367" t="str">
        <f>IF(ISBLANK(F62),"",F62)</f>
        <v>TAPIAS</v>
      </c>
      <c r="G80" s="368">
        <f>IFERROR(G62/G45,"N.A.")</f>
        <v>0.47142857142857147</v>
      </c>
      <c r="H80" s="368">
        <f>IFERROR(H62/H45,"N.A.")</f>
        <v>0.2</v>
      </c>
      <c r="I80" s="368" t="str">
        <f>IFERROR(I62/I45,"N.A.")</f>
        <v>N.A.</v>
      </c>
      <c r="J80" s="368" t="str">
        <f>IFERROR(J62/J45,"N.A.")</f>
        <v>N.A.</v>
      </c>
      <c r="K80" s="364"/>
    </row>
    <row r="81" spans="1:11" ht="14.1" customHeight="1" thickBot="1">
      <c r="A81" s="359"/>
      <c r="B81" s="378"/>
      <c r="C81" s="345">
        <v>2</v>
      </c>
      <c r="D81" s="367" t="str">
        <f t="shared" ref="D81:F81" si="2">IF(ISBLANK(D63),"",D63)</f>
        <v>POMCA</v>
      </c>
      <c r="E81" s="367">
        <f t="shared" si="2"/>
        <v>1505</v>
      </c>
      <c r="F81" s="367" t="str">
        <f t="shared" si="2"/>
        <v>CAMARONES</v>
      </c>
      <c r="G81" s="368">
        <f t="shared" ref="G81:J81" si="3">IFERROR(G63/G46,"N.A.")</f>
        <v>0.47142857142857147</v>
      </c>
      <c r="H81" s="368">
        <f t="shared" si="3"/>
        <v>0.2</v>
      </c>
      <c r="I81" s="368" t="str">
        <f t="shared" si="3"/>
        <v>N.A.</v>
      </c>
      <c r="J81" s="368" t="str">
        <f t="shared" si="3"/>
        <v>N.A.</v>
      </c>
      <c r="K81" s="364"/>
    </row>
    <row r="82" spans="1:11" ht="14.1" customHeight="1" thickBot="1">
      <c r="A82" s="359"/>
      <c r="B82" s="378"/>
      <c r="C82" s="345">
        <v>3</v>
      </c>
      <c r="D82" s="367" t="str">
        <f t="shared" ref="D82:F82" si="4">IF(ISBLANK(D64),"",D64)</f>
        <v>POMCA</v>
      </c>
      <c r="E82" s="367" t="str">
        <f t="shared" si="4"/>
        <v>1503-02</v>
      </c>
      <c r="F82" s="367" t="str">
        <f t="shared" si="4"/>
        <v>ANCHO Y OTROS DIRECTOS AL CARIBE</v>
      </c>
      <c r="G82" s="368">
        <f t="shared" ref="G82:J82" si="5">IFERROR(G64/G47,"N.A.")</f>
        <v>0.74999999999999989</v>
      </c>
      <c r="H82" s="368">
        <f t="shared" si="5"/>
        <v>0.22499999999999998</v>
      </c>
      <c r="I82" s="368" t="str">
        <f t="shared" si="5"/>
        <v>N.A.</v>
      </c>
      <c r="J82" s="368" t="str">
        <f t="shared" si="5"/>
        <v>N.A.</v>
      </c>
      <c r="K82" s="364"/>
    </row>
    <row r="83" spans="1:11" ht="14.1" customHeight="1" thickBot="1">
      <c r="A83" s="359"/>
      <c r="B83" s="378"/>
      <c r="C83" s="345">
        <v>4</v>
      </c>
      <c r="D83" s="367" t="str">
        <f t="shared" ref="D83:F83" si="6">IF(ISBLANK(D65),"",D65)</f>
        <v>PMA</v>
      </c>
      <c r="E83" s="367" t="str">
        <f t="shared" si="6"/>
        <v>SAC 3.1</v>
      </c>
      <c r="F83" s="367" t="str">
        <f t="shared" si="6"/>
        <v>Sistema Acuifero de Maicao</v>
      </c>
      <c r="G83" s="368" t="str">
        <f t="shared" ref="G83:J83" si="7">IFERROR(G65/G48,"N.A.")</f>
        <v>N.A.</v>
      </c>
      <c r="H83" s="368" t="str">
        <f t="shared" si="7"/>
        <v>N.A.</v>
      </c>
      <c r="I83" s="368" t="str">
        <f t="shared" si="7"/>
        <v>N.A.</v>
      </c>
      <c r="J83" s="368" t="str">
        <f t="shared" si="7"/>
        <v>N.A.</v>
      </c>
      <c r="K83" s="364"/>
    </row>
    <row r="84" spans="1:11" ht="14.1" customHeight="1" thickBot="1">
      <c r="A84" s="359"/>
      <c r="B84" s="378"/>
      <c r="C84" s="345">
        <v>5</v>
      </c>
      <c r="D84" s="367" t="str">
        <f t="shared" ref="D84:F84" si="8">IF(ISBLANK(D66),"",D66)</f>
        <v>PMA</v>
      </c>
      <c r="E84" s="367" t="str">
        <f t="shared" si="8"/>
        <v/>
      </c>
      <c r="F84" s="367" t="str">
        <f t="shared" si="8"/>
        <v/>
      </c>
      <c r="G84" s="368" t="str">
        <f t="shared" ref="G84:J84" si="9">IFERROR(G66/G49,"N.A.")</f>
        <v>N.A.</v>
      </c>
      <c r="H84" s="368" t="str">
        <f t="shared" si="9"/>
        <v>N.A.</v>
      </c>
      <c r="I84" s="368" t="str">
        <f t="shared" si="9"/>
        <v>N.A.</v>
      </c>
      <c r="J84" s="368" t="str">
        <f t="shared" si="9"/>
        <v>N.A.</v>
      </c>
      <c r="K84" s="364"/>
    </row>
    <row r="85" spans="1:11" ht="14.1" customHeight="1" thickBot="1">
      <c r="A85" s="359"/>
      <c r="B85" s="378"/>
      <c r="C85" s="345">
        <v>6</v>
      </c>
      <c r="D85" s="367" t="str">
        <f t="shared" ref="D85:F85" si="10">IF(ISBLANK(D67),"",D67)</f>
        <v>POMCA</v>
      </c>
      <c r="E85" s="367" t="str">
        <f t="shared" si="10"/>
        <v>1503-01</v>
      </c>
      <c r="F85" s="367" t="str">
        <f t="shared" si="10"/>
        <v>PALOMINO</v>
      </c>
      <c r="G85" s="368" t="str">
        <f t="shared" ref="G85:J85" si="11">IFERROR(G67/G50,"N.A.")</f>
        <v>N.A.</v>
      </c>
      <c r="H85" s="368" t="str">
        <f t="shared" si="11"/>
        <v>N.A.</v>
      </c>
      <c r="I85" s="368">
        <f t="shared" si="11"/>
        <v>0</v>
      </c>
      <c r="J85" s="368">
        <f t="shared" si="11"/>
        <v>0</v>
      </c>
      <c r="K85" s="284"/>
    </row>
    <row r="86" spans="1:11" ht="14.1" customHeight="1" thickBot="1">
      <c r="A86" s="359"/>
      <c r="B86" s="378"/>
      <c r="C86" s="345">
        <v>7</v>
      </c>
      <c r="D86" s="367" t="str">
        <f t="shared" ref="D86:F86" si="12">IF(ISBLANK(D68),"",D68)</f>
        <v>POMCA</v>
      </c>
      <c r="E86" s="367" t="str">
        <f t="shared" si="12"/>
        <v/>
      </c>
      <c r="F86" s="367" t="str">
        <f t="shared" si="12"/>
        <v/>
      </c>
      <c r="G86" s="368" t="str">
        <f t="shared" ref="G86:J86" si="13">IFERROR(G68/G51,"N.A.")</f>
        <v>N.A.</v>
      </c>
      <c r="H86" s="368" t="str">
        <f t="shared" si="13"/>
        <v>N.A.</v>
      </c>
      <c r="I86" s="368" t="str">
        <f t="shared" si="13"/>
        <v>N.A.</v>
      </c>
      <c r="J86" s="368" t="str">
        <f t="shared" si="13"/>
        <v>N.A.</v>
      </c>
      <c r="K86" s="364"/>
    </row>
    <row r="87" spans="1:11" ht="14.1" customHeight="1" thickBot="1">
      <c r="A87" s="359"/>
      <c r="B87" s="378"/>
      <c r="C87" s="345">
        <v>8</v>
      </c>
      <c r="D87" s="367" t="str">
        <f t="shared" ref="D87:F87" si="14">IF(ISBLANK(D69),"",D69)</f>
        <v>PMA</v>
      </c>
      <c r="E87" s="367" t="str">
        <f t="shared" si="14"/>
        <v>SAC 3.2</v>
      </c>
      <c r="F87" s="367" t="str">
        <f t="shared" si="14"/>
        <v>Sistema de Acuifero Riohacha - Manaure</v>
      </c>
      <c r="G87" s="368" t="str">
        <f t="shared" ref="G87:J87" si="15">IFERROR(G69/G52,"N.A.")</f>
        <v>N.A.</v>
      </c>
      <c r="H87" s="368" t="str">
        <f t="shared" si="15"/>
        <v>N.A.</v>
      </c>
      <c r="I87" s="368" t="str">
        <f t="shared" si="15"/>
        <v>N.A.</v>
      </c>
      <c r="J87" s="368" t="str">
        <f t="shared" si="15"/>
        <v>N.A.</v>
      </c>
      <c r="K87" s="364"/>
    </row>
    <row r="88" spans="1:11" ht="14.1" customHeight="1" thickBot="1">
      <c r="A88" s="359"/>
      <c r="B88" s="378"/>
      <c r="C88" s="345">
        <v>9</v>
      </c>
      <c r="D88" s="367" t="str">
        <f t="shared" ref="D88:F88" si="16">IF(ISBLANK(D70),"",D70)</f>
        <v>PMA</v>
      </c>
      <c r="E88" s="367" t="str">
        <f t="shared" si="16"/>
        <v/>
      </c>
      <c r="F88" s="367" t="str">
        <f t="shared" si="16"/>
        <v/>
      </c>
      <c r="G88" s="368" t="str">
        <f t="shared" ref="G88:J88" si="17">IFERROR(G70/G53,"N.A.")</f>
        <v>N.A.</v>
      </c>
      <c r="H88" s="368" t="str">
        <f t="shared" si="17"/>
        <v>N.A.</v>
      </c>
      <c r="I88" s="368" t="str">
        <f t="shared" si="17"/>
        <v>N.A.</v>
      </c>
      <c r="J88" s="368" t="str">
        <f t="shared" si="17"/>
        <v>N.A.</v>
      </c>
      <c r="K88" s="364"/>
    </row>
    <row r="89" spans="1:11" ht="14.1" customHeight="1" thickBot="1">
      <c r="A89" s="359"/>
      <c r="B89" s="378"/>
      <c r="C89" s="345">
        <v>10</v>
      </c>
      <c r="D89" s="367" t="str">
        <f t="shared" ref="D89:F89" si="18">IF(ISBLANK(D71),"",D71)</f>
        <v>POMCA</v>
      </c>
      <c r="E89" s="367" t="str">
        <f t="shared" si="18"/>
        <v/>
      </c>
      <c r="F89" s="367" t="str">
        <f t="shared" si="18"/>
        <v/>
      </c>
      <c r="G89" s="368" t="str">
        <f t="shared" ref="G89:J89" si="19">IFERROR(G71/G54,"N.A.")</f>
        <v>N.A.</v>
      </c>
      <c r="H89" s="368" t="str">
        <f t="shared" si="19"/>
        <v>N.A.</v>
      </c>
      <c r="I89" s="368" t="str">
        <f t="shared" si="19"/>
        <v>N.A.</v>
      </c>
      <c r="J89" s="368" t="str">
        <f t="shared" si="19"/>
        <v>N.A.</v>
      </c>
      <c r="K89" s="284"/>
    </row>
    <row r="90" spans="1:11" ht="14.1" customHeight="1" thickBot="1">
      <c r="A90" s="359"/>
      <c r="B90" s="378"/>
      <c r="C90" s="345">
        <v>11</v>
      </c>
      <c r="D90" s="367" t="str">
        <f t="shared" ref="D90:F90" si="20">IF(ISBLANK(D72),"",D72)</f>
        <v>POMCA</v>
      </c>
      <c r="E90" s="367" t="str">
        <f t="shared" si="20"/>
        <v/>
      </c>
      <c r="F90" s="367" t="str">
        <f t="shared" si="20"/>
        <v/>
      </c>
      <c r="G90" s="368" t="str">
        <f t="shared" ref="G90:J90" si="21">IFERROR(G72/G55,"N.A.")</f>
        <v>N.A.</v>
      </c>
      <c r="H90" s="368" t="str">
        <f t="shared" si="21"/>
        <v>N.A.</v>
      </c>
      <c r="I90" s="368" t="str">
        <f t="shared" si="21"/>
        <v>N.A.</v>
      </c>
      <c r="J90" s="368" t="str">
        <f t="shared" si="21"/>
        <v>N.A.</v>
      </c>
      <c r="K90" s="364"/>
    </row>
    <row r="91" spans="1:11" ht="14.1" customHeight="1" thickBot="1">
      <c r="A91" s="359"/>
      <c r="B91" s="378"/>
      <c r="C91" s="345">
        <v>12</v>
      </c>
      <c r="D91" s="367" t="str">
        <f t="shared" ref="D91:F91" si="22">IF(ISBLANK(D73),"",D73)</f>
        <v>PMA</v>
      </c>
      <c r="E91" s="367" t="str">
        <f t="shared" si="22"/>
        <v>SAC 3.3</v>
      </c>
      <c r="F91" s="367" t="str">
        <f t="shared" si="22"/>
        <v>Sistema de Acuifero Alta Guajira</v>
      </c>
      <c r="G91" s="368" t="str">
        <f t="shared" ref="G91:J91" si="23">IFERROR(G73/G56,"N.A.")</f>
        <v>N.A.</v>
      </c>
      <c r="H91" s="368" t="str">
        <f t="shared" si="23"/>
        <v>N.A.</v>
      </c>
      <c r="I91" s="368" t="str">
        <f t="shared" si="23"/>
        <v>N.A.</v>
      </c>
      <c r="J91" s="368" t="str">
        <f t="shared" si="23"/>
        <v>N.A.</v>
      </c>
      <c r="K91" s="364"/>
    </row>
    <row r="92" spans="1:11" ht="14.1" customHeight="1" thickBot="1">
      <c r="A92" s="359"/>
      <c r="B92" s="378"/>
      <c r="C92" s="345">
        <v>13</v>
      </c>
      <c r="D92" s="367" t="str">
        <f t="shared" ref="D92:F92" si="24">IF(ISBLANK(D74),"",D74)</f>
        <v>PMA</v>
      </c>
      <c r="E92" s="367" t="str">
        <f t="shared" si="24"/>
        <v>SAC 4.2</v>
      </c>
      <c r="F92" s="367" t="str">
        <f t="shared" si="24"/>
        <v>Sistema de Acuifero Ranchería</v>
      </c>
      <c r="G92" s="368" t="str">
        <f t="shared" ref="G92:J92" si="25">IFERROR(G74/G57,"N.A.")</f>
        <v>N.A.</v>
      </c>
      <c r="H92" s="368" t="str">
        <f t="shared" si="25"/>
        <v>N.A.</v>
      </c>
      <c r="I92" s="368" t="str">
        <f t="shared" si="25"/>
        <v>N.A.</v>
      </c>
      <c r="J92" s="368" t="str">
        <f t="shared" si="25"/>
        <v>N.A.</v>
      </c>
      <c r="K92" s="364"/>
    </row>
    <row r="93" spans="1:11" ht="14.1" customHeight="1" thickBot="1">
      <c r="A93" s="359"/>
      <c r="B93" s="378"/>
      <c r="C93" s="345">
        <v>14</v>
      </c>
      <c r="D93" s="367" t="str">
        <f t="shared" ref="D93:F93" si="26">IF(ISBLANK(D75),"",D75)</f>
        <v>PMM</v>
      </c>
      <c r="E93" s="367" t="str">
        <f t="shared" si="26"/>
        <v/>
      </c>
      <c r="F93" s="367" t="str">
        <f t="shared" si="26"/>
        <v/>
      </c>
      <c r="G93" s="368" t="str">
        <f t="shared" ref="G93:J93" si="27">IFERROR(G75/G58,"N.A.")</f>
        <v>N.A.</v>
      </c>
      <c r="H93" s="368" t="str">
        <f t="shared" si="27"/>
        <v>N.A.</v>
      </c>
      <c r="I93" s="368" t="str">
        <f t="shared" si="27"/>
        <v>N.A.</v>
      </c>
      <c r="J93" s="368" t="str">
        <f t="shared" si="27"/>
        <v>N.A.</v>
      </c>
      <c r="K93" s="284"/>
    </row>
    <row r="94" spans="1:11" ht="14.1" customHeight="1">
      <c r="A94" s="359"/>
      <c r="B94" s="378"/>
      <c r="C94" s="362"/>
      <c r="D94" s="1385"/>
      <c r="E94" s="1386"/>
      <c r="F94" s="1386"/>
      <c r="G94" s="1386"/>
      <c r="H94" s="1386"/>
      <c r="I94" s="1386"/>
      <c r="J94" s="1386"/>
      <c r="K94" s="1387"/>
    </row>
    <row r="95" spans="1:11" ht="14.1" customHeight="1" thickBot="1">
      <c r="A95" s="359"/>
      <c r="B95" s="378"/>
      <c r="C95" s="362"/>
      <c r="D95" s="1370" t="s">
        <v>34</v>
      </c>
      <c r="E95" s="1371"/>
      <c r="F95" s="1371"/>
      <c r="G95" s="1371"/>
      <c r="H95" s="1371"/>
      <c r="I95" s="1371"/>
      <c r="J95" s="1371"/>
      <c r="K95" s="1372"/>
    </row>
    <row r="96" spans="1:11" ht="14.1" customHeight="1" thickBot="1">
      <c r="A96" s="359"/>
      <c r="B96" s="378"/>
      <c r="C96" s="369" t="s">
        <v>24</v>
      </c>
      <c r="D96" s="366" t="s">
        <v>35</v>
      </c>
      <c r="E96" s="366" t="s">
        <v>36</v>
      </c>
      <c r="F96" s="370"/>
      <c r="G96" s="366" t="s">
        <v>25</v>
      </c>
      <c r="H96" s="366" t="s">
        <v>26</v>
      </c>
      <c r="I96" s="366" t="s">
        <v>27</v>
      </c>
      <c r="J96" s="366" t="s">
        <v>28</v>
      </c>
      <c r="K96" s="281"/>
    </row>
    <row r="97" spans="1:11" ht="14.1" customHeight="1" thickBot="1">
      <c r="A97" s="359"/>
      <c r="B97" s="378"/>
      <c r="C97" s="355">
        <v>1</v>
      </c>
      <c r="D97" s="290" t="s">
        <v>37</v>
      </c>
      <c r="E97" s="32">
        <v>0.7</v>
      </c>
      <c r="F97" s="33"/>
      <c r="G97" s="371">
        <f ca="1">IFERROR(AVERAGEIF($D$80:$J$93,"POMCA",G$80:G$93),0)</f>
        <v>0.56428571428571428</v>
      </c>
      <c r="H97" s="371">
        <f ca="1">IFERROR(AVERAGEIF($D$80:$J$93,"POMCA",H$80:H$93),0)</f>
        <v>0.20833333333333334</v>
      </c>
      <c r="I97" s="371">
        <f ca="1">IFERROR(AVERAGEIF($D$80:$J$93,"POMCA",I$80:I$93),0)</f>
        <v>0</v>
      </c>
      <c r="J97" s="371">
        <f ca="1">IFERROR(AVERAGEIF($D$80:$J$93,"POMCA",J$80:J$93),0)</f>
        <v>0</v>
      </c>
      <c r="K97" s="115"/>
    </row>
    <row r="98" spans="1:11" ht="14.1" customHeight="1" thickBot="1">
      <c r="A98" s="359"/>
      <c r="B98" s="378"/>
      <c r="C98" s="355">
        <v>2</v>
      </c>
      <c r="D98" s="290" t="s">
        <v>17</v>
      </c>
      <c r="E98" s="32">
        <v>0.3</v>
      </c>
      <c r="F98" s="33"/>
      <c r="G98" s="371">
        <f ca="1">IFERROR(AVERAGEIF($D$80:$J$93,"PMA",G$80:G$93),0)</f>
        <v>0</v>
      </c>
      <c r="H98" s="371">
        <f ca="1">IFERROR(AVERAGEIF($D$80:$J$93,"PMA",H$80:H$93),0)</f>
        <v>0</v>
      </c>
      <c r="I98" s="371">
        <f ca="1">IFERROR(AVERAGEIF($D$80:$J$93,"PMA",I$80:I$93),0)</f>
        <v>0</v>
      </c>
      <c r="J98" s="371">
        <f ca="1">IFERROR(AVERAGEIF($D$80:$J$93,"PMA",J$80:J$93),0)</f>
        <v>0</v>
      </c>
      <c r="K98" s="115"/>
    </row>
    <row r="99" spans="1:11" ht="14.1" customHeight="1" thickBot="1">
      <c r="A99" s="359"/>
      <c r="B99" s="378"/>
      <c r="C99" s="355">
        <v>3</v>
      </c>
      <c r="D99" s="290" t="s">
        <v>18</v>
      </c>
      <c r="E99" s="32">
        <v>0</v>
      </c>
      <c r="F99" s="33"/>
      <c r="G99" s="371">
        <f ca="1">IFERROR(AVERAGEIF($D$80:$J$93,"PMM",G$80:G$93),0)</f>
        <v>0</v>
      </c>
      <c r="H99" s="371">
        <f ca="1">IFERROR(AVERAGEIF($D$80:$J$93,"PMM",H$80:H$93),0)</f>
        <v>0</v>
      </c>
      <c r="I99" s="371">
        <f ca="1">IFERROR(AVERAGEIF($D$80:$J$93,"PMM",I$80:I$93),0)</f>
        <v>0</v>
      </c>
      <c r="J99" s="371">
        <f ca="1">IFERROR(AVERAGEIF($D$80:$J$93,"PMM",J$80:J$93),0)</f>
        <v>0</v>
      </c>
      <c r="K99" s="115"/>
    </row>
    <row r="100" spans="1:11" ht="14.1" customHeight="1" thickBot="1">
      <c r="A100" s="359"/>
      <c r="B100" s="378"/>
      <c r="C100" s="265"/>
      <c r="D100" s="1395">
        <f>Formulas!$D$5</f>
        <v>1</v>
      </c>
      <c r="E100" s="1396"/>
      <c r="F100" s="548" t="s">
        <v>1271</v>
      </c>
      <c r="G100" s="206">
        <f ca="1">Formulas!E5</f>
        <v>0.39499999999999996</v>
      </c>
      <c r="H100" s="206">
        <f ca="1">Formulas!F5</f>
        <v>0.14583333333333334</v>
      </c>
      <c r="I100" s="206" t="str">
        <f ca="1">Formulas!G5</f>
        <v>N.A.</v>
      </c>
      <c r="J100" s="206" t="str">
        <f ca="1">Formulas!H5</f>
        <v>N.A.</v>
      </c>
      <c r="K100" s="116"/>
    </row>
    <row r="101" spans="1:11" ht="14.1" customHeight="1">
      <c r="A101" s="359"/>
      <c r="B101" s="378"/>
      <c r="C101" s="362"/>
      <c r="D101" s="1397"/>
      <c r="E101" s="1398"/>
      <c r="F101" s="1398"/>
      <c r="G101" s="1398"/>
      <c r="H101" s="1398"/>
      <c r="I101" s="1398"/>
      <c r="J101" s="1398"/>
      <c r="K101" s="1399"/>
    </row>
    <row r="102" spans="1:11" ht="14.1" customHeight="1">
      <c r="A102" s="359"/>
      <c r="B102" s="378"/>
      <c r="C102" s="362"/>
      <c r="D102" s="1379" t="s">
        <v>38</v>
      </c>
      <c r="E102" s="1380"/>
      <c r="F102" s="1380"/>
      <c r="G102" s="1380"/>
      <c r="H102" s="1380"/>
      <c r="I102" s="1380"/>
      <c r="J102" s="1380"/>
      <c r="K102" s="1381"/>
    </row>
    <row r="103" spans="1:11" ht="14.1" customHeight="1" thickBot="1">
      <c r="A103" s="359"/>
      <c r="B103" s="353"/>
      <c r="C103" s="354"/>
      <c r="D103" s="329"/>
      <c r="E103" s="277"/>
      <c r="F103" s="277"/>
      <c r="G103" s="277"/>
      <c r="H103" s="277"/>
      <c r="I103" s="277"/>
      <c r="J103" s="277"/>
      <c r="K103" s="278"/>
    </row>
    <row r="104" spans="1:11" ht="14.1" customHeight="1" thickBot="1">
      <c r="A104" s="359"/>
      <c r="B104" s="353" t="s">
        <v>39</v>
      </c>
      <c r="C104" s="354"/>
      <c r="D104" s="1400" t="s">
        <v>40</v>
      </c>
      <c r="E104" s="1401"/>
      <c r="F104" s="1401"/>
      <c r="G104" s="1401"/>
      <c r="H104" s="1401"/>
      <c r="I104" s="1401"/>
      <c r="J104" s="1401"/>
      <c r="K104" s="1402"/>
    </row>
    <row r="105" spans="1:11" ht="39" customHeight="1" thickBot="1">
      <c r="A105" s="359"/>
      <c r="B105" s="353" t="s">
        <v>41</v>
      </c>
      <c r="C105" s="354"/>
      <c r="D105" s="1400" t="s">
        <v>42</v>
      </c>
      <c r="E105" s="1401"/>
      <c r="F105" s="1401"/>
      <c r="G105" s="1401"/>
      <c r="H105" s="1401"/>
      <c r="I105" s="1401"/>
      <c r="J105" s="1401"/>
      <c r="K105" s="1402"/>
    </row>
    <row r="106" spans="1:11" ht="15.75" thickBot="1">
      <c r="A106" s="359"/>
      <c r="B106" s="249"/>
      <c r="C106" s="250"/>
      <c r="D106" s="248"/>
      <c r="E106" s="248"/>
      <c r="F106" s="248"/>
      <c r="G106" s="248"/>
      <c r="H106" s="248"/>
      <c r="I106" s="248"/>
      <c r="J106" s="248"/>
      <c r="K106" s="248"/>
    </row>
    <row r="107" spans="1:11" ht="24" customHeight="1" thickBot="1">
      <c r="A107" s="359"/>
      <c r="B107" s="1388" t="s">
        <v>43</v>
      </c>
      <c r="C107" s="1389"/>
      <c r="D107" s="1389"/>
      <c r="E107" s="1390"/>
      <c r="F107" s="248"/>
      <c r="G107" s="248"/>
      <c r="H107" s="248"/>
      <c r="I107" s="248"/>
      <c r="J107" s="248"/>
      <c r="K107" s="248"/>
    </row>
    <row r="108" spans="1:11" ht="15.75" thickBot="1">
      <c r="A108" s="359"/>
      <c r="B108" s="1391">
        <v>1</v>
      </c>
      <c r="C108" s="272"/>
      <c r="D108" s="289" t="s">
        <v>44</v>
      </c>
      <c r="E108" s="167" t="s">
        <v>1626</v>
      </c>
      <c r="F108" s="248"/>
      <c r="G108" s="248"/>
      <c r="H108" s="248"/>
      <c r="I108" s="248"/>
      <c r="J108" s="248"/>
      <c r="K108" s="248"/>
    </row>
    <row r="109" spans="1:11" ht="15.75" thickBot="1">
      <c r="A109" s="359"/>
      <c r="B109" s="1392"/>
      <c r="C109" s="272"/>
      <c r="D109" s="278" t="s">
        <v>45</v>
      </c>
      <c r="E109" s="167" t="s">
        <v>1627</v>
      </c>
      <c r="F109" s="248"/>
      <c r="G109" s="248"/>
      <c r="H109" s="248"/>
      <c r="I109" s="248"/>
      <c r="J109" s="248"/>
      <c r="K109" s="248"/>
    </row>
    <row r="110" spans="1:11" ht="15.75" thickBot="1">
      <c r="A110" s="359"/>
      <c r="B110" s="1392"/>
      <c r="C110" s="272"/>
      <c r="D110" s="278" t="s">
        <v>46</v>
      </c>
      <c r="E110" s="167" t="s">
        <v>1682</v>
      </c>
      <c r="F110" s="248"/>
      <c r="G110" s="248"/>
      <c r="H110" s="248"/>
      <c r="I110" s="248"/>
      <c r="J110" s="248"/>
      <c r="K110" s="248"/>
    </row>
    <row r="111" spans="1:11" ht="15.75" thickBot="1">
      <c r="A111" s="359"/>
      <c r="B111" s="1392"/>
      <c r="C111" s="272"/>
      <c r="D111" s="278" t="s">
        <v>47</v>
      </c>
      <c r="E111" s="167" t="s">
        <v>1660</v>
      </c>
      <c r="F111" s="248"/>
      <c r="G111" s="248"/>
      <c r="H111" s="248"/>
      <c r="I111" s="248"/>
      <c r="J111" s="248"/>
      <c r="K111" s="248"/>
    </row>
    <row r="112" spans="1:11" ht="15.75" thickBot="1">
      <c r="A112" s="359"/>
      <c r="B112" s="1392"/>
      <c r="C112" s="272"/>
      <c r="D112" s="278" t="s">
        <v>48</v>
      </c>
      <c r="E112" s="167" t="s">
        <v>1683</v>
      </c>
      <c r="F112" s="248"/>
      <c r="G112" s="248"/>
      <c r="H112" s="248"/>
      <c r="I112" s="248"/>
      <c r="J112" s="248"/>
      <c r="K112" s="248"/>
    </row>
    <row r="113" spans="1:11" ht="15.75" thickBot="1">
      <c r="A113" s="359"/>
      <c r="B113" s="1392"/>
      <c r="C113" s="272"/>
      <c r="D113" s="278" t="s">
        <v>49</v>
      </c>
      <c r="E113" s="167" t="s">
        <v>1688</v>
      </c>
      <c r="F113" s="248"/>
      <c r="G113" s="248"/>
      <c r="H113" s="248"/>
      <c r="I113" s="248"/>
      <c r="J113" s="248"/>
      <c r="K113" s="248"/>
    </row>
    <row r="114" spans="1:11" ht="15.75" thickBot="1">
      <c r="A114" s="359"/>
      <c r="B114" s="1393"/>
      <c r="C114" s="345"/>
      <c r="D114" s="278" t="s">
        <v>50</v>
      </c>
      <c r="E114" s="167" t="s">
        <v>1629</v>
      </c>
      <c r="F114" s="248"/>
      <c r="G114" s="248"/>
      <c r="H114" s="248"/>
      <c r="I114" s="248"/>
      <c r="J114" s="248"/>
      <c r="K114" s="248"/>
    </row>
    <row r="115" spans="1:11" ht="15.75" thickBot="1">
      <c r="A115" s="359"/>
      <c r="B115" s="249"/>
      <c r="C115" s="250"/>
      <c r="D115" s="248"/>
      <c r="E115" s="248"/>
      <c r="F115" s="248"/>
      <c r="G115" s="248"/>
      <c r="H115" s="248"/>
      <c r="I115" s="248"/>
      <c r="J115" s="248"/>
      <c r="K115" s="248"/>
    </row>
    <row r="116" spans="1:11" ht="15" customHeight="1" thickBot="1">
      <c r="A116" s="359"/>
      <c r="B116" s="1388" t="s">
        <v>51</v>
      </c>
      <c r="C116" s="1389"/>
      <c r="D116" s="1389"/>
      <c r="E116" s="1390"/>
      <c r="F116" s="248"/>
      <c r="G116" s="248"/>
      <c r="H116" s="248"/>
      <c r="I116" s="248"/>
      <c r="J116" s="248"/>
      <c r="K116" s="248"/>
    </row>
    <row r="117" spans="1:11" ht="15.75" thickBot="1">
      <c r="A117" s="359"/>
      <c r="B117" s="1391">
        <v>1</v>
      </c>
      <c r="C117" s="272"/>
      <c r="D117" s="289" t="s">
        <v>44</v>
      </c>
      <c r="E117" s="35" t="s">
        <v>52</v>
      </c>
      <c r="F117" s="248"/>
      <c r="G117" s="248"/>
      <c r="H117" s="248"/>
      <c r="I117" s="248"/>
      <c r="J117" s="248"/>
      <c r="K117" s="248"/>
    </row>
    <row r="118" spans="1:11" ht="15.75" thickBot="1">
      <c r="A118" s="359"/>
      <c r="B118" s="1392"/>
      <c r="C118" s="272"/>
      <c r="D118" s="278" t="s">
        <v>45</v>
      </c>
      <c r="E118" s="35" t="s">
        <v>53</v>
      </c>
      <c r="F118" s="248"/>
      <c r="G118" s="248"/>
      <c r="H118" s="248"/>
      <c r="I118" s="248"/>
      <c r="J118" s="248"/>
      <c r="K118" s="248"/>
    </row>
    <row r="119" spans="1:11" ht="15.75" thickBot="1">
      <c r="A119" s="359"/>
      <c r="B119" s="1392"/>
      <c r="C119" s="272"/>
      <c r="D119" s="278" t="s">
        <v>46</v>
      </c>
      <c r="E119" s="172"/>
      <c r="F119" s="248"/>
      <c r="G119" s="248"/>
      <c r="H119" s="248"/>
      <c r="I119" s="248"/>
      <c r="J119" s="248"/>
      <c r="K119" s="248"/>
    </row>
    <row r="120" spans="1:11" ht="15.75" thickBot="1">
      <c r="A120" s="359"/>
      <c r="B120" s="1392"/>
      <c r="C120" s="272"/>
      <c r="D120" s="278" t="s">
        <v>47</v>
      </c>
      <c r="E120" s="172"/>
      <c r="F120" s="248"/>
      <c r="G120" s="248"/>
      <c r="H120" s="248"/>
      <c r="I120" s="248"/>
      <c r="J120" s="248"/>
      <c r="K120" s="248"/>
    </row>
    <row r="121" spans="1:11" ht="15.75" thickBot="1">
      <c r="A121" s="359"/>
      <c r="B121" s="1392"/>
      <c r="C121" s="272"/>
      <c r="D121" s="278" t="s">
        <v>48</v>
      </c>
      <c r="E121" s="172"/>
      <c r="F121" s="248"/>
      <c r="G121" s="248"/>
      <c r="H121" s="248"/>
      <c r="I121" s="248"/>
      <c r="J121" s="248"/>
      <c r="K121" s="248"/>
    </row>
    <row r="122" spans="1:11" ht="15.75" thickBot="1">
      <c r="A122" s="359"/>
      <c r="B122" s="1392"/>
      <c r="C122" s="272"/>
      <c r="D122" s="278" t="s">
        <v>49</v>
      </c>
      <c r="E122" s="172"/>
      <c r="F122" s="248"/>
      <c r="G122" s="248"/>
      <c r="H122" s="248"/>
      <c r="I122" s="248"/>
      <c r="J122" s="248"/>
      <c r="K122" s="248"/>
    </row>
    <row r="123" spans="1:11" ht="15.75" thickBot="1">
      <c r="A123" s="359"/>
      <c r="B123" s="1393"/>
      <c r="C123" s="345"/>
      <c r="D123" s="278" t="s">
        <v>50</v>
      </c>
      <c r="E123" s="172"/>
      <c r="F123" s="248"/>
      <c r="G123" s="248"/>
      <c r="H123" s="248"/>
      <c r="I123" s="248"/>
      <c r="J123" s="248"/>
      <c r="K123" s="248"/>
    </row>
    <row r="124" spans="1:11" ht="15.75" thickBot="1">
      <c r="A124" s="359"/>
      <c r="B124" s="249"/>
      <c r="C124" s="250"/>
      <c r="D124" s="248"/>
      <c r="E124" s="248"/>
      <c r="F124" s="248"/>
      <c r="G124" s="248"/>
      <c r="H124" s="248"/>
      <c r="I124" s="248"/>
      <c r="J124" s="248"/>
      <c r="K124" s="248"/>
    </row>
    <row r="125" spans="1:11" ht="15" customHeight="1" thickBot="1">
      <c r="A125" s="359"/>
      <c r="B125" s="291" t="s">
        <v>54</v>
      </c>
      <c r="C125" s="292"/>
      <c r="D125" s="292"/>
      <c r="E125" s="372"/>
      <c r="F125" s="359"/>
      <c r="G125" s="248"/>
      <c r="H125" s="248"/>
      <c r="I125" s="248"/>
      <c r="J125" s="248"/>
      <c r="K125" s="248"/>
    </row>
    <row r="126" spans="1:11" ht="24.75" thickBot="1">
      <c r="A126" s="359"/>
      <c r="B126" s="285" t="s">
        <v>55</v>
      </c>
      <c r="C126" s="278" t="s">
        <v>56</v>
      </c>
      <c r="D126" s="277" t="s">
        <v>57</v>
      </c>
      <c r="E126" s="373" t="s">
        <v>58</v>
      </c>
      <c r="F126" s="248"/>
      <c r="G126" s="248"/>
      <c r="H126" s="248"/>
      <c r="I126" s="248"/>
      <c r="J126" s="248"/>
      <c r="K126" s="359"/>
    </row>
    <row r="127" spans="1:11" ht="96.75" thickBot="1">
      <c r="A127" s="359"/>
      <c r="B127" s="295">
        <v>42401</v>
      </c>
      <c r="C127" s="278">
        <v>1</v>
      </c>
      <c r="D127" s="307" t="s">
        <v>59</v>
      </c>
      <c r="E127" s="278"/>
      <c r="F127" s="248"/>
      <c r="G127" s="248"/>
      <c r="H127" s="248"/>
      <c r="I127" s="248"/>
      <c r="J127" s="248"/>
      <c r="K127" s="359"/>
    </row>
    <row r="128" spans="1:11" ht="15.75" thickBot="1">
      <c r="A128" s="359"/>
      <c r="B128" s="308"/>
      <c r="C128" s="309"/>
      <c r="D128" s="248"/>
      <c r="E128" s="248"/>
      <c r="F128" s="248"/>
      <c r="G128" s="248"/>
      <c r="H128" s="248"/>
      <c r="I128" s="248"/>
      <c r="J128" s="248"/>
      <c r="K128" s="248"/>
    </row>
    <row r="129" spans="1:11">
      <c r="A129" s="359"/>
      <c r="B129" s="297" t="s">
        <v>60</v>
      </c>
      <c r="C129" s="298"/>
      <c r="D129" s="248"/>
      <c r="E129" s="248"/>
      <c r="F129" s="248"/>
      <c r="G129" s="248"/>
      <c r="H129" s="248"/>
      <c r="I129" s="248"/>
      <c r="J129" s="248"/>
      <c r="K129" s="248"/>
    </row>
    <row r="130" spans="1:11">
      <c r="A130" s="359"/>
      <c r="B130" s="1394"/>
      <c r="C130" s="1394"/>
      <c r="D130" s="1394"/>
      <c r="E130" s="1394"/>
      <c r="F130" s="1394"/>
      <c r="G130" s="248"/>
      <c r="H130" s="248"/>
      <c r="I130" s="248"/>
      <c r="J130" s="248"/>
      <c r="K130" s="248"/>
    </row>
    <row r="131" spans="1:11" ht="44.1" customHeight="1">
      <c r="A131" s="359"/>
      <c r="B131" s="1394"/>
      <c r="C131" s="1394"/>
      <c r="D131" s="1394"/>
      <c r="E131" s="1394"/>
      <c r="F131" s="1394"/>
      <c r="G131" s="248"/>
      <c r="H131" s="248"/>
      <c r="I131" s="248"/>
      <c r="J131" s="248"/>
      <c r="K131" s="248"/>
    </row>
    <row r="132" spans="1:11">
      <c r="A132" s="359"/>
      <c r="B132" s="249"/>
      <c r="C132" s="250"/>
      <c r="D132" s="248"/>
      <c r="E132" s="248"/>
      <c r="F132" s="248"/>
      <c r="G132" s="248"/>
      <c r="H132" s="248"/>
      <c r="I132" s="248"/>
      <c r="J132" s="248"/>
      <c r="K132" s="248"/>
    </row>
    <row r="133" spans="1:11" ht="15.75" thickBot="1">
      <c r="A133" s="359"/>
      <c r="B133" s="318"/>
      <c r="C133" s="304"/>
      <c r="D133" s="248"/>
      <c r="E133" s="248"/>
      <c r="F133" s="248"/>
      <c r="G133" s="248"/>
      <c r="H133" s="248"/>
      <c r="I133" s="248"/>
      <c r="J133" s="248"/>
      <c r="K133" s="248"/>
    </row>
    <row r="134" spans="1:11" ht="15.75" thickBot="1">
      <c r="A134" s="359"/>
      <c r="B134" s="374" t="s">
        <v>61</v>
      </c>
      <c r="C134" s="311"/>
      <c r="D134" s="248"/>
      <c r="E134" s="248"/>
      <c r="F134" s="248"/>
      <c r="G134" s="248"/>
      <c r="H134" s="248"/>
      <c r="I134" s="248"/>
      <c r="J134" s="248"/>
      <c r="K134" s="248"/>
    </row>
    <row r="135" spans="1:11" ht="15.75" thickBot="1">
      <c r="A135" s="359"/>
      <c r="B135" s="318"/>
      <c r="C135" s="304"/>
      <c r="D135" s="248"/>
      <c r="E135" s="248"/>
      <c r="F135" s="248"/>
      <c r="G135" s="248"/>
      <c r="H135" s="248"/>
      <c r="I135" s="248"/>
      <c r="J135" s="248"/>
      <c r="K135" s="248"/>
    </row>
    <row r="136" spans="1:11" ht="15.75" thickBot="1">
      <c r="A136" s="359"/>
      <c r="B136" s="299" t="s">
        <v>62</v>
      </c>
      <c r="C136" s="300"/>
      <c r="D136" s="1400" t="s">
        <v>63</v>
      </c>
      <c r="E136" s="1401"/>
      <c r="F136" s="1402"/>
      <c r="G136" s="248"/>
      <c r="H136" s="248"/>
      <c r="I136" s="248"/>
      <c r="J136" s="248"/>
      <c r="K136" s="248"/>
    </row>
    <row r="137" spans="1:11">
      <c r="A137" s="359"/>
      <c r="B137" s="1391" t="s">
        <v>64</v>
      </c>
      <c r="C137" s="268"/>
      <c r="D137" s="1385" t="s">
        <v>65</v>
      </c>
      <c r="E137" s="1386"/>
      <c r="F137" s="1387"/>
      <c r="G137" s="248"/>
      <c r="H137" s="248"/>
      <c r="I137" s="248"/>
      <c r="J137" s="248"/>
      <c r="K137" s="248"/>
    </row>
    <row r="138" spans="1:11">
      <c r="A138" s="359"/>
      <c r="B138" s="1392"/>
      <c r="C138" s="276"/>
      <c r="D138" s="1379" t="s">
        <v>66</v>
      </c>
      <c r="E138" s="1380"/>
      <c r="F138" s="1381"/>
      <c r="G138" s="248"/>
      <c r="H138" s="248"/>
      <c r="I138" s="248"/>
      <c r="J138" s="248"/>
      <c r="K138" s="248"/>
    </row>
    <row r="139" spans="1:11">
      <c r="A139" s="359"/>
      <c r="B139" s="1392"/>
      <c r="C139" s="276"/>
      <c r="D139" s="1379" t="s">
        <v>67</v>
      </c>
      <c r="E139" s="1380"/>
      <c r="F139" s="1381"/>
      <c r="G139" s="248"/>
      <c r="H139" s="248"/>
      <c r="I139" s="248"/>
      <c r="J139" s="248"/>
      <c r="K139" s="248"/>
    </row>
    <row r="140" spans="1:11">
      <c r="A140" s="359"/>
      <c r="B140" s="1392"/>
      <c r="C140" s="276"/>
      <c r="D140" s="1376" t="s">
        <v>68</v>
      </c>
      <c r="E140" s="1377"/>
      <c r="F140" s="1378"/>
      <c r="G140" s="248"/>
      <c r="H140" s="248"/>
      <c r="I140" s="248"/>
      <c r="J140" s="248"/>
      <c r="K140" s="248"/>
    </row>
    <row r="141" spans="1:11">
      <c r="A141" s="359"/>
      <c r="B141" s="1392"/>
      <c r="C141" s="276"/>
      <c r="D141" s="1379" t="s">
        <v>69</v>
      </c>
      <c r="E141" s="1380"/>
      <c r="F141" s="1381"/>
      <c r="G141" s="248"/>
      <c r="H141" s="248"/>
      <c r="I141" s="248"/>
      <c r="J141" s="248"/>
      <c r="K141" s="248"/>
    </row>
    <row r="142" spans="1:11">
      <c r="A142" s="359"/>
      <c r="B142" s="1392"/>
      <c r="C142" s="276"/>
      <c r="D142" s="1379" t="s">
        <v>70</v>
      </c>
      <c r="E142" s="1380"/>
      <c r="F142" s="1381"/>
      <c r="G142" s="248"/>
      <c r="H142" s="248"/>
      <c r="I142" s="248"/>
      <c r="J142" s="248"/>
      <c r="K142" s="248"/>
    </row>
    <row r="143" spans="1:11">
      <c r="A143" s="359"/>
      <c r="B143" s="1392"/>
      <c r="C143" s="276"/>
      <c r="D143" s="1379" t="s">
        <v>71</v>
      </c>
      <c r="E143" s="1380"/>
      <c r="F143" s="1381"/>
      <c r="G143" s="248"/>
      <c r="H143" s="248"/>
      <c r="I143" s="248"/>
      <c r="J143" s="248"/>
      <c r="K143" s="248"/>
    </row>
    <row r="144" spans="1:11">
      <c r="A144" s="359"/>
      <c r="B144" s="1392"/>
      <c r="C144" s="276"/>
      <c r="D144" s="1379" t="s">
        <v>72</v>
      </c>
      <c r="E144" s="1380"/>
      <c r="F144" s="1381"/>
      <c r="G144" s="248"/>
      <c r="H144" s="248"/>
      <c r="I144" s="248"/>
      <c r="J144" s="248"/>
      <c r="K144" s="248"/>
    </row>
    <row r="145" spans="1:11">
      <c r="A145" s="359"/>
      <c r="B145" s="1392"/>
      <c r="C145" s="276"/>
      <c r="D145" s="1376" t="s">
        <v>73</v>
      </c>
      <c r="E145" s="1377"/>
      <c r="F145" s="1378"/>
      <c r="G145" s="248"/>
      <c r="H145" s="248"/>
      <c r="I145" s="248"/>
      <c r="J145" s="248"/>
      <c r="K145" s="248"/>
    </row>
    <row r="146" spans="1:11">
      <c r="A146" s="359"/>
      <c r="B146" s="1392"/>
      <c r="C146" s="276"/>
      <c r="D146" s="1379" t="s">
        <v>74</v>
      </c>
      <c r="E146" s="1380"/>
      <c r="F146" s="1381"/>
      <c r="G146" s="248"/>
      <c r="H146" s="248"/>
      <c r="I146" s="248"/>
      <c r="J146" s="248"/>
      <c r="K146" s="248"/>
    </row>
    <row r="147" spans="1:11">
      <c r="A147" s="359"/>
      <c r="B147" s="1392"/>
      <c r="C147" s="276"/>
      <c r="D147" s="1379" t="s">
        <v>75</v>
      </c>
      <c r="E147" s="1380"/>
      <c r="F147" s="1381"/>
      <c r="G147" s="248"/>
      <c r="H147" s="248"/>
      <c r="I147" s="248"/>
      <c r="J147" s="248"/>
      <c r="K147" s="248"/>
    </row>
    <row r="148" spans="1:11" ht="15.75" thickBot="1">
      <c r="A148" s="359"/>
      <c r="B148" s="1393"/>
      <c r="C148" s="286"/>
      <c r="D148" s="1403" t="s">
        <v>76</v>
      </c>
      <c r="E148" s="1404"/>
      <c r="F148" s="1405"/>
      <c r="G148" s="248"/>
      <c r="H148" s="248"/>
      <c r="I148" s="248"/>
      <c r="J148" s="248"/>
      <c r="K148" s="248"/>
    </row>
    <row r="149" spans="1:11" ht="24.75" thickBot="1">
      <c r="A149" s="359"/>
      <c r="B149" s="285" t="s">
        <v>77</v>
      </c>
      <c r="C149" s="286"/>
      <c r="D149" s="1400"/>
      <c r="E149" s="1401"/>
      <c r="F149" s="1402"/>
      <c r="G149" s="248"/>
      <c r="H149" s="248"/>
      <c r="I149" s="248"/>
      <c r="J149" s="248"/>
      <c r="K149" s="248"/>
    </row>
    <row r="150" spans="1:11">
      <c r="A150" s="359"/>
      <c r="B150" s="1391" t="s">
        <v>78</v>
      </c>
      <c r="C150" s="268"/>
      <c r="D150" s="1373" t="s">
        <v>79</v>
      </c>
      <c r="E150" s="1374"/>
      <c r="F150" s="1375"/>
      <c r="G150" s="248"/>
      <c r="H150" s="248"/>
      <c r="I150" s="248"/>
      <c r="J150" s="248"/>
      <c r="K150" s="248"/>
    </row>
    <row r="151" spans="1:11">
      <c r="A151" s="359"/>
      <c r="B151" s="1392"/>
      <c r="C151" s="276"/>
      <c r="D151" s="1376" t="s">
        <v>80</v>
      </c>
      <c r="E151" s="1377"/>
      <c r="F151" s="1378"/>
      <c r="G151" s="248"/>
      <c r="H151" s="248"/>
      <c r="I151" s="248"/>
      <c r="J151" s="248"/>
      <c r="K151" s="248"/>
    </row>
    <row r="152" spans="1:11">
      <c r="A152" s="359"/>
      <c r="B152" s="1392"/>
      <c r="C152" s="276"/>
      <c r="D152" s="1379" t="s">
        <v>81</v>
      </c>
      <c r="E152" s="1380"/>
      <c r="F152" s="1381"/>
      <c r="G152" s="248"/>
      <c r="H152" s="248"/>
      <c r="I152" s="248"/>
      <c r="J152" s="248"/>
      <c r="K152" s="248"/>
    </row>
    <row r="153" spans="1:11">
      <c r="A153" s="359"/>
      <c r="B153" s="1392"/>
      <c r="C153" s="276"/>
      <c r="D153" s="1379" t="s">
        <v>82</v>
      </c>
      <c r="E153" s="1380"/>
      <c r="F153" s="1381"/>
      <c r="G153" s="248"/>
      <c r="H153" s="248"/>
      <c r="I153" s="248"/>
      <c r="J153" s="248"/>
      <c r="K153" s="248"/>
    </row>
    <row r="154" spans="1:11">
      <c r="A154" s="359"/>
      <c r="B154" s="1392"/>
      <c r="C154" s="276"/>
      <c r="D154" s="1379" t="s">
        <v>83</v>
      </c>
      <c r="E154" s="1380"/>
      <c r="F154" s="1381"/>
      <c r="G154" s="248"/>
      <c r="H154" s="248"/>
      <c r="I154" s="248"/>
      <c r="J154" s="248"/>
      <c r="K154" s="248"/>
    </row>
    <row r="155" spans="1:11">
      <c r="A155" s="359"/>
      <c r="B155" s="1392"/>
      <c r="C155" s="276"/>
      <c r="D155" s="1379" t="s">
        <v>84</v>
      </c>
      <c r="E155" s="1380"/>
      <c r="F155" s="1381"/>
      <c r="G155" s="248"/>
      <c r="H155" s="248"/>
      <c r="I155" s="248"/>
      <c r="J155" s="248"/>
      <c r="K155" s="248"/>
    </row>
    <row r="156" spans="1:11">
      <c r="A156" s="359"/>
      <c r="B156" s="1392"/>
      <c r="C156" s="276"/>
      <c r="D156" s="1379" t="s">
        <v>85</v>
      </c>
      <c r="E156" s="1380"/>
      <c r="F156" s="1381"/>
      <c r="G156" s="248"/>
      <c r="H156" s="248"/>
      <c r="I156" s="248"/>
      <c r="J156" s="248"/>
      <c r="K156" s="248"/>
    </row>
    <row r="157" spans="1:11">
      <c r="A157" s="359"/>
      <c r="B157" s="1392"/>
      <c r="C157" s="276"/>
      <c r="D157" s="1379" t="s">
        <v>86</v>
      </c>
      <c r="E157" s="1380"/>
      <c r="F157" s="1381"/>
      <c r="G157" s="248"/>
      <c r="H157" s="248"/>
      <c r="I157" s="248"/>
      <c r="J157" s="248"/>
      <c r="K157" s="248"/>
    </row>
    <row r="158" spans="1:11">
      <c r="A158" s="359"/>
      <c r="B158" s="1392"/>
      <c r="C158" s="276"/>
      <c r="D158" s="1376" t="s">
        <v>87</v>
      </c>
      <c r="E158" s="1377"/>
      <c r="F158" s="1378"/>
      <c r="G158" s="248"/>
      <c r="H158" s="248"/>
      <c r="I158" s="248"/>
      <c r="J158" s="248"/>
      <c r="K158" s="248"/>
    </row>
    <row r="159" spans="1:11">
      <c r="A159" s="359"/>
      <c r="B159" s="1392"/>
      <c r="C159" s="276"/>
      <c r="D159" s="1379" t="s">
        <v>88</v>
      </c>
      <c r="E159" s="1380"/>
      <c r="F159" s="1381"/>
      <c r="G159" s="248"/>
      <c r="H159" s="248"/>
      <c r="I159" s="248"/>
      <c r="J159" s="248"/>
      <c r="K159" s="248"/>
    </row>
    <row r="160" spans="1:11">
      <c r="A160" s="359"/>
      <c r="B160" s="1392"/>
      <c r="C160" s="276"/>
      <c r="D160" s="1379" t="s">
        <v>89</v>
      </c>
      <c r="E160" s="1380"/>
      <c r="F160" s="1381"/>
      <c r="G160" s="248"/>
      <c r="H160" s="248"/>
      <c r="I160" s="248"/>
      <c r="J160" s="248"/>
      <c r="K160" s="248"/>
    </row>
    <row r="161" spans="1:11">
      <c r="A161" s="359"/>
      <c r="B161" s="1392"/>
      <c r="C161" s="276"/>
      <c r="D161" s="1379" t="s">
        <v>90</v>
      </c>
      <c r="E161" s="1380"/>
      <c r="F161" s="1381"/>
      <c r="G161" s="248"/>
      <c r="H161" s="248"/>
      <c r="I161" s="248"/>
      <c r="J161" s="248"/>
      <c r="K161" s="248"/>
    </row>
    <row r="162" spans="1:11">
      <c r="A162" s="359"/>
      <c r="B162" s="1392"/>
      <c r="C162" s="276"/>
      <c r="D162" s="1379" t="s">
        <v>91</v>
      </c>
      <c r="E162" s="1380"/>
      <c r="F162" s="1381"/>
      <c r="G162" s="248"/>
      <c r="H162" s="248"/>
      <c r="I162" s="248"/>
      <c r="J162" s="248"/>
      <c r="K162" s="248"/>
    </row>
    <row r="163" spans="1:11">
      <c r="A163" s="359"/>
      <c r="B163" s="1392"/>
      <c r="C163" s="276"/>
      <c r="D163" s="1376" t="s">
        <v>92</v>
      </c>
      <c r="E163" s="1377"/>
      <c r="F163" s="1378"/>
      <c r="G163" s="248"/>
      <c r="H163" s="248"/>
      <c r="I163" s="248"/>
      <c r="J163" s="248"/>
      <c r="K163" s="248"/>
    </row>
    <row r="164" spans="1:11">
      <c r="A164" s="359"/>
      <c r="B164" s="1392"/>
      <c r="C164" s="276"/>
      <c r="D164" s="1379" t="s">
        <v>93</v>
      </c>
      <c r="E164" s="1380"/>
      <c r="F164" s="1381"/>
      <c r="G164" s="248"/>
      <c r="H164" s="248"/>
      <c r="I164" s="248"/>
      <c r="J164" s="248"/>
      <c r="K164" s="248"/>
    </row>
    <row r="165" spans="1:11">
      <c r="A165" s="359"/>
      <c r="B165" s="1392"/>
      <c r="C165" s="276"/>
      <c r="D165" s="1379" t="s">
        <v>89</v>
      </c>
      <c r="E165" s="1380"/>
      <c r="F165" s="1381"/>
      <c r="G165" s="248"/>
      <c r="H165" s="248"/>
      <c r="I165" s="248"/>
      <c r="J165" s="248"/>
      <c r="K165" s="248"/>
    </row>
    <row r="166" spans="1:11">
      <c r="A166" s="359"/>
      <c r="B166" s="1392"/>
      <c r="C166" s="276"/>
      <c r="D166" s="1379" t="s">
        <v>90</v>
      </c>
      <c r="E166" s="1380"/>
      <c r="F166" s="1381"/>
      <c r="G166" s="248"/>
      <c r="H166" s="248"/>
      <c r="I166" s="248"/>
      <c r="J166" s="248"/>
      <c r="K166" s="248"/>
    </row>
    <row r="167" spans="1:11" ht="15.75" thickBot="1">
      <c r="A167" s="359"/>
      <c r="B167" s="1393"/>
      <c r="C167" s="286"/>
      <c r="D167" s="1406" t="s">
        <v>94</v>
      </c>
      <c r="E167" s="1407"/>
      <c r="F167" s="1408"/>
      <c r="G167" s="248"/>
      <c r="H167" s="248"/>
      <c r="I167" s="248"/>
      <c r="J167" s="248"/>
      <c r="K167" s="248"/>
    </row>
    <row r="168" spans="1:11">
      <c r="A168" s="359"/>
      <c r="B168" s="1391" t="s">
        <v>95</v>
      </c>
      <c r="C168" s="268"/>
      <c r="D168" s="1373"/>
      <c r="E168" s="1374"/>
      <c r="F168" s="1375"/>
      <c r="G168" s="248"/>
      <c r="H168" s="248"/>
      <c r="I168" s="248"/>
      <c r="J168" s="248"/>
      <c r="K168" s="248"/>
    </row>
    <row r="169" spans="1:11">
      <c r="A169" s="359"/>
      <c r="B169" s="1392"/>
      <c r="C169" s="276"/>
      <c r="D169" s="1409"/>
      <c r="E169" s="1410"/>
      <c r="F169" s="1411"/>
      <c r="G169" s="248"/>
      <c r="H169" s="248"/>
      <c r="I169" s="248"/>
      <c r="J169" s="248"/>
      <c r="K169" s="248"/>
    </row>
    <row r="170" spans="1:11">
      <c r="A170" s="359"/>
      <c r="B170" s="1392"/>
      <c r="C170" s="276"/>
      <c r="D170" s="1379" t="s">
        <v>96</v>
      </c>
      <c r="E170" s="1380"/>
      <c r="F170" s="1381"/>
      <c r="G170" s="248"/>
      <c r="H170" s="248"/>
      <c r="I170" s="248"/>
      <c r="J170" s="248"/>
      <c r="K170" s="248"/>
    </row>
    <row r="171" spans="1:11">
      <c r="A171" s="359"/>
      <c r="B171" s="1392"/>
      <c r="C171" s="276"/>
      <c r="D171" s="1379" t="s">
        <v>97</v>
      </c>
      <c r="E171" s="1380"/>
      <c r="F171" s="1381"/>
      <c r="G171" s="248"/>
      <c r="H171" s="248"/>
      <c r="I171" s="248"/>
      <c r="J171" s="248"/>
      <c r="K171" s="248"/>
    </row>
    <row r="172" spans="1:11">
      <c r="A172" s="359"/>
      <c r="B172" s="1392"/>
      <c r="C172" s="276"/>
      <c r="D172" s="1379" t="s">
        <v>98</v>
      </c>
      <c r="E172" s="1380"/>
      <c r="F172" s="1381"/>
      <c r="G172" s="248"/>
      <c r="H172" s="248"/>
      <c r="I172" s="248"/>
      <c r="J172" s="248"/>
      <c r="K172" s="248"/>
    </row>
    <row r="173" spans="1:11">
      <c r="A173" s="359"/>
      <c r="B173" s="1392"/>
      <c r="C173" s="276"/>
      <c r="D173" s="1379" t="s">
        <v>99</v>
      </c>
      <c r="E173" s="1380"/>
      <c r="F173" s="1381"/>
      <c r="G173" s="248"/>
      <c r="H173" s="248"/>
      <c r="I173" s="248"/>
      <c r="J173" s="248"/>
      <c r="K173" s="248"/>
    </row>
    <row r="174" spans="1:11">
      <c r="A174" s="359"/>
      <c r="B174" s="1392"/>
      <c r="C174" s="276"/>
      <c r="D174" s="1379" t="s">
        <v>100</v>
      </c>
      <c r="E174" s="1380"/>
      <c r="F174" s="1381"/>
      <c r="G174" s="248"/>
      <c r="H174" s="248"/>
      <c r="I174" s="248"/>
      <c r="J174" s="248"/>
      <c r="K174" s="248"/>
    </row>
    <row r="175" spans="1:11">
      <c r="A175" s="359"/>
      <c r="B175" s="1392"/>
      <c r="C175" s="276"/>
      <c r="D175" s="1379" t="s">
        <v>101</v>
      </c>
      <c r="E175" s="1380"/>
      <c r="F175" s="1381"/>
      <c r="G175" s="248"/>
      <c r="H175" s="248"/>
      <c r="I175" s="248"/>
      <c r="J175" s="248"/>
      <c r="K175" s="248"/>
    </row>
    <row r="176" spans="1:11">
      <c r="A176" s="359"/>
      <c r="B176" s="1392"/>
      <c r="C176" s="276"/>
      <c r="D176" s="1379" t="s">
        <v>102</v>
      </c>
      <c r="E176" s="1380"/>
      <c r="F176" s="1381"/>
      <c r="G176" s="248"/>
      <c r="H176" s="248"/>
      <c r="I176" s="248"/>
      <c r="J176" s="248"/>
      <c r="K176" s="248"/>
    </row>
    <row r="177" spans="1:11">
      <c r="A177" s="359"/>
      <c r="B177" s="1392"/>
      <c r="C177" s="276"/>
      <c r="D177" s="1379" t="s">
        <v>103</v>
      </c>
      <c r="E177" s="1380"/>
      <c r="F177" s="1381"/>
      <c r="G177" s="248"/>
      <c r="H177" s="248"/>
      <c r="I177" s="248"/>
      <c r="J177" s="248"/>
      <c r="K177" s="248"/>
    </row>
    <row r="178" spans="1:11">
      <c r="A178" s="359"/>
      <c r="B178" s="1392"/>
      <c r="C178" s="276"/>
      <c r="D178" s="1379" t="s">
        <v>104</v>
      </c>
      <c r="E178" s="1380"/>
      <c r="F178" s="1381"/>
      <c r="G178" s="248"/>
      <c r="H178" s="248"/>
      <c r="I178" s="248"/>
      <c r="J178" s="248"/>
      <c r="K178" s="248"/>
    </row>
    <row r="179" spans="1:11">
      <c r="A179" s="359"/>
      <c r="B179" s="1392"/>
      <c r="C179" s="276"/>
      <c r="D179" s="1379" t="s">
        <v>105</v>
      </c>
      <c r="E179" s="1380"/>
      <c r="F179" s="1381"/>
      <c r="G179" s="248"/>
      <c r="H179" s="248"/>
      <c r="I179" s="248"/>
      <c r="J179" s="248"/>
      <c r="K179" s="248"/>
    </row>
    <row r="180" spans="1:11">
      <c r="A180" s="359"/>
      <c r="B180" s="1392"/>
      <c r="C180" s="276"/>
      <c r="D180" s="1379" t="s">
        <v>106</v>
      </c>
      <c r="E180" s="1380"/>
      <c r="F180" s="1381"/>
      <c r="G180" s="248"/>
      <c r="H180" s="248"/>
      <c r="I180" s="248"/>
      <c r="J180" s="248"/>
      <c r="K180" s="248"/>
    </row>
    <row r="181" spans="1:11" ht="15.75" thickBot="1">
      <c r="A181" s="359"/>
      <c r="B181" s="1392"/>
      <c r="C181" s="276"/>
      <c r="D181" s="1370" t="s">
        <v>107</v>
      </c>
      <c r="E181" s="1371"/>
      <c r="F181" s="1372"/>
      <c r="G181" s="248"/>
      <c r="H181" s="248"/>
      <c r="I181" s="248"/>
      <c r="J181" s="248"/>
      <c r="K181" s="248"/>
    </row>
    <row r="182" spans="1:11" ht="24.75" thickBot="1">
      <c r="A182" s="359"/>
      <c r="B182" s="1392"/>
      <c r="C182" s="272"/>
      <c r="D182" s="287" t="s">
        <v>108</v>
      </c>
      <c r="E182" s="287" t="s">
        <v>109</v>
      </c>
      <c r="F182" s="287" t="s">
        <v>110</v>
      </c>
      <c r="G182" s="248"/>
      <c r="H182" s="248"/>
      <c r="I182" s="248"/>
      <c r="J182" s="248"/>
      <c r="K182" s="248"/>
    </row>
    <row r="183" spans="1:11" ht="15.75" thickBot="1">
      <c r="A183" s="359"/>
      <c r="B183" s="1392"/>
      <c r="C183" s="272"/>
      <c r="D183" s="278" t="s">
        <v>111</v>
      </c>
      <c r="E183" s="375">
        <v>0.15</v>
      </c>
      <c r="F183" s="375">
        <v>0.15</v>
      </c>
      <c r="G183" s="248"/>
      <c r="H183" s="248"/>
      <c r="I183" s="248"/>
      <c r="J183" s="248"/>
      <c r="K183" s="248"/>
    </row>
    <row r="184" spans="1:11" ht="15.75" thickBot="1">
      <c r="A184" s="359"/>
      <c r="B184" s="1392"/>
      <c r="C184" s="272"/>
      <c r="D184" s="278" t="s">
        <v>112</v>
      </c>
      <c r="E184" s="375">
        <v>0.18</v>
      </c>
      <c r="F184" s="375">
        <v>0.33</v>
      </c>
      <c r="G184" s="248"/>
      <c r="H184" s="376"/>
      <c r="I184" s="248"/>
      <c r="J184" s="248"/>
      <c r="K184" s="248"/>
    </row>
    <row r="185" spans="1:11" ht="15.75" thickBot="1">
      <c r="A185" s="359"/>
      <c r="B185" s="1392"/>
      <c r="C185" s="272"/>
      <c r="D185" s="278" t="s">
        <v>113</v>
      </c>
      <c r="E185" s="375">
        <v>0.33</v>
      </c>
      <c r="F185" s="375">
        <v>0.66</v>
      </c>
      <c r="G185" s="248"/>
      <c r="H185" s="376"/>
      <c r="I185" s="248"/>
      <c r="J185" s="248"/>
      <c r="K185" s="248"/>
    </row>
    <row r="186" spans="1:11" ht="24.75" thickBot="1">
      <c r="A186" s="359"/>
      <c r="B186" s="1392"/>
      <c r="C186" s="272"/>
      <c r="D186" s="278" t="s">
        <v>114</v>
      </c>
      <c r="E186" s="375">
        <v>0.16</v>
      </c>
      <c r="F186" s="375">
        <v>0.82</v>
      </c>
      <c r="G186" s="248"/>
      <c r="H186" s="376"/>
      <c r="I186" s="248"/>
      <c r="J186" s="248"/>
      <c r="K186" s="248"/>
    </row>
    <row r="187" spans="1:11" ht="15.75" thickBot="1">
      <c r="A187" s="359"/>
      <c r="B187" s="1392"/>
      <c r="C187" s="272"/>
      <c r="D187" s="278" t="s">
        <v>115</v>
      </c>
      <c r="E187" s="375">
        <v>0.18</v>
      </c>
      <c r="F187" s="375">
        <v>1</v>
      </c>
      <c r="G187" s="248"/>
      <c r="H187" s="376"/>
      <c r="I187" s="248"/>
      <c r="J187" s="248"/>
      <c r="K187" s="248"/>
    </row>
    <row r="188" spans="1:11">
      <c r="A188" s="359"/>
      <c r="B188" s="1392"/>
      <c r="C188" s="276"/>
      <c r="D188" s="1385"/>
      <c r="E188" s="1386"/>
      <c r="F188" s="1387"/>
      <c r="G188" s="248"/>
      <c r="H188" s="248"/>
      <c r="I188" s="248"/>
      <c r="J188" s="248"/>
      <c r="K188" s="248"/>
    </row>
    <row r="189" spans="1:11" ht="15.75" thickBot="1">
      <c r="A189" s="359"/>
      <c r="B189" s="1392"/>
      <c r="C189" s="276"/>
      <c r="D189" s="1370" t="s">
        <v>87</v>
      </c>
      <c r="E189" s="1371"/>
      <c r="F189" s="1372"/>
      <c r="G189" s="248"/>
      <c r="H189" s="248"/>
      <c r="I189" s="248"/>
      <c r="J189" s="248"/>
      <c r="K189" s="248"/>
    </row>
    <row r="190" spans="1:11" ht="24.75" thickBot="1">
      <c r="A190" s="359"/>
      <c r="B190" s="1392"/>
      <c r="C190" s="272"/>
      <c r="D190" s="287" t="s">
        <v>108</v>
      </c>
      <c r="E190" s="287" t="s">
        <v>109</v>
      </c>
      <c r="F190" s="287" t="s">
        <v>110</v>
      </c>
      <c r="G190" s="248"/>
      <c r="H190" s="248"/>
      <c r="I190" s="248"/>
      <c r="J190" s="248"/>
      <c r="K190" s="248"/>
    </row>
    <row r="191" spans="1:11" ht="15.75" thickBot="1">
      <c r="A191" s="359"/>
      <c r="B191" s="1392"/>
      <c r="C191" s="272"/>
      <c r="D191" s="278" t="s">
        <v>116</v>
      </c>
      <c r="E191" s="375">
        <v>0.2</v>
      </c>
      <c r="F191" s="375">
        <v>0.2</v>
      </c>
      <c r="G191" s="248"/>
      <c r="H191" s="248"/>
      <c r="I191" s="248"/>
      <c r="J191" s="248"/>
      <c r="K191" s="248"/>
    </row>
    <row r="192" spans="1:11" ht="15.75" thickBot="1">
      <c r="A192" s="359"/>
      <c r="B192" s="1392"/>
      <c r="C192" s="272"/>
      <c r="D192" s="278" t="s">
        <v>117</v>
      </c>
      <c r="E192" s="375">
        <v>0.5</v>
      </c>
      <c r="F192" s="375">
        <v>0.7</v>
      </c>
      <c r="G192" s="248"/>
      <c r="H192" s="376"/>
      <c r="I192" s="248"/>
      <c r="J192" s="248"/>
      <c r="K192" s="248"/>
    </row>
    <row r="193" spans="1:11" ht="15.75" thickBot="1">
      <c r="A193" s="359"/>
      <c r="B193" s="1392"/>
      <c r="C193" s="272"/>
      <c r="D193" s="278" t="s">
        <v>118</v>
      </c>
      <c r="E193" s="375">
        <v>0.3</v>
      </c>
      <c r="F193" s="375">
        <v>1</v>
      </c>
      <c r="G193" s="248"/>
      <c r="H193" s="376"/>
      <c r="I193" s="248"/>
      <c r="J193" s="248"/>
      <c r="K193" s="248"/>
    </row>
    <row r="194" spans="1:11">
      <c r="A194" s="359"/>
      <c r="B194" s="1392"/>
      <c r="C194" s="276"/>
      <c r="D194" s="1373"/>
      <c r="E194" s="1374"/>
      <c r="F194" s="1375"/>
      <c r="G194" s="248"/>
      <c r="H194" s="376"/>
      <c r="I194" s="248"/>
      <c r="J194" s="248"/>
      <c r="K194" s="248"/>
    </row>
    <row r="195" spans="1:11" ht="15.75" thickBot="1">
      <c r="A195" s="359"/>
      <c r="B195" s="1392"/>
      <c r="C195" s="276"/>
      <c r="D195" s="1370" t="s">
        <v>119</v>
      </c>
      <c r="E195" s="1371"/>
      <c r="F195" s="1372"/>
      <c r="G195" s="248"/>
      <c r="H195" s="376"/>
      <c r="I195" s="248"/>
      <c r="J195" s="248"/>
      <c r="K195" s="248"/>
    </row>
    <row r="196" spans="1:11" ht="24.75" thickBot="1">
      <c r="A196" s="359"/>
      <c r="B196" s="1392"/>
      <c r="C196" s="272"/>
      <c r="D196" s="287" t="s">
        <v>108</v>
      </c>
      <c r="E196" s="287" t="s">
        <v>109</v>
      </c>
      <c r="F196" s="287" t="s">
        <v>110</v>
      </c>
      <c r="G196" s="248"/>
      <c r="H196" s="248"/>
      <c r="I196" s="248"/>
      <c r="J196" s="248"/>
      <c r="K196" s="248"/>
    </row>
    <row r="197" spans="1:11" ht="15.75" thickBot="1">
      <c r="A197" s="359"/>
      <c r="B197" s="1392"/>
      <c r="C197" s="272"/>
      <c r="D197" s="278" t="s">
        <v>120</v>
      </c>
      <c r="E197" s="375">
        <v>0.2</v>
      </c>
      <c r="F197" s="375">
        <v>0.2</v>
      </c>
      <c r="G197" s="248"/>
      <c r="H197" s="376"/>
      <c r="I197" s="248"/>
      <c r="J197" s="248"/>
      <c r="K197" s="248"/>
    </row>
    <row r="198" spans="1:11" ht="15.75" thickBot="1">
      <c r="A198" s="359"/>
      <c r="B198" s="1392"/>
      <c r="C198" s="272"/>
      <c r="D198" s="278" t="s">
        <v>117</v>
      </c>
      <c r="E198" s="375">
        <v>0.5</v>
      </c>
      <c r="F198" s="375">
        <v>0.7</v>
      </c>
      <c r="G198" s="248"/>
      <c r="H198" s="376"/>
      <c r="I198" s="248"/>
      <c r="J198" s="248"/>
      <c r="K198" s="248"/>
    </row>
    <row r="199" spans="1:11" ht="15.75" thickBot="1">
      <c r="A199" s="359"/>
      <c r="B199" s="1392"/>
      <c r="C199" s="272"/>
      <c r="D199" s="278" t="s">
        <v>118</v>
      </c>
      <c r="E199" s="375">
        <v>0.3</v>
      </c>
      <c r="F199" s="375">
        <v>1</v>
      </c>
      <c r="G199" s="248"/>
      <c r="H199" s="376"/>
      <c r="I199" s="248"/>
      <c r="J199" s="248"/>
      <c r="K199" s="248"/>
    </row>
    <row r="200" spans="1:11">
      <c r="A200" s="359"/>
      <c r="B200" s="1392"/>
      <c r="C200" s="276"/>
      <c r="D200" s="1373"/>
      <c r="E200" s="1374"/>
      <c r="F200" s="1375"/>
      <c r="G200" s="248"/>
      <c r="H200" s="248"/>
      <c r="I200" s="248"/>
      <c r="J200" s="248"/>
      <c r="K200" s="248"/>
    </row>
    <row r="201" spans="1:11">
      <c r="A201" s="359"/>
      <c r="B201" s="1392"/>
      <c r="C201" s="276"/>
      <c r="D201" s="1376" t="s">
        <v>121</v>
      </c>
      <c r="E201" s="1377"/>
      <c r="F201" s="1378"/>
      <c r="G201" s="248"/>
      <c r="H201" s="248"/>
      <c r="I201" s="248"/>
      <c r="J201" s="248"/>
      <c r="K201" s="248"/>
    </row>
    <row r="202" spans="1:11">
      <c r="A202" s="359"/>
      <c r="B202" s="1392"/>
      <c r="C202" s="276"/>
      <c r="D202" s="1379" t="s">
        <v>122</v>
      </c>
      <c r="E202" s="1380"/>
      <c r="F202" s="1381"/>
      <c r="G202" s="248"/>
      <c r="H202" s="248"/>
      <c r="I202" s="248"/>
      <c r="J202" s="248"/>
      <c r="K202" s="248"/>
    </row>
    <row r="203" spans="1:11">
      <c r="A203" s="359"/>
      <c r="B203" s="1392"/>
      <c r="C203" s="276"/>
      <c r="D203" s="301"/>
      <c r="E203" s="377"/>
      <c r="F203" s="313"/>
      <c r="G203" s="248"/>
      <c r="H203" s="248"/>
      <c r="I203" s="248"/>
      <c r="J203" s="248"/>
      <c r="K203" s="248"/>
    </row>
    <row r="204" spans="1:11">
      <c r="A204" s="359"/>
      <c r="B204" s="1392"/>
      <c r="C204" s="276"/>
      <c r="D204" s="1379" t="s">
        <v>123</v>
      </c>
      <c r="E204" s="1380"/>
      <c r="F204" s="1381"/>
      <c r="G204" s="248"/>
      <c r="H204" s="248"/>
      <c r="I204" s="248"/>
      <c r="J204" s="248"/>
      <c r="K204" s="248"/>
    </row>
    <row r="205" spans="1:11">
      <c r="A205" s="359"/>
      <c r="B205" s="1392"/>
      <c r="C205" s="276"/>
      <c r="D205" s="1379" t="s">
        <v>124</v>
      </c>
      <c r="E205" s="1380"/>
      <c r="F205" s="1381"/>
      <c r="G205" s="248"/>
      <c r="H205" s="248"/>
      <c r="I205" s="248"/>
      <c r="J205" s="248"/>
      <c r="K205" s="248"/>
    </row>
    <row r="206" spans="1:11">
      <c r="A206" s="359"/>
      <c r="B206" s="1392"/>
      <c r="C206" s="276"/>
      <c r="D206" s="1379" t="s">
        <v>125</v>
      </c>
      <c r="E206" s="1380"/>
      <c r="F206" s="1381"/>
      <c r="G206" s="248"/>
      <c r="H206" s="248"/>
      <c r="I206" s="248"/>
      <c r="J206" s="248"/>
      <c r="K206" s="248"/>
    </row>
    <row r="207" spans="1:11">
      <c r="A207" s="359"/>
      <c r="B207" s="1392"/>
      <c r="C207" s="276"/>
      <c r="D207" s="1379" t="s">
        <v>126</v>
      </c>
      <c r="E207" s="1380"/>
      <c r="F207" s="1381"/>
      <c r="G207" s="248"/>
      <c r="H207" s="248"/>
      <c r="I207" s="248"/>
      <c r="J207" s="248"/>
      <c r="K207" s="248"/>
    </row>
    <row r="208" spans="1:11">
      <c r="A208" s="359"/>
      <c r="B208" s="1392"/>
      <c r="C208" s="276"/>
      <c r="D208" s="301"/>
      <c r="E208" s="377"/>
      <c r="F208" s="313"/>
      <c r="G208" s="248"/>
      <c r="H208" s="248"/>
      <c r="I208" s="248"/>
      <c r="J208" s="248"/>
      <c r="K208" s="248"/>
    </row>
    <row r="209" spans="1:11">
      <c r="A209" s="359"/>
      <c r="B209" s="1392"/>
      <c r="C209" s="276"/>
      <c r="D209" s="1376" t="s">
        <v>127</v>
      </c>
      <c r="E209" s="1377"/>
      <c r="F209" s="1378"/>
      <c r="G209" s="248"/>
      <c r="H209" s="248"/>
      <c r="I209" s="248"/>
      <c r="J209" s="248"/>
      <c r="K209" s="248"/>
    </row>
    <row r="210" spans="1:11">
      <c r="A210" s="359"/>
      <c r="B210" s="1392"/>
      <c r="C210" s="276"/>
      <c r="D210" s="1379" t="s">
        <v>128</v>
      </c>
      <c r="E210" s="1380"/>
      <c r="F210" s="1381"/>
      <c r="G210" s="248"/>
      <c r="H210" s="248"/>
      <c r="I210" s="248"/>
      <c r="J210" s="248"/>
      <c r="K210" s="248"/>
    </row>
    <row r="211" spans="1:11" ht="32.1" customHeight="1">
      <c r="A211" s="359"/>
      <c r="B211" s="1392"/>
      <c r="C211" s="276"/>
      <c r="D211" s="1409"/>
      <c r="E211" s="1410"/>
      <c r="F211" s="1411"/>
      <c r="G211" s="248"/>
      <c r="H211" s="248"/>
      <c r="I211" s="248"/>
      <c r="J211" s="248"/>
      <c r="K211" s="248"/>
    </row>
    <row r="212" spans="1:11">
      <c r="A212" s="359"/>
      <c r="B212" s="1392"/>
      <c r="C212" s="276"/>
      <c r="D212" s="1379" t="s">
        <v>129</v>
      </c>
      <c r="E212" s="1380"/>
      <c r="F212" s="1381"/>
      <c r="G212" s="248"/>
      <c r="H212" s="248"/>
      <c r="I212" s="248"/>
      <c r="J212" s="248"/>
      <c r="K212" s="248"/>
    </row>
    <row r="213" spans="1:11">
      <c r="A213" s="359"/>
      <c r="B213" s="1392"/>
      <c r="C213" s="276"/>
      <c r="D213" s="1379" t="s">
        <v>130</v>
      </c>
      <c r="E213" s="1380"/>
      <c r="F213" s="1381"/>
      <c r="G213" s="248"/>
      <c r="H213" s="248"/>
      <c r="I213" s="248"/>
      <c r="J213" s="248"/>
      <c r="K213" s="248"/>
    </row>
    <row r="214" spans="1:11">
      <c r="A214" s="359"/>
      <c r="B214" s="1392"/>
      <c r="C214" s="276"/>
      <c r="D214" s="1379" t="s">
        <v>131</v>
      </c>
      <c r="E214" s="1380"/>
      <c r="F214" s="1381"/>
      <c r="G214" s="248"/>
      <c r="H214" s="248"/>
      <c r="I214" s="248"/>
      <c r="J214" s="248"/>
      <c r="K214" s="248"/>
    </row>
    <row r="215" spans="1:11" ht="15.75" thickBot="1">
      <c r="A215" s="359"/>
      <c r="B215" s="1393"/>
      <c r="C215" s="286"/>
      <c r="D215" s="1406" t="s">
        <v>132</v>
      </c>
      <c r="E215" s="1407"/>
      <c r="F215" s="1408"/>
      <c r="G215" s="248"/>
      <c r="H215" s="248"/>
      <c r="I215" s="248"/>
      <c r="J215" s="248"/>
      <c r="K215" s="248"/>
    </row>
  </sheetData>
  <sheetProtection insertRows="0"/>
  <mergeCells count="103">
    <mergeCell ref="A5:P5"/>
    <mergeCell ref="A1:P1"/>
    <mergeCell ref="A2:P2"/>
    <mergeCell ref="A3:P3"/>
    <mergeCell ref="A4:D4"/>
    <mergeCell ref="B10:D10"/>
    <mergeCell ref="F11:S11"/>
    <mergeCell ref="E12:R12"/>
    <mergeCell ref="E13:R13"/>
    <mergeCell ref="F10:S10"/>
    <mergeCell ref="D211:F211"/>
    <mergeCell ref="D212:F212"/>
    <mergeCell ref="D213:F213"/>
    <mergeCell ref="D214:F214"/>
    <mergeCell ref="D207:F207"/>
    <mergeCell ref="D181:F181"/>
    <mergeCell ref="D188:F188"/>
    <mergeCell ref="D189:F189"/>
    <mergeCell ref="D194:F194"/>
    <mergeCell ref="D195:F195"/>
    <mergeCell ref="D200:F200"/>
    <mergeCell ref="D201:F201"/>
    <mergeCell ref="D202:F202"/>
    <mergeCell ref="D204:F204"/>
    <mergeCell ref="D205:F205"/>
    <mergeCell ref="D206:F206"/>
    <mergeCell ref="D175:F175"/>
    <mergeCell ref="D176:F176"/>
    <mergeCell ref="D177:F177"/>
    <mergeCell ref="D178:F178"/>
    <mergeCell ref="D179:F179"/>
    <mergeCell ref="D180:F180"/>
    <mergeCell ref="D166:F166"/>
    <mergeCell ref="D167:F167"/>
    <mergeCell ref="B168:B215"/>
    <mergeCell ref="D168:F168"/>
    <mergeCell ref="D169:F169"/>
    <mergeCell ref="D170:F170"/>
    <mergeCell ref="D171:F171"/>
    <mergeCell ref="D172:F172"/>
    <mergeCell ref="D173:F173"/>
    <mergeCell ref="D174:F174"/>
    <mergeCell ref="B150:B167"/>
    <mergeCell ref="D150:F150"/>
    <mergeCell ref="D151:F151"/>
    <mergeCell ref="D152:F152"/>
    <mergeCell ref="D153:F153"/>
    <mergeCell ref="D215:F215"/>
    <mergeCell ref="D209:F209"/>
    <mergeCell ref="D210:F210"/>
    <mergeCell ref="D149:F149"/>
    <mergeCell ref="D165:F165"/>
    <mergeCell ref="D154:F154"/>
    <mergeCell ref="D155:F155"/>
    <mergeCell ref="D156:F156"/>
    <mergeCell ref="D157:F157"/>
    <mergeCell ref="D158:F158"/>
    <mergeCell ref="D159:F159"/>
    <mergeCell ref="D160:F160"/>
    <mergeCell ref="D161:F161"/>
    <mergeCell ref="D162:F162"/>
    <mergeCell ref="D163:F163"/>
    <mergeCell ref="D164:F164"/>
    <mergeCell ref="D136:F136"/>
    <mergeCell ref="B137:B148"/>
    <mergeCell ref="D137:F137"/>
    <mergeCell ref="D138:F138"/>
    <mergeCell ref="D139:F139"/>
    <mergeCell ref="D140:F140"/>
    <mergeCell ref="D141:F141"/>
    <mergeCell ref="D142:F142"/>
    <mergeCell ref="D143:F143"/>
    <mergeCell ref="D144:F144"/>
    <mergeCell ref="D145:F145"/>
    <mergeCell ref="D146:F146"/>
    <mergeCell ref="D147:F147"/>
    <mergeCell ref="D148:F148"/>
    <mergeCell ref="B107:E107"/>
    <mergeCell ref="B108:B114"/>
    <mergeCell ref="B116:E116"/>
    <mergeCell ref="B117:B123"/>
    <mergeCell ref="B130:F131"/>
    <mergeCell ref="D100:E100"/>
    <mergeCell ref="D101:K101"/>
    <mergeCell ref="D102:K102"/>
    <mergeCell ref="D104:K104"/>
    <mergeCell ref="D105:K105"/>
    <mergeCell ref="B15:B21"/>
    <mergeCell ref="D95:K95"/>
    <mergeCell ref="D15:K15"/>
    <mergeCell ref="D22:K22"/>
    <mergeCell ref="D23:K23"/>
    <mergeCell ref="D39:K39"/>
    <mergeCell ref="D40:K40"/>
    <mergeCell ref="D41:K41"/>
    <mergeCell ref="D42:K42"/>
    <mergeCell ref="D43:K43"/>
    <mergeCell ref="D59:K59"/>
    <mergeCell ref="D60:K60"/>
    <mergeCell ref="D76:K76"/>
    <mergeCell ref="D77:K77"/>
    <mergeCell ref="D78:K78"/>
    <mergeCell ref="D94:K94"/>
  </mergeCells>
  <conditionalFormatting sqref="D100">
    <cfRule type="containsText" dxfId="129" priority="9" operator="containsText" text="ERROR">
      <formula>NOT(ISERROR(SEARCH("ERROR",D100)))</formula>
    </cfRule>
  </conditionalFormatting>
  <conditionalFormatting sqref="F10">
    <cfRule type="notContainsBlanks" dxfId="128" priority="8">
      <formula>LEN(TRIM(F10))&gt;0</formula>
    </cfRule>
  </conditionalFormatting>
  <conditionalFormatting sqref="F11:S11">
    <cfRule type="expression" dxfId="127" priority="5">
      <formula>E11="NO SE REPORTA"</formula>
    </cfRule>
    <cfRule type="expression" dxfId="126" priority="6">
      <formula>E10="NO APLICA"</formula>
    </cfRule>
  </conditionalFormatting>
  <conditionalFormatting sqref="E12:R12">
    <cfRule type="expression" dxfId="125" priority="2">
      <formula>E11="SI SE REPORTA"</formula>
    </cfRule>
  </conditionalFormatting>
  <dataValidations count="7">
    <dataValidation type="decimal" allowBlank="1" showInputMessage="1" showErrorMessage="1" errorTitle="ERROR" error="Escriba un valor entre 0% y 100%" sqref="E97:F99 G62:J75 G45:J58">
      <formula1>0</formula1>
      <formula2>1</formula2>
    </dataValidation>
    <dataValidation type="whole" operator="greaterThanOrEqual" allowBlank="1" showErrorMessage="1" errorTitle="ERROR" error="Escriba un número igual o mayor que 0" promptTitle="ERROR" prompt="Escriba un número igual o mayor que 0" sqref="E16:E21">
      <formula1>0</formula1>
    </dataValidation>
    <dataValidation type="textLength" allowBlank="1" showInputMessage="1" showErrorMessage="1" errorTitle="ERROR" error="Escriba POMCA, PMM o PMA" promptTitle="ESCRIBA" prompt="POMCA, PMA o PMM" sqref="D25:D38 D45:D58">
      <formula1>1</formula1>
      <formula2>5</formula2>
    </dataValidation>
    <dataValidation type="whole" operator="greaterThanOrEqual" allowBlank="1" showInputMessage="1" showErrorMessage="1" errorTitle="ERROR" error="Valor en HECTAREAS (sin decimales)_x000a_" sqref="G25:G38">
      <formula1>0</formula1>
    </dataValidation>
    <dataValidation allowBlank="1" showInputMessage="1" showErrorMessage="1" promptTitle="ESTADO" prompt="Procesos formales previos_x000a_Aprestamiento_x000a_Diagnóstico_x000a_Prospectiva y Zonificación Ambiental_x000a_Formulación_x000a_Aprobado" sqref="H25:H38"/>
    <dataValidation type="list" allowBlank="1" showInputMessage="1" showErrorMessage="1" sqref="E10">
      <formula1>SI</formula1>
    </dataValidation>
    <dataValidation type="list" allowBlank="1" showInputMessage="1" showErrorMessage="1" sqref="E11">
      <formula1>REPORTE</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6"/>
  <sheetViews>
    <sheetView showGridLines="0" zoomScale="98" zoomScaleNormal="98" workbookViewId="0">
      <selection sqref="A1:XFD1048576"/>
    </sheetView>
  </sheetViews>
  <sheetFormatPr baseColWidth="10" defaultRowHeight="15"/>
  <cols>
    <col min="1" max="1" width="1.85546875" customWidth="1"/>
    <col min="2" max="2" width="12.85546875" customWidth="1"/>
    <col min="3" max="3" width="6.140625" style="88" bestFit="1" customWidth="1"/>
    <col min="4" max="4" width="34.85546875" customWidth="1"/>
    <col min="5" max="5" width="12.140625" customWidth="1"/>
  </cols>
  <sheetData>
    <row r="1" spans="1:21" s="551" customFormat="1" ht="100.5" customHeight="1" thickBot="1">
      <c r="A1" s="1344"/>
      <c r="B1" s="1345"/>
      <c r="C1" s="1345"/>
      <c r="D1" s="1345"/>
      <c r="E1" s="1345"/>
      <c r="F1" s="1345"/>
      <c r="G1" s="1345"/>
      <c r="H1" s="1345"/>
      <c r="I1" s="1345"/>
      <c r="J1" s="1345"/>
      <c r="K1" s="1345"/>
      <c r="L1" s="1345"/>
      <c r="M1" s="1345"/>
      <c r="N1" s="1345"/>
      <c r="O1" s="1345"/>
      <c r="P1" s="1346"/>
      <c r="Q1" s="413"/>
      <c r="R1" s="413"/>
    </row>
    <row r="2" spans="1:21" s="552" customFormat="1" ht="16.5" thickBot="1">
      <c r="A2" s="1352" t="str">
        <f>'Datos Generales'!C5</f>
        <v>Corporación Autónoma Regional de La Guajira – CORPOGUAJIRA</v>
      </c>
      <c r="B2" s="1353"/>
      <c r="C2" s="1353"/>
      <c r="D2" s="1353"/>
      <c r="E2" s="1353"/>
      <c r="F2" s="1353"/>
      <c r="G2" s="1353"/>
      <c r="H2" s="1353"/>
      <c r="I2" s="1353"/>
      <c r="J2" s="1353"/>
      <c r="K2" s="1353"/>
      <c r="L2" s="1353"/>
      <c r="M2" s="1353"/>
      <c r="N2" s="1353"/>
      <c r="O2" s="1353"/>
      <c r="P2" s="1354"/>
      <c r="Q2" s="413"/>
      <c r="R2" s="413"/>
    </row>
    <row r="3" spans="1:21" s="552" customFormat="1" ht="16.5" thickBot="1">
      <c r="A3" s="1347" t="s">
        <v>1419</v>
      </c>
      <c r="B3" s="1348"/>
      <c r="C3" s="1348"/>
      <c r="D3" s="1348"/>
      <c r="E3" s="1348"/>
      <c r="F3" s="1348"/>
      <c r="G3" s="1348"/>
      <c r="H3" s="1348"/>
      <c r="I3" s="1348"/>
      <c r="J3" s="1348"/>
      <c r="K3" s="1348"/>
      <c r="L3" s="1348"/>
      <c r="M3" s="1348"/>
      <c r="N3" s="1348"/>
      <c r="O3" s="1348"/>
      <c r="P3" s="1349"/>
      <c r="Q3" s="413"/>
      <c r="R3" s="413"/>
    </row>
    <row r="4" spans="1:21" s="552" customFormat="1" ht="16.5" thickBot="1">
      <c r="A4" s="1350" t="s">
        <v>1418</v>
      </c>
      <c r="B4" s="1351"/>
      <c r="C4" s="1351"/>
      <c r="D4" s="1351"/>
      <c r="E4" s="571" t="str">
        <f>'Datos Generales'!C6</f>
        <v>2016-II</v>
      </c>
      <c r="F4" s="571"/>
      <c r="G4" s="571"/>
      <c r="H4" s="571"/>
      <c r="I4" s="571"/>
      <c r="J4" s="571"/>
      <c r="K4" s="571"/>
      <c r="L4" s="572"/>
      <c r="M4" s="572"/>
      <c r="N4" s="572"/>
      <c r="O4" s="572"/>
      <c r="P4" s="573"/>
      <c r="Q4" s="413"/>
      <c r="R4" s="413"/>
    </row>
    <row r="5" spans="1:21" s="245" customFormat="1" ht="16.5" customHeight="1" thickBot="1">
      <c r="A5" s="1347" t="s">
        <v>136</v>
      </c>
      <c r="B5" s="1348"/>
      <c r="C5" s="1348"/>
      <c r="D5" s="1348"/>
      <c r="E5" s="1348"/>
      <c r="F5" s="1348"/>
      <c r="G5" s="1348"/>
      <c r="H5" s="1348"/>
      <c r="I5" s="1348"/>
      <c r="J5" s="1348"/>
      <c r="K5" s="1348"/>
      <c r="L5" s="1348"/>
      <c r="M5" s="1348"/>
      <c r="N5" s="1348"/>
      <c r="O5" s="1348"/>
      <c r="P5" s="1349"/>
    </row>
    <row r="6" spans="1:21">
      <c r="A6" s="245"/>
      <c r="B6" s="249" t="s">
        <v>1</v>
      </c>
      <c r="C6" s="250"/>
      <c r="D6" s="248"/>
      <c r="E6" s="259"/>
      <c r="F6" s="248" t="s">
        <v>133</v>
      </c>
      <c r="G6" s="248"/>
      <c r="H6" s="248"/>
      <c r="I6" s="248"/>
      <c r="J6" s="248"/>
      <c r="K6" s="248"/>
    </row>
    <row r="7" spans="1:21" ht="15.75" thickBot="1">
      <c r="A7" s="245"/>
      <c r="B7" s="251"/>
      <c r="C7" s="260"/>
      <c r="D7" s="248"/>
      <c r="E7" s="253"/>
      <c r="F7" s="248" t="s">
        <v>134</v>
      </c>
      <c r="G7" s="248"/>
      <c r="H7" s="248"/>
      <c r="I7" s="248"/>
      <c r="J7" s="248"/>
      <c r="K7" s="248"/>
    </row>
    <row r="8" spans="1:21" ht="15.75" thickBot="1">
      <c r="A8" s="245"/>
      <c r="B8" s="261" t="s">
        <v>1204</v>
      </c>
      <c r="C8" s="262">
        <v>2017</v>
      </c>
      <c r="D8" s="263">
        <f>IF(E10="NO APLICA","NO APLICA",IF(E11="NO SE REPORTA","SIN INFORMACION",+F23))</f>
        <v>0.5</v>
      </c>
      <c r="E8" s="264"/>
      <c r="F8" s="248" t="s">
        <v>135</v>
      </c>
      <c r="G8" s="248"/>
      <c r="H8" s="248"/>
      <c r="I8" s="248"/>
      <c r="J8" s="248"/>
      <c r="K8" s="248"/>
    </row>
    <row r="9" spans="1:21">
      <c r="A9" s="245"/>
      <c r="B9" s="507" t="s">
        <v>1205</v>
      </c>
      <c r="C9" s="265"/>
      <c r="D9" s="266"/>
      <c r="E9" s="248"/>
      <c r="F9" s="248"/>
      <c r="G9" s="248"/>
      <c r="H9" s="248"/>
      <c r="I9" s="248"/>
      <c r="J9" s="248"/>
      <c r="K9" s="248"/>
    </row>
    <row r="10" spans="1:21" s="413" customFormat="1">
      <c r="A10" s="245"/>
      <c r="B10" s="1412" t="s">
        <v>1265</v>
      </c>
      <c r="C10" s="1412"/>
      <c r="D10" s="1412"/>
      <c r="E10" s="513" t="s">
        <v>1262</v>
      </c>
      <c r="F10" s="1419"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420"/>
      <c r="H10" s="1420"/>
      <c r="I10" s="1420"/>
      <c r="J10" s="1420"/>
      <c r="K10" s="1420"/>
      <c r="L10" s="1420"/>
      <c r="M10" s="1420"/>
      <c r="N10" s="1420"/>
      <c r="O10" s="1420"/>
      <c r="P10" s="1420"/>
      <c r="Q10" s="1420"/>
      <c r="R10" s="1420"/>
      <c r="S10" s="1420"/>
      <c r="T10" s="509"/>
      <c r="U10" s="509"/>
    </row>
    <row r="11" spans="1:21" s="413" customFormat="1" ht="14.45" customHeight="1">
      <c r="A11" s="245"/>
      <c r="B11" s="510"/>
      <c r="C11" s="511"/>
      <c r="D11" s="512" t="str">
        <f>IF(E10="SI APLICA","¿El indicador no se reporta por limitaciones de información disponible? ","")</f>
        <v xml:space="preserve">¿El indicador no se reporta por limitaciones de información disponible? </v>
      </c>
      <c r="E11" s="514" t="s">
        <v>1264</v>
      </c>
      <c r="F11" s="1413" t="s">
        <v>1704</v>
      </c>
      <c r="G11" s="1414"/>
      <c r="H11" s="1414"/>
      <c r="I11" s="1414"/>
      <c r="J11" s="1414"/>
      <c r="K11" s="1414"/>
      <c r="L11" s="1414"/>
      <c r="M11" s="1414"/>
      <c r="N11" s="1414"/>
      <c r="O11" s="1414"/>
      <c r="P11" s="1414"/>
      <c r="Q11" s="1414"/>
      <c r="R11" s="1414"/>
      <c r="S11" s="1414"/>
    </row>
    <row r="12" spans="1:21" s="413" customFormat="1" ht="23.45" customHeight="1">
      <c r="A12" s="245"/>
      <c r="B12" s="507"/>
      <c r="C12" s="304"/>
      <c r="D12" s="512" t="str">
        <f>IF(E11="SI SE REPORTA","¿Qué programas o proyectos del Plan de Acción están asociados al indicador? ","")</f>
        <v xml:space="preserve">¿Qué programas o proyectos del Plan de Acción están asociados al indicador? </v>
      </c>
      <c r="E12" s="1415" t="str">
        <f>'Anexo 1 Matriz Inf Gestión'!E31:H31</f>
        <v>Proyecto 2.1. Administración de la oferta y demanda del recurso hídrico. (Superficiales y subterráneas) (4).</v>
      </c>
      <c r="F12" s="1415"/>
      <c r="G12" s="1415"/>
      <c r="H12" s="1415"/>
      <c r="I12" s="1415"/>
      <c r="J12" s="1415"/>
      <c r="K12" s="1415"/>
      <c r="L12" s="1415"/>
      <c r="M12" s="1415"/>
      <c r="N12" s="1415"/>
      <c r="O12" s="1415"/>
      <c r="P12" s="1415"/>
      <c r="Q12" s="1415"/>
      <c r="R12" s="1415"/>
    </row>
    <row r="13" spans="1:21" s="413" customFormat="1" ht="21.95" customHeight="1">
      <c r="A13" s="245"/>
      <c r="B13" s="507"/>
      <c r="C13" s="304"/>
      <c r="D13" s="512" t="s">
        <v>1267</v>
      </c>
      <c r="E13" s="1416" t="s">
        <v>1705</v>
      </c>
      <c r="F13" s="1417"/>
      <c r="G13" s="1417"/>
      <c r="H13" s="1417"/>
      <c r="I13" s="1417"/>
      <c r="J13" s="1417"/>
      <c r="K13" s="1417"/>
      <c r="L13" s="1417"/>
      <c r="M13" s="1417"/>
      <c r="N13" s="1417"/>
      <c r="O13" s="1417"/>
      <c r="P13" s="1417"/>
      <c r="Q13" s="1417"/>
      <c r="R13" s="1418"/>
    </row>
    <row r="14" spans="1:21" s="413" customFormat="1" ht="6.95" customHeight="1" thickBot="1">
      <c r="A14" s="245"/>
      <c r="B14" s="507"/>
      <c r="C14" s="265"/>
      <c r="D14" s="266"/>
      <c r="E14" s="248"/>
      <c r="F14" s="248"/>
      <c r="G14" s="248"/>
      <c r="H14" s="248"/>
      <c r="I14" s="248"/>
      <c r="J14" s="248"/>
      <c r="K14" s="248"/>
    </row>
    <row r="15" spans="1:21" ht="15.75" thickBot="1">
      <c r="A15" s="245"/>
      <c r="B15" s="1391" t="s">
        <v>2</v>
      </c>
      <c r="C15" s="268"/>
      <c r="D15" s="1373" t="s">
        <v>3</v>
      </c>
      <c r="E15" s="1374"/>
      <c r="F15" s="1374"/>
      <c r="G15" s="1374"/>
      <c r="H15" s="1374"/>
      <c r="I15" s="1374"/>
      <c r="J15" s="1375"/>
      <c r="K15" s="248"/>
    </row>
    <row r="16" spans="1:21" ht="36.75" thickBot="1">
      <c r="A16" s="245"/>
      <c r="B16" s="1392"/>
      <c r="C16" s="272"/>
      <c r="D16" s="273" t="s">
        <v>153</v>
      </c>
      <c r="E16" s="217">
        <v>12</v>
      </c>
      <c r="F16" s="248"/>
      <c r="G16" s="248"/>
      <c r="H16" s="248"/>
      <c r="I16" s="248"/>
      <c r="J16" s="274"/>
      <c r="K16" s="248"/>
    </row>
    <row r="17" spans="1:11" ht="48.75" thickBot="1">
      <c r="A17" s="245"/>
      <c r="B17" s="1392"/>
      <c r="C17" s="272"/>
      <c r="D17" s="275" t="s">
        <v>154</v>
      </c>
      <c r="E17" s="217">
        <v>4</v>
      </c>
      <c r="F17" s="248"/>
      <c r="G17" s="248"/>
      <c r="H17" s="248"/>
      <c r="I17" s="248"/>
      <c r="J17" s="274"/>
      <c r="K17" s="248"/>
    </row>
    <row r="18" spans="1:11" ht="48.75" thickBot="1">
      <c r="A18" s="245"/>
      <c r="B18" s="1392"/>
      <c r="C18" s="272"/>
      <c r="D18" s="275" t="s">
        <v>155</v>
      </c>
      <c r="E18" s="217">
        <v>4</v>
      </c>
      <c r="F18" s="248"/>
      <c r="G18" s="248"/>
      <c r="H18" s="248"/>
      <c r="I18" s="248"/>
      <c r="J18" s="274"/>
      <c r="K18" s="248"/>
    </row>
    <row r="19" spans="1:11" ht="15.75" thickBot="1">
      <c r="A19" s="245"/>
      <c r="B19" s="1392"/>
      <c r="C19" s="276"/>
      <c r="D19" s="1403"/>
      <c r="E19" s="1404"/>
      <c r="F19" s="1404"/>
      <c r="G19" s="1404"/>
      <c r="H19" s="1404"/>
      <c r="I19" s="1404"/>
      <c r="J19" s="1405"/>
      <c r="K19" s="248"/>
    </row>
    <row r="20" spans="1:11" ht="15.75" thickBot="1">
      <c r="A20" s="245"/>
      <c r="B20" s="1392"/>
      <c r="C20" s="279" t="s">
        <v>24</v>
      </c>
      <c r="D20" s="273" t="s">
        <v>156</v>
      </c>
      <c r="E20" s="280" t="s">
        <v>25</v>
      </c>
      <c r="F20" s="280" t="s">
        <v>26</v>
      </c>
      <c r="G20" s="280" t="s">
        <v>27</v>
      </c>
      <c r="H20" s="280" t="s">
        <v>28</v>
      </c>
      <c r="I20" s="280" t="s">
        <v>157</v>
      </c>
      <c r="J20" s="114"/>
      <c r="K20" s="248"/>
    </row>
    <row r="21" spans="1:11" ht="36.75" thickBot="1">
      <c r="A21" s="245"/>
      <c r="B21" s="1392"/>
      <c r="C21" s="282" t="s">
        <v>158</v>
      </c>
      <c r="D21" s="275" t="s">
        <v>159</v>
      </c>
      <c r="E21" s="217">
        <v>0</v>
      </c>
      <c r="F21" s="217">
        <v>2</v>
      </c>
      <c r="G21" s="217">
        <v>1</v>
      </c>
      <c r="H21" s="217">
        <v>1</v>
      </c>
      <c r="I21" s="283">
        <f>SUM(E21:H21)</f>
        <v>4</v>
      </c>
      <c r="J21" s="115"/>
      <c r="K21" s="248"/>
    </row>
    <row r="22" spans="1:11" ht="36.75" thickBot="1">
      <c r="A22" s="245"/>
      <c r="B22" s="1392"/>
      <c r="C22" s="282" t="s">
        <v>160</v>
      </c>
      <c r="D22" s="275" t="s">
        <v>161</v>
      </c>
      <c r="E22" s="217">
        <v>0</v>
      </c>
      <c r="F22" s="217">
        <v>1</v>
      </c>
      <c r="G22" s="217"/>
      <c r="H22" s="217"/>
      <c r="I22" s="283">
        <f>SUM(E22:H22)</f>
        <v>1</v>
      </c>
      <c r="J22" s="115"/>
      <c r="K22" s="248"/>
    </row>
    <row r="23" spans="1:11" ht="36.75" thickBot="1">
      <c r="A23" s="245"/>
      <c r="B23" s="1393"/>
      <c r="C23" s="282" t="s">
        <v>162</v>
      </c>
      <c r="D23" s="275" t="s">
        <v>163</v>
      </c>
      <c r="E23" s="196" t="str">
        <f>IFERROR(E22/E21,"N.A.")</f>
        <v>N.A.</v>
      </c>
      <c r="F23" s="196">
        <f t="shared" ref="F23:I23" si="0">IFERROR(F22/F21,"N.A.")</f>
        <v>0.5</v>
      </c>
      <c r="G23" s="196">
        <f t="shared" si="0"/>
        <v>0</v>
      </c>
      <c r="H23" s="196">
        <f t="shared" si="0"/>
        <v>0</v>
      </c>
      <c r="I23" s="196">
        <f t="shared" si="0"/>
        <v>0.25</v>
      </c>
      <c r="J23" s="116"/>
      <c r="K23" s="248"/>
    </row>
    <row r="24" spans="1:11" ht="15.75" thickBot="1">
      <c r="A24" s="245"/>
      <c r="B24" s="285" t="s">
        <v>39</v>
      </c>
      <c r="C24" s="286"/>
      <c r="D24" s="1400" t="s">
        <v>164</v>
      </c>
      <c r="E24" s="1401"/>
      <c r="F24" s="1401"/>
      <c r="G24" s="1401"/>
      <c r="H24" s="1401"/>
      <c r="I24" s="1401"/>
      <c r="J24" s="1402"/>
      <c r="K24" s="248"/>
    </row>
    <row r="25" spans="1:11" ht="24.75" thickBot="1">
      <c r="A25" s="245"/>
      <c r="B25" s="285" t="s">
        <v>41</v>
      </c>
      <c r="C25" s="286"/>
      <c r="D25" s="1400" t="s">
        <v>165</v>
      </c>
      <c r="E25" s="1401"/>
      <c r="F25" s="1401"/>
      <c r="G25" s="1401"/>
      <c r="H25" s="1401"/>
      <c r="I25" s="1401"/>
      <c r="J25" s="1402"/>
      <c r="K25" s="248"/>
    </row>
    <row r="26" spans="1:11" ht="15.75" thickBot="1">
      <c r="A26" s="245"/>
      <c r="B26" s="249"/>
      <c r="C26" s="250"/>
      <c r="D26" s="248"/>
      <c r="E26" s="248"/>
      <c r="F26" s="248"/>
      <c r="G26" s="248"/>
      <c r="H26" s="248"/>
      <c r="I26" s="248"/>
      <c r="J26" s="248"/>
      <c r="K26" s="248"/>
    </row>
    <row r="27" spans="1:11" ht="24" customHeight="1" thickBot="1">
      <c r="A27" s="245"/>
      <c r="B27" s="1388" t="s">
        <v>43</v>
      </c>
      <c r="C27" s="1389"/>
      <c r="D27" s="1389"/>
      <c r="E27" s="1390"/>
      <c r="F27" s="248"/>
      <c r="G27" s="248"/>
      <c r="H27" s="248"/>
      <c r="I27" s="248"/>
      <c r="J27" s="248"/>
      <c r="K27" s="248"/>
    </row>
    <row r="28" spans="1:11" ht="15.75" thickBot="1">
      <c r="A28" s="245"/>
      <c r="B28" s="1391">
        <v>1</v>
      </c>
      <c r="C28" s="272"/>
      <c r="D28" s="289" t="s">
        <v>44</v>
      </c>
      <c r="E28" s="31" t="s">
        <v>1642</v>
      </c>
      <c r="F28" s="248"/>
      <c r="G28" s="248"/>
      <c r="H28" s="248"/>
      <c r="I28" s="248"/>
      <c r="J28" s="248"/>
      <c r="K28" s="248"/>
    </row>
    <row r="29" spans="1:11" ht="15.75" thickBot="1">
      <c r="A29" s="245"/>
      <c r="B29" s="1392"/>
      <c r="C29" s="272"/>
      <c r="D29" s="275" t="s">
        <v>45</v>
      </c>
      <c r="E29" s="31" t="s">
        <v>1652</v>
      </c>
      <c r="F29" s="248"/>
      <c r="G29" s="248"/>
      <c r="H29" s="248"/>
      <c r="I29" s="248"/>
      <c r="J29" s="248"/>
      <c r="K29" s="248"/>
    </row>
    <row r="30" spans="1:11" ht="15.75" thickBot="1">
      <c r="A30" s="245"/>
      <c r="B30" s="1392"/>
      <c r="C30" s="272"/>
      <c r="D30" s="275" t="s">
        <v>46</v>
      </c>
      <c r="E30" s="31" t="s">
        <v>1653</v>
      </c>
      <c r="F30" s="248"/>
      <c r="G30" s="248"/>
      <c r="H30" s="248"/>
      <c r="I30" s="248"/>
      <c r="J30" s="248"/>
      <c r="K30" s="248"/>
    </row>
    <row r="31" spans="1:11" ht="15.75" thickBot="1">
      <c r="A31" s="245"/>
      <c r="B31" s="1392"/>
      <c r="C31" s="272"/>
      <c r="D31" s="275" t="s">
        <v>47</v>
      </c>
      <c r="E31" s="31" t="s">
        <v>1654</v>
      </c>
      <c r="F31" s="248"/>
      <c r="G31" s="248"/>
      <c r="H31" s="248"/>
      <c r="I31" s="248"/>
      <c r="J31" s="248"/>
      <c r="K31" s="248"/>
    </row>
    <row r="32" spans="1:11" ht="15.75" thickBot="1">
      <c r="A32" s="245"/>
      <c r="B32" s="1392"/>
      <c r="C32" s="272"/>
      <c r="D32" s="275" t="s">
        <v>48</v>
      </c>
      <c r="E32" s="31" t="s">
        <v>1655</v>
      </c>
      <c r="F32" s="248"/>
      <c r="G32" s="248"/>
      <c r="H32" s="248"/>
      <c r="I32" s="248"/>
      <c r="J32" s="248"/>
      <c r="K32" s="248"/>
    </row>
    <row r="33" spans="1:11" ht="15.75" thickBot="1">
      <c r="A33" s="245"/>
      <c r="B33" s="1392"/>
      <c r="C33" s="272"/>
      <c r="D33" s="275" t="s">
        <v>49</v>
      </c>
      <c r="E33" s="31" t="s">
        <v>1657</v>
      </c>
      <c r="F33" s="248"/>
      <c r="G33" s="248"/>
      <c r="H33" s="248"/>
      <c r="I33" s="248"/>
      <c r="J33" s="248"/>
      <c r="K33" s="248"/>
    </row>
    <row r="34" spans="1:11" ht="15.75" thickBot="1">
      <c r="A34" s="245"/>
      <c r="B34" s="1393"/>
      <c r="C34" s="282"/>
      <c r="D34" s="275" t="s">
        <v>50</v>
      </c>
      <c r="E34" s="31" t="s">
        <v>1656</v>
      </c>
      <c r="F34" s="248"/>
      <c r="G34" s="248"/>
      <c r="H34" s="248"/>
      <c r="I34" s="248"/>
      <c r="J34" s="248"/>
      <c r="K34" s="248"/>
    </row>
    <row r="35" spans="1:11" ht="15.75" thickBot="1">
      <c r="A35" s="245"/>
      <c r="B35" s="249"/>
      <c r="C35" s="250"/>
      <c r="D35" s="248"/>
      <c r="E35" s="248"/>
      <c r="F35" s="248"/>
      <c r="G35" s="248"/>
      <c r="H35" s="248"/>
      <c r="I35" s="248"/>
      <c r="J35" s="248"/>
      <c r="K35" s="248"/>
    </row>
    <row r="36" spans="1:11" ht="15.75" thickBot="1">
      <c r="A36" s="245"/>
      <c r="B36" s="1388" t="s">
        <v>51</v>
      </c>
      <c r="C36" s="1389"/>
      <c r="D36" s="1389"/>
      <c r="E36" s="1390"/>
      <c r="F36" s="248"/>
      <c r="G36" s="248"/>
      <c r="H36" s="248"/>
      <c r="I36" s="248"/>
      <c r="J36" s="248"/>
      <c r="K36" s="248"/>
    </row>
    <row r="37" spans="1:11" ht="15.75" thickBot="1">
      <c r="A37" s="245"/>
      <c r="B37" s="1391">
        <v>1</v>
      </c>
      <c r="C37" s="272"/>
      <c r="D37" s="289" t="s">
        <v>44</v>
      </c>
      <c r="E37" s="302" t="s">
        <v>52</v>
      </c>
      <c r="F37" s="248"/>
      <c r="G37" s="248"/>
      <c r="H37" s="248"/>
      <c r="I37" s="248"/>
      <c r="J37" s="248"/>
      <c r="K37" s="248"/>
    </row>
    <row r="38" spans="1:11" ht="15.75" thickBot="1">
      <c r="A38" s="245"/>
      <c r="B38" s="1392"/>
      <c r="C38" s="272"/>
      <c r="D38" s="275" t="s">
        <v>45</v>
      </c>
      <c r="E38" s="302" t="s">
        <v>166</v>
      </c>
      <c r="F38" s="248"/>
      <c r="G38" s="248"/>
      <c r="H38" s="248"/>
      <c r="I38" s="248"/>
      <c r="J38" s="248"/>
      <c r="K38" s="248"/>
    </row>
    <row r="39" spans="1:11" ht="15.75" thickBot="1">
      <c r="A39" s="245"/>
      <c r="B39" s="1392"/>
      <c r="C39" s="272"/>
      <c r="D39" s="275" t="s">
        <v>46</v>
      </c>
      <c r="E39" s="303"/>
      <c r="F39" s="248"/>
      <c r="G39" s="248"/>
      <c r="H39" s="248"/>
      <c r="I39" s="248"/>
      <c r="J39" s="248"/>
      <c r="K39" s="248"/>
    </row>
    <row r="40" spans="1:11" ht="15.75" thickBot="1">
      <c r="A40" s="245"/>
      <c r="B40" s="1392"/>
      <c r="C40" s="272"/>
      <c r="D40" s="275" t="s">
        <v>47</v>
      </c>
      <c r="E40" s="303"/>
      <c r="F40" s="248"/>
      <c r="G40" s="248"/>
      <c r="H40" s="248"/>
      <c r="I40" s="248"/>
      <c r="J40" s="248"/>
      <c r="K40" s="248"/>
    </row>
    <row r="41" spans="1:11" ht="15.75" thickBot="1">
      <c r="A41" s="245"/>
      <c r="B41" s="1392"/>
      <c r="C41" s="272"/>
      <c r="D41" s="275" t="s">
        <v>48</v>
      </c>
      <c r="E41" s="303"/>
      <c r="F41" s="248"/>
      <c r="G41" s="248"/>
      <c r="H41" s="248"/>
      <c r="I41" s="248"/>
      <c r="J41" s="248"/>
      <c r="K41" s="248"/>
    </row>
    <row r="42" spans="1:11" ht="15.75" thickBot="1">
      <c r="A42" s="245"/>
      <c r="B42" s="1392"/>
      <c r="C42" s="272"/>
      <c r="D42" s="275" t="s">
        <v>49</v>
      </c>
      <c r="E42" s="303"/>
      <c r="F42" s="248"/>
      <c r="G42" s="248"/>
      <c r="H42" s="248"/>
      <c r="I42" s="248"/>
      <c r="J42" s="248"/>
      <c r="K42" s="248"/>
    </row>
    <row r="43" spans="1:11" ht="15.75" thickBot="1">
      <c r="A43" s="245"/>
      <c r="B43" s="1393"/>
      <c r="C43" s="282"/>
      <c r="D43" s="275" t="s">
        <v>50</v>
      </c>
      <c r="E43" s="303"/>
      <c r="F43" s="248"/>
      <c r="G43" s="248"/>
      <c r="H43" s="248"/>
      <c r="I43" s="248"/>
      <c r="J43" s="248"/>
      <c r="K43" s="248"/>
    </row>
    <row r="44" spans="1:11" ht="15.75" thickBot="1">
      <c r="A44" s="245"/>
      <c r="B44" s="249"/>
      <c r="C44" s="250"/>
      <c r="D44" s="248"/>
      <c r="E44" s="248"/>
      <c r="F44" s="248"/>
      <c r="G44" s="248"/>
      <c r="H44" s="248"/>
      <c r="I44" s="248"/>
      <c r="J44" s="248"/>
      <c r="K44" s="248"/>
    </row>
    <row r="45" spans="1:11" ht="15" customHeight="1" thickBot="1">
      <c r="A45" s="245"/>
      <c r="B45" s="291" t="s">
        <v>54</v>
      </c>
      <c r="C45" s="292"/>
      <c r="D45" s="292"/>
      <c r="E45" s="292"/>
      <c r="F45" s="293"/>
      <c r="G45" s="248"/>
      <c r="H45" s="248"/>
      <c r="I45" s="248"/>
      <c r="J45" s="248"/>
      <c r="K45" s="248"/>
    </row>
    <row r="46" spans="1:11" ht="15.75" thickBot="1">
      <c r="A46" s="245"/>
      <c r="B46" s="285" t="s">
        <v>55</v>
      </c>
      <c r="C46" s="294" t="s">
        <v>56</v>
      </c>
      <c r="D46" s="294" t="s">
        <v>57</v>
      </c>
      <c r="E46" s="294" t="s">
        <v>58</v>
      </c>
      <c r="F46" s="248"/>
      <c r="G46" s="248"/>
      <c r="H46" s="248"/>
      <c r="I46" s="248"/>
      <c r="J46" s="248"/>
      <c r="K46" s="245"/>
    </row>
    <row r="47" spans="1:11" ht="72.75" thickBot="1">
      <c r="A47" s="245"/>
      <c r="B47" s="295">
        <v>42401</v>
      </c>
      <c r="C47" s="294">
        <v>0.01</v>
      </c>
      <c r="D47" s="296" t="s">
        <v>167</v>
      </c>
      <c r="E47" s="294"/>
      <c r="F47" s="248"/>
      <c r="G47" s="248"/>
      <c r="H47" s="248"/>
      <c r="I47" s="248"/>
      <c r="J47" s="248"/>
      <c r="K47" s="245"/>
    </row>
    <row r="48" spans="1:11" ht="15.75" thickBot="1">
      <c r="A48" s="245"/>
      <c r="B48" s="249"/>
      <c r="C48" s="250"/>
      <c r="D48" s="248"/>
      <c r="E48" s="248"/>
      <c r="F48" s="248"/>
      <c r="G48" s="248"/>
      <c r="H48" s="248"/>
      <c r="I48" s="248"/>
      <c r="J48" s="248"/>
      <c r="K48" s="248"/>
    </row>
    <row r="49" spans="1:11">
      <c r="A49" s="245"/>
      <c r="B49" s="297" t="s">
        <v>60</v>
      </c>
      <c r="C49" s="298"/>
      <c r="D49" s="248"/>
      <c r="E49" s="248"/>
      <c r="F49" s="248"/>
      <c r="G49" s="248"/>
      <c r="H49" s="248"/>
      <c r="I49" s="248"/>
      <c r="J49" s="248"/>
      <c r="K49" s="248"/>
    </row>
    <row r="50" spans="1:11">
      <c r="A50" s="245"/>
      <c r="B50" s="1421"/>
      <c r="C50" s="1422"/>
      <c r="D50" s="1422"/>
      <c r="E50" s="1422"/>
      <c r="F50" s="1422"/>
      <c r="G50" s="1422"/>
      <c r="H50" s="1422"/>
      <c r="I50" s="1422"/>
      <c r="J50" s="1423"/>
      <c r="K50" s="248"/>
    </row>
    <row r="51" spans="1:11">
      <c r="A51" s="245"/>
      <c r="B51" s="248"/>
      <c r="C51" s="265"/>
      <c r="D51" s="248"/>
      <c r="E51" s="248"/>
      <c r="F51" s="248"/>
      <c r="G51" s="248"/>
      <c r="H51" s="248"/>
      <c r="I51" s="248"/>
      <c r="J51" s="248"/>
      <c r="K51" s="248"/>
    </row>
    <row r="52" spans="1:11" ht="15.75" thickBot="1">
      <c r="A52" s="245"/>
      <c r="B52" s="248"/>
      <c r="C52" s="265"/>
      <c r="D52" s="248"/>
      <c r="E52" s="248"/>
      <c r="F52" s="248"/>
      <c r="G52" s="248"/>
      <c r="H52" s="248"/>
      <c r="I52" s="248"/>
      <c r="J52" s="248"/>
      <c r="K52" s="248"/>
    </row>
    <row r="53" spans="1:11" ht="15.75" thickBot="1">
      <c r="A53" s="245"/>
      <c r="B53" s="1388" t="s">
        <v>61</v>
      </c>
      <c r="C53" s="1389"/>
      <c r="D53" s="1390"/>
      <c r="E53" s="248"/>
      <c r="F53" s="248"/>
      <c r="G53" s="248"/>
      <c r="H53" s="248"/>
      <c r="I53" s="248"/>
      <c r="J53" s="248"/>
      <c r="K53" s="248"/>
    </row>
    <row r="54" spans="1:11" ht="15.75" thickBot="1">
      <c r="A54" s="245"/>
      <c r="B54" s="249"/>
      <c r="C54" s="250"/>
      <c r="D54" s="248"/>
      <c r="E54" s="248"/>
      <c r="F54" s="248"/>
      <c r="G54" s="248"/>
      <c r="H54" s="248"/>
      <c r="I54" s="248"/>
      <c r="J54" s="248"/>
      <c r="K54" s="248"/>
    </row>
    <row r="55" spans="1:11" ht="24" customHeight="1" thickBot="1">
      <c r="A55" s="245"/>
      <c r="B55" s="299" t="s">
        <v>62</v>
      </c>
      <c r="C55" s="300"/>
      <c r="D55" s="1400" t="s">
        <v>137</v>
      </c>
      <c r="E55" s="1401"/>
      <c r="F55" s="1401"/>
      <c r="G55" s="1401"/>
      <c r="H55" s="1401"/>
      <c r="I55" s="1401"/>
      <c r="J55" s="1402"/>
      <c r="K55" s="248"/>
    </row>
    <row r="56" spans="1:11">
      <c r="A56" s="245"/>
      <c r="B56" s="1391" t="s">
        <v>64</v>
      </c>
      <c r="C56" s="268"/>
      <c r="D56" s="1385" t="s">
        <v>65</v>
      </c>
      <c r="E56" s="1386"/>
      <c r="F56" s="1386"/>
      <c r="G56" s="1386"/>
      <c r="H56" s="1386"/>
      <c r="I56" s="1386"/>
      <c r="J56" s="1387"/>
      <c r="K56" s="248"/>
    </row>
    <row r="57" spans="1:11" ht="24" customHeight="1">
      <c r="A57" s="245"/>
      <c r="B57" s="1392"/>
      <c r="C57" s="276"/>
      <c r="D57" s="1379" t="s">
        <v>138</v>
      </c>
      <c r="E57" s="1424"/>
      <c r="F57" s="1424"/>
      <c r="G57" s="1424"/>
      <c r="H57" s="1424"/>
      <c r="I57" s="1424"/>
      <c r="J57" s="1381"/>
      <c r="K57" s="248"/>
    </row>
    <row r="58" spans="1:11">
      <c r="A58" s="245"/>
      <c r="B58" s="1392"/>
      <c r="C58" s="276"/>
      <c r="D58" s="1376" t="s">
        <v>139</v>
      </c>
      <c r="E58" s="1425"/>
      <c r="F58" s="1425"/>
      <c r="G58" s="1425"/>
      <c r="H58" s="1425"/>
      <c r="I58" s="1425"/>
      <c r="J58" s="1378"/>
      <c r="K58" s="248"/>
    </row>
    <row r="59" spans="1:11">
      <c r="A59" s="245"/>
      <c r="B59" s="1392"/>
      <c r="C59" s="276"/>
      <c r="D59" s="1379" t="s">
        <v>140</v>
      </c>
      <c r="E59" s="1424"/>
      <c r="F59" s="1424"/>
      <c r="G59" s="1424"/>
      <c r="H59" s="1424"/>
      <c r="I59" s="1424"/>
      <c r="J59" s="1381"/>
      <c r="K59" s="248"/>
    </row>
    <row r="60" spans="1:11">
      <c r="A60" s="245"/>
      <c r="B60" s="1392"/>
      <c r="C60" s="276"/>
      <c r="D60" s="1379" t="s">
        <v>141</v>
      </c>
      <c r="E60" s="1424"/>
      <c r="F60" s="1424"/>
      <c r="G60" s="1424"/>
      <c r="H60" s="1424"/>
      <c r="I60" s="1424"/>
      <c r="J60" s="1381"/>
      <c r="K60" s="248"/>
    </row>
    <row r="61" spans="1:11">
      <c r="A61" s="245"/>
      <c r="B61" s="1392"/>
      <c r="C61" s="276"/>
      <c r="D61" s="1379" t="s">
        <v>142</v>
      </c>
      <c r="E61" s="1424"/>
      <c r="F61" s="1424"/>
      <c r="G61" s="1424"/>
      <c r="H61" s="1424"/>
      <c r="I61" s="1424"/>
      <c r="J61" s="1381"/>
      <c r="K61" s="248"/>
    </row>
    <row r="62" spans="1:11" ht="24" customHeight="1">
      <c r="A62" s="245"/>
      <c r="B62" s="1392"/>
      <c r="C62" s="276"/>
      <c r="D62" s="1379" t="s">
        <v>143</v>
      </c>
      <c r="E62" s="1424"/>
      <c r="F62" s="1424"/>
      <c r="G62" s="1424"/>
      <c r="H62" s="1424"/>
      <c r="I62" s="1424"/>
      <c r="J62" s="1381"/>
      <c r="K62" s="248"/>
    </row>
    <row r="63" spans="1:11" ht="24" customHeight="1">
      <c r="A63" s="245"/>
      <c r="B63" s="1392"/>
      <c r="C63" s="276"/>
      <c r="D63" s="1379" t="s">
        <v>144</v>
      </c>
      <c r="E63" s="1424"/>
      <c r="F63" s="1424"/>
      <c r="G63" s="1424"/>
      <c r="H63" s="1424"/>
      <c r="I63" s="1424"/>
      <c r="J63" s="1381"/>
      <c r="K63" s="248"/>
    </row>
    <row r="64" spans="1:11">
      <c r="A64" s="245"/>
      <c r="B64" s="1392"/>
      <c r="C64" s="276"/>
      <c r="D64" s="1379" t="s">
        <v>145</v>
      </c>
      <c r="E64" s="1424"/>
      <c r="F64" s="1424"/>
      <c r="G64" s="1424"/>
      <c r="H64" s="1424"/>
      <c r="I64" s="1424"/>
      <c r="J64" s="1381"/>
      <c r="K64" s="248"/>
    </row>
    <row r="65" spans="1:11">
      <c r="A65" s="245"/>
      <c r="B65" s="1392"/>
      <c r="C65" s="276"/>
      <c r="D65" s="1376" t="s">
        <v>146</v>
      </c>
      <c r="E65" s="1425"/>
      <c r="F65" s="1425"/>
      <c r="G65" s="1425"/>
      <c r="H65" s="1425"/>
      <c r="I65" s="1425"/>
      <c r="J65" s="1378"/>
      <c r="K65" s="248"/>
    </row>
    <row r="66" spans="1:11" ht="15.75" thickBot="1">
      <c r="A66" s="245"/>
      <c r="B66" s="1393"/>
      <c r="C66" s="286"/>
      <c r="D66" s="1403" t="s">
        <v>147</v>
      </c>
      <c r="E66" s="1404"/>
      <c r="F66" s="1404"/>
      <c r="G66" s="1404"/>
      <c r="H66" s="1404"/>
      <c r="I66" s="1404"/>
      <c r="J66" s="1405"/>
      <c r="K66" s="248"/>
    </row>
    <row r="67" spans="1:11" ht="24.75" thickBot="1">
      <c r="A67" s="245"/>
      <c r="B67" s="285" t="s">
        <v>77</v>
      </c>
      <c r="C67" s="286"/>
      <c r="D67" s="1400"/>
      <c r="E67" s="1401"/>
      <c r="F67" s="1401"/>
      <c r="G67" s="1401"/>
      <c r="H67" s="1401"/>
      <c r="I67" s="1401"/>
      <c r="J67" s="1402"/>
      <c r="K67" s="248"/>
    </row>
    <row r="68" spans="1:11" ht="24.75" thickBot="1">
      <c r="A68" s="245"/>
      <c r="B68" s="285" t="s">
        <v>78</v>
      </c>
      <c r="C68" s="286"/>
      <c r="D68" s="1400" t="s">
        <v>148</v>
      </c>
      <c r="E68" s="1401"/>
      <c r="F68" s="1401"/>
      <c r="G68" s="1401"/>
      <c r="H68" s="1401"/>
      <c r="I68" s="1401"/>
      <c r="J68" s="1402"/>
      <c r="K68" s="248"/>
    </row>
    <row r="69" spans="1:11">
      <c r="A69" s="245"/>
      <c r="B69" s="1391" t="s">
        <v>95</v>
      </c>
      <c r="C69" s="268"/>
      <c r="D69" s="1373"/>
      <c r="E69" s="1374"/>
      <c r="F69" s="1374"/>
      <c r="G69" s="1374"/>
      <c r="H69" s="1374"/>
      <c r="I69" s="1374"/>
      <c r="J69" s="1375"/>
      <c r="K69" s="248"/>
    </row>
    <row r="70" spans="1:11">
      <c r="A70" s="245"/>
      <c r="B70" s="1392"/>
      <c r="C70" s="276"/>
      <c r="D70" s="1409"/>
      <c r="E70" s="1426"/>
      <c r="F70" s="1426"/>
      <c r="G70" s="1426"/>
      <c r="H70" s="1426"/>
      <c r="I70" s="1426"/>
      <c r="J70" s="1411"/>
      <c r="K70" s="248"/>
    </row>
    <row r="71" spans="1:11">
      <c r="A71" s="245"/>
      <c r="B71" s="1392"/>
      <c r="C71" s="276"/>
      <c r="D71" s="1379" t="s">
        <v>96</v>
      </c>
      <c r="E71" s="1424"/>
      <c r="F71" s="1424"/>
      <c r="G71" s="1424"/>
      <c r="H71" s="1424"/>
      <c r="I71" s="1424"/>
      <c r="J71" s="1381"/>
      <c r="K71" s="248"/>
    </row>
    <row r="72" spans="1:11" ht="26.45" customHeight="1">
      <c r="A72" s="245"/>
      <c r="B72" s="1392"/>
      <c r="C72" s="276"/>
      <c r="D72" s="1379" t="s">
        <v>149</v>
      </c>
      <c r="E72" s="1424"/>
      <c r="F72" s="1424"/>
      <c r="G72" s="1424"/>
      <c r="H72" s="1424"/>
      <c r="I72" s="1424"/>
      <c r="J72" s="1381"/>
      <c r="K72" s="248"/>
    </row>
    <row r="73" spans="1:11" ht="14.45" customHeight="1">
      <c r="A73" s="245"/>
      <c r="B73" s="1392"/>
      <c r="C73" s="276"/>
      <c r="D73" s="1379" t="s">
        <v>150</v>
      </c>
      <c r="E73" s="1424"/>
      <c r="F73" s="1424"/>
      <c r="G73" s="1424"/>
      <c r="H73" s="1424"/>
      <c r="I73" s="1424"/>
      <c r="J73" s="1381"/>
      <c r="K73" s="248"/>
    </row>
    <row r="74" spans="1:11" ht="14.45" customHeight="1">
      <c r="A74" s="245"/>
      <c r="B74" s="1392"/>
      <c r="C74" s="276"/>
      <c r="D74" s="1379" t="s">
        <v>151</v>
      </c>
      <c r="E74" s="1424"/>
      <c r="F74" s="1424"/>
      <c r="G74" s="1424"/>
      <c r="H74" s="1424"/>
      <c r="I74" s="1424"/>
      <c r="J74" s="1381"/>
      <c r="K74" s="248"/>
    </row>
    <row r="75" spans="1:11" ht="24" customHeight="1" thickBot="1">
      <c r="A75" s="245"/>
      <c r="B75" s="1393"/>
      <c r="C75" s="286"/>
      <c r="D75" s="1403" t="s">
        <v>152</v>
      </c>
      <c r="E75" s="1404"/>
      <c r="F75" s="1404"/>
      <c r="G75" s="1404"/>
      <c r="H75" s="1404"/>
      <c r="I75" s="1404"/>
      <c r="J75" s="1405"/>
      <c r="K75" s="248"/>
    </row>
    <row r="76" spans="1:11">
      <c r="A76" s="245"/>
      <c r="B76" s="248"/>
      <c r="C76" s="265"/>
      <c r="D76" s="248"/>
      <c r="E76" s="248"/>
      <c r="F76" s="248"/>
      <c r="G76" s="248"/>
      <c r="H76" s="248"/>
      <c r="I76" s="248"/>
      <c r="J76" s="248"/>
      <c r="K76" s="248"/>
    </row>
  </sheetData>
  <sheetProtection sheet="1" objects="1" scenarios="1"/>
  <mergeCells count="44">
    <mergeCell ref="A1:P1"/>
    <mergeCell ref="A2:P2"/>
    <mergeCell ref="A3:P3"/>
    <mergeCell ref="A4:D4"/>
    <mergeCell ref="A5:P5"/>
    <mergeCell ref="B28:B34"/>
    <mergeCell ref="B36:E36"/>
    <mergeCell ref="B37:B43"/>
    <mergeCell ref="B15:B23"/>
    <mergeCell ref="D15:J15"/>
    <mergeCell ref="D19:J19"/>
    <mergeCell ref="D24:J24"/>
    <mergeCell ref="D25:J25"/>
    <mergeCell ref="B27:E27"/>
    <mergeCell ref="D67:J67"/>
    <mergeCell ref="B69:B75"/>
    <mergeCell ref="D69:J69"/>
    <mergeCell ref="D70:J70"/>
    <mergeCell ref="D71:J71"/>
    <mergeCell ref="D72:J72"/>
    <mergeCell ref="D73:J73"/>
    <mergeCell ref="D74:J74"/>
    <mergeCell ref="D75:J75"/>
    <mergeCell ref="B50:J50"/>
    <mergeCell ref="D68:J68"/>
    <mergeCell ref="B53:D53"/>
    <mergeCell ref="D55:J55"/>
    <mergeCell ref="B56:B66"/>
    <mergeCell ref="D56:J56"/>
    <mergeCell ref="D57:J57"/>
    <mergeCell ref="D58:J58"/>
    <mergeCell ref="D59:J59"/>
    <mergeCell ref="D60:J60"/>
    <mergeCell ref="D61:J61"/>
    <mergeCell ref="D62:J62"/>
    <mergeCell ref="D63:J63"/>
    <mergeCell ref="D64:J64"/>
    <mergeCell ref="D65:J65"/>
    <mergeCell ref="D66:J66"/>
    <mergeCell ref="B10:D10"/>
    <mergeCell ref="F10:S10"/>
    <mergeCell ref="F11:S11"/>
    <mergeCell ref="E12:R12"/>
    <mergeCell ref="E13:R13"/>
  </mergeCells>
  <conditionalFormatting sqref="F10">
    <cfRule type="notContainsBlanks" dxfId="124" priority="4">
      <formula>LEN(TRIM(F10))&gt;0</formula>
    </cfRule>
  </conditionalFormatting>
  <conditionalFormatting sqref="F11:S11">
    <cfRule type="expression" dxfId="123" priority="2">
      <formula>E11="NO SE REPORTA"</formula>
    </cfRule>
    <cfRule type="expression" dxfId="122" priority="3">
      <formula>E10="NO APLICA"</formula>
    </cfRule>
  </conditionalFormatting>
  <conditionalFormatting sqref="E12:R12">
    <cfRule type="expression" dxfId="121" priority="1">
      <formula>E11="SI SE REPORTA"</formula>
    </cfRule>
  </conditionalFormatting>
  <dataValidations count="4">
    <dataValidation type="whole" operator="greaterThanOrEqual" allowBlank="1" showErrorMessage="1" errorTitle="ERROR" error="Escriba un número igual o mayor que 0" promptTitle="ERROR" prompt="Escriba un número igual o mayor que 0" sqref="E16:E18 E21:H22">
      <formula1>0</formula1>
    </dataValidation>
    <dataValidation allowBlank="1" showInputMessage="1" showErrorMessage="1" sqref="I21:I22"/>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5"/>
  <sheetViews>
    <sheetView showGridLines="0" topLeftCell="A13" zoomScale="98" zoomScaleNormal="98" workbookViewId="0">
      <selection activeCell="A13" sqref="A1:XFD1048576"/>
    </sheetView>
  </sheetViews>
  <sheetFormatPr baseColWidth="10" defaultRowHeight="15"/>
  <cols>
    <col min="1" max="1" width="1.85546875" customWidth="1"/>
    <col min="2" max="2" width="12.85546875" customWidth="1"/>
    <col min="3" max="3" width="5" style="88" bestFit="1" customWidth="1"/>
    <col min="4" max="4" width="34.85546875" customWidth="1"/>
    <col min="5" max="5" width="12.140625" customWidth="1"/>
  </cols>
  <sheetData>
    <row r="1" spans="1:21" s="551" customFormat="1" ht="100.5" customHeight="1" thickBot="1">
      <c r="A1" s="1344"/>
      <c r="B1" s="1345"/>
      <c r="C1" s="1345"/>
      <c r="D1" s="1345"/>
      <c r="E1" s="1345"/>
      <c r="F1" s="1345"/>
      <c r="G1" s="1345"/>
      <c r="H1" s="1345"/>
      <c r="I1" s="1345"/>
      <c r="J1" s="1345"/>
      <c r="K1" s="1345"/>
      <c r="L1" s="1345"/>
      <c r="M1" s="1345"/>
      <c r="N1" s="1345"/>
      <c r="O1" s="1345"/>
      <c r="P1" s="1346"/>
      <c r="Q1" s="413"/>
      <c r="R1" s="413"/>
    </row>
    <row r="2" spans="1:21" s="552" customFormat="1" ht="16.5" thickBot="1">
      <c r="A2" s="1352" t="str">
        <f>'Datos Generales'!C5</f>
        <v>Corporación Autónoma Regional de La Guajira – CORPOGUAJIRA</v>
      </c>
      <c r="B2" s="1353"/>
      <c r="C2" s="1353"/>
      <c r="D2" s="1353"/>
      <c r="E2" s="1353"/>
      <c r="F2" s="1353"/>
      <c r="G2" s="1353"/>
      <c r="H2" s="1353"/>
      <c r="I2" s="1353"/>
      <c r="J2" s="1353"/>
      <c r="K2" s="1353"/>
      <c r="L2" s="1353"/>
      <c r="M2" s="1353"/>
      <c r="N2" s="1353"/>
      <c r="O2" s="1353"/>
      <c r="P2" s="1354"/>
      <c r="Q2" s="413"/>
      <c r="R2" s="413"/>
    </row>
    <row r="3" spans="1:21" s="552" customFormat="1" ht="16.5" thickBot="1">
      <c r="A3" s="1347" t="s">
        <v>1419</v>
      </c>
      <c r="B3" s="1348"/>
      <c r="C3" s="1348"/>
      <c r="D3" s="1348"/>
      <c r="E3" s="1348"/>
      <c r="F3" s="1348"/>
      <c r="G3" s="1348"/>
      <c r="H3" s="1348"/>
      <c r="I3" s="1348"/>
      <c r="J3" s="1348"/>
      <c r="K3" s="1348"/>
      <c r="L3" s="1348"/>
      <c r="M3" s="1348"/>
      <c r="N3" s="1348"/>
      <c r="O3" s="1348"/>
      <c r="P3" s="1349"/>
      <c r="Q3" s="413"/>
      <c r="R3" s="413"/>
    </row>
    <row r="4" spans="1:21" s="552" customFormat="1" ht="16.5" thickBot="1">
      <c r="A4" s="1350" t="s">
        <v>1418</v>
      </c>
      <c r="B4" s="1351"/>
      <c r="C4" s="1351"/>
      <c r="D4" s="1351"/>
      <c r="E4" s="571" t="str">
        <f>'Datos Generales'!C6</f>
        <v>2016-II</v>
      </c>
      <c r="F4" s="571"/>
      <c r="G4" s="571"/>
      <c r="H4" s="571"/>
      <c r="I4" s="571"/>
      <c r="J4" s="571"/>
      <c r="K4" s="571"/>
      <c r="L4" s="572"/>
      <c r="M4" s="572"/>
      <c r="N4" s="572"/>
      <c r="O4" s="572"/>
      <c r="P4" s="573"/>
      <c r="Q4" s="413"/>
      <c r="R4" s="413"/>
    </row>
    <row r="5" spans="1:21" s="245" customFormat="1" ht="16.5" customHeight="1" thickBot="1">
      <c r="A5" s="1347" t="s">
        <v>168</v>
      </c>
      <c r="B5" s="1348"/>
      <c r="C5" s="1348"/>
      <c r="D5" s="1348"/>
      <c r="E5" s="1348"/>
      <c r="F5" s="1348"/>
      <c r="G5" s="1348"/>
      <c r="H5" s="1348"/>
      <c r="I5" s="1348"/>
      <c r="J5" s="1348"/>
      <c r="K5" s="1348"/>
      <c r="L5" s="1348"/>
      <c r="M5" s="1348"/>
      <c r="N5" s="1348"/>
      <c r="O5" s="1348"/>
      <c r="P5" s="1349"/>
    </row>
    <row r="6" spans="1:21">
      <c r="A6" s="245"/>
      <c r="B6" s="249" t="s">
        <v>1</v>
      </c>
      <c r="C6" s="250"/>
      <c r="D6" s="248"/>
      <c r="E6" s="259"/>
      <c r="F6" s="248" t="s">
        <v>133</v>
      </c>
      <c r="G6" s="248"/>
      <c r="H6" s="248"/>
      <c r="I6" s="248"/>
      <c r="J6" s="248"/>
      <c r="K6" s="248"/>
    </row>
    <row r="7" spans="1:21" ht="15.75" thickBot="1">
      <c r="A7" s="245"/>
      <c r="B7" s="251"/>
      <c r="C7" s="252"/>
      <c r="D7" s="248"/>
      <c r="E7" s="253"/>
      <c r="F7" s="248" t="s">
        <v>134</v>
      </c>
      <c r="G7" s="248"/>
      <c r="H7" s="248"/>
      <c r="I7" s="248"/>
      <c r="J7" s="248"/>
      <c r="K7" s="248"/>
    </row>
    <row r="8" spans="1:21" ht="15.75" thickBot="1">
      <c r="A8" s="245"/>
      <c r="B8" s="261" t="s">
        <v>1204</v>
      </c>
      <c r="C8" s="262">
        <v>2017</v>
      </c>
      <c r="D8" s="257">
        <f>IF(E10="NO APLICA","NO APLICA",IF(E11="NO SE REPORTA","SIN INFORMACION",+F22))</f>
        <v>0.64</v>
      </c>
      <c r="E8" s="264"/>
      <c r="F8" s="248" t="s">
        <v>135</v>
      </c>
      <c r="G8" s="248"/>
      <c r="H8" s="248"/>
      <c r="I8" s="248"/>
      <c r="J8" s="248"/>
      <c r="K8" s="248"/>
    </row>
    <row r="9" spans="1:21">
      <c r="A9" s="245"/>
      <c r="B9" s="507" t="s">
        <v>1205</v>
      </c>
      <c r="C9" s="304"/>
      <c r="D9" s="248"/>
      <c r="E9" s="248"/>
      <c r="F9" s="248"/>
      <c r="G9" s="248"/>
      <c r="H9" s="248"/>
      <c r="I9" s="248"/>
      <c r="J9" s="248"/>
      <c r="K9" s="248"/>
    </row>
    <row r="10" spans="1:21" s="413" customFormat="1">
      <c r="A10" s="245"/>
      <c r="B10" s="1412" t="s">
        <v>1265</v>
      </c>
      <c r="C10" s="1412"/>
      <c r="D10" s="1412"/>
      <c r="E10" s="513" t="s">
        <v>1262</v>
      </c>
      <c r="F10" s="1419"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420"/>
      <c r="H10" s="1420"/>
      <c r="I10" s="1420"/>
      <c r="J10" s="1420"/>
      <c r="K10" s="1420"/>
      <c r="L10" s="1420"/>
      <c r="M10" s="1420"/>
      <c r="N10" s="1420"/>
      <c r="O10" s="1420"/>
      <c r="P10" s="1420"/>
      <c r="Q10" s="1420"/>
      <c r="R10" s="1420"/>
      <c r="S10" s="1420"/>
      <c r="T10" s="509"/>
      <c r="U10" s="509"/>
    </row>
    <row r="11" spans="1:21" s="413" customFormat="1" ht="14.45" customHeight="1">
      <c r="A11" s="245"/>
      <c r="B11" s="510"/>
      <c r="C11" s="511"/>
      <c r="D11" s="512" t="str">
        <f>IF(E10="SI APLICA","¿El indicador no se reporta por limitaciones de información disponible? ","")</f>
        <v xml:space="preserve">¿El indicador no se reporta por limitaciones de información disponible? </v>
      </c>
      <c r="E11" s="514" t="s">
        <v>1264</v>
      </c>
      <c r="F11" s="1413"/>
      <c r="G11" s="1414"/>
      <c r="H11" s="1414"/>
      <c r="I11" s="1414"/>
      <c r="J11" s="1414"/>
      <c r="K11" s="1414"/>
      <c r="L11" s="1414"/>
      <c r="M11" s="1414"/>
      <c r="N11" s="1414"/>
      <c r="O11" s="1414"/>
      <c r="P11" s="1414"/>
      <c r="Q11" s="1414"/>
      <c r="R11" s="1414"/>
      <c r="S11" s="1414"/>
    </row>
    <row r="12" spans="1:21" s="413" customFormat="1" ht="23.45" customHeight="1">
      <c r="A12" s="245"/>
      <c r="B12" s="507"/>
      <c r="C12" s="304"/>
      <c r="D12" s="512" t="str">
        <f>IF(E11="SI SE REPORTA","¿Qué programas o proyectos del Plan de Acción están asociados al indicador? ","")</f>
        <v xml:space="preserve">¿Qué programas o proyectos del Plan de Acción están asociados al indicador? </v>
      </c>
      <c r="E12" s="1415" t="str">
        <f>'Anexo 1 Matriz Inf Gestión'!E80:H80</f>
        <v>Proyecto No. 6.1.  (13). Evaluación, Seguimiento, Monitoreo y Control de la calidad de los recursos naturales y la biodiversidad.</v>
      </c>
      <c r="F12" s="1415"/>
      <c r="G12" s="1415"/>
      <c r="H12" s="1415"/>
      <c r="I12" s="1415"/>
      <c r="J12" s="1415"/>
      <c r="K12" s="1415"/>
      <c r="L12" s="1415"/>
      <c r="M12" s="1415"/>
      <c r="N12" s="1415"/>
      <c r="O12" s="1415"/>
      <c r="P12" s="1415"/>
      <c r="Q12" s="1415"/>
      <c r="R12" s="1415"/>
    </row>
    <row r="13" spans="1:21" s="413" customFormat="1" ht="21.95" customHeight="1">
      <c r="A13" s="245"/>
      <c r="B13" s="507"/>
      <c r="C13" s="304"/>
      <c r="D13" s="512" t="s">
        <v>1267</v>
      </c>
      <c r="E13" s="1416"/>
      <c r="F13" s="1417"/>
      <c r="G13" s="1417"/>
      <c r="H13" s="1417"/>
      <c r="I13" s="1417"/>
      <c r="J13" s="1417"/>
      <c r="K13" s="1417"/>
      <c r="L13" s="1417"/>
      <c r="M13" s="1417"/>
      <c r="N13" s="1417"/>
      <c r="O13" s="1417"/>
      <c r="P13" s="1417"/>
      <c r="Q13" s="1417"/>
      <c r="R13" s="1418"/>
    </row>
    <row r="14" spans="1:21" s="413" customFormat="1" ht="6.95" customHeight="1" thickBot="1">
      <c r="A14" s="245"/>
      <c r="B14" s="507"/>
      <c r="C14" s="304"/>
      <c r="D14" s="248"/>
      <c r="E14" s="248"/>
      <c r="F14" s="248"/>
      <c r="G14" s="248"/>
      <c r="H14" s="248"/>
      <c r="I14" s="248"/>
      <c r="J14" s="248"/>
      <c r="K14" s="248"/>
    </row>
    <row r="15" spans="1:21" ht="15.75" thickBot="1">
      <c r="A15" s="245"/>
      <c r="B15" s="1391" t="s">
        <v>2</v>
      </c>
      <c r="C15" s="268"/>
      <c r="D15" s="1373" t="s">
        <v>3</v>
      </c>
      <c r="E15" s="1374"/>
      <c r="F15" s="1374"/>
      <c r="G15" s="1374"/>
      <c r="H15" s="1374"/>
      <c r="I15" s="1374"/>
      <c r="J15" s="1375"/>
      <c r="K15" s="248"/>
    </row>
    <row r="16" spans="1:21" ht="36.75" thickBot="1">
      <c r="A16" s="245"/>
      <c r="B16" s="1392"/>
      <c r="C16" s="272"/>
      <c r="D16" s="273" t="s">
        <v>182</v>
      </c>
      <c r="E16" s="217">
        <v>25</v>
      </c>
      <c r="F16" s="248"/>
      <c r="G16" s="248"/>
      <c r="H16" s="248"/>
      <c r="I16" s="248"/>
      <c r="J16" s="274"/>
      <c r="K16" s="248"/>
    </row>
    <row r="17" spans="1:11" ht="48.75" thickBot="1">
      <c r="A17" s="245"/>
      <c r="B17" s="1392"/>
      <c r="C17" s="272"/>
      <c r="D17" s="275" t="s">
        <v>183</v>
      </c>
      <c r="E17" s="217">
        <v>25</v>
      </c>
      <c r="F17" s="248"/>
      <c r="G17" s="248"/>
      <c r="H17" s="248"/>
      <c r="I17" s="248"/>
      <c r="J17" s="274"/>
      <c r="K17" s="248"/>
    </row>
    <row r="18" spans="1:11" ht="15.75" thickBot="1">
      <c r="A18" s="245"/>
      <c r="B18" s="1392"/>
      <c r="C18" s="276"/>
      <c r="D18" s="1403"/>
      <c r="E18" s="1404"/>
      <c r="F18" s="1404"/>
      <c r="G18" s="1404"/>
      <c r="H18" s="1404"/>
      <c r="I18" s="1404"/>
      <c r="J18" s="1405"/>
      <c r="K18" s="248"/>
    </row>
    <row r="19" spans="1:11" ht="15.75" thickBot="1">
      <c r="A19" s="245"/>
      <c r="B19" s="1392"/>
      <c r="C19" s="279" t="s">
        <v>24</v>
      </c>
      <c r="D19" s="273" t="s">
        <v>156</v>
      </c>
      <c r="E19" s="280" t="s">
        <v>25</v>
      </c>
      <c r="F19" s="280" t="s">
        <v>26</v>
      </c>
      <c r="G19" s="280" t="s">
        <v>27</v>
      </c>
      <c r="H19" s="280" t="s">
        <v>28</v>
      </c>
      <c r="I19" s="234" t="s">
        <v>60</v>
      </c>
      <c r="J19" s="114"/>
      <c r="K19" s="248"/>
    </row>
    <row r="20" spans="1:11" ht="36.75" thickBot="1">
      <c r="A20" s="245"/>
      <c r="B20" s="1392"/>
      <c r="C20" s="282" t="s">
        <v>158</v>
      </c>
      <c r="D20" s="275" t="s">
        <v>184</v>
      </c>
      <c r="E20" s="217">
        <v>25</v>
      </c>
      <c r="F20" s="217">
        <v>25</v>
      </c>
      <c r="G20" s="217">
        <v>25</v>
      </c>
      <c r="H20" s="217">
        <v>25</v>
      </c>
      <c r="I20" s="31"/>
      <c r="J20" s="115"/>
      <c r="K20" s="248"/>
    </row>
    <row r="21" spans="1:11" ht="36.75" thickBot="1">
      <c r="A21" s="245"/>
      <c r="B21" s="1392"/>
      <c r="C21" s="282" t="s">
        <v>160</v>
      </c>
      <c r="D21" s="275" t="s">
        <v>185</v>
      </c>
      <c r="E21" s="217">
        <v>25</v>
      </c>
      <c r="F21" s="217">
        <v>16</v>
      </c>
      <c r="G21" s="217"/>
      <c r="H21" s="217"/>
      <c r="I21" s="31"/>
      <c r="J21" s="115"/>
      <c r="K21" s="248"/>
    </row>
    <row r="22" spans="1:11" ht="36.75" thickBot="1">
      <c r="A22" s="245"/>
      <c r="B22" s="1393"/>
      <c r="C22" s="282" t="s">
        <v>162</v>
      </c>
      <c r="D22" s="275" t="s">
        <v>186</v>
      </c>
      <c r="E22" s="196">
        <f>IFERROR(E21/E20,"N.A.")</f>
        <v>1</v>
      </c>
      <c r="F22" s="196">
        <f t="shared" ref="F22:H22" si="0">IFERROR(F21/F20,"N.A.")</f>
        <v>0.64</v>
      </c>
      <c r="G22" s="196">
        <f t="shared" si="0"/>
        <v>0</v>
      </c>
      <c r="H22" s="196">
        <f t="shared" si="0"/>
        <v>0</v>
      </c>
      <c r="I22" s="505"/>
      <c r="J22" s="116"/>
      <c r="K22" s="248"/>
    </row>
    <row r="23" spans="1:11" ht="24" customHeight="1" thickBot="1">
      <c r="A23" s="245"/>
      <c r="B23" s="285" t="s">
        <v>39</v>
      </c>
      <c r="C23" s="286"/>
      <c r="D23" s="1400" t="s">
        <v>187</v>
      </c>
      <c r="E23" s="1401"/>
      <c r="F23" s="1401"/>
      <c r="G23" s="1401"/>
      <c r="H23" s="1401"/>
      <c r="I23" s="1401"/>
      <c r="J23" s="1402"/>
      <c r="K23" s="248"/>
    </row>
    <row r="24" spans="1:11" ht="24.75" thickBot="1">
      <c r="A24" s="245"/>
      <c r="B24" s="285" t="s">
        <v>41</v>
      </c>
      <c r="C24" s="286"/>
      <c r="D24" s="1400" t="s">
        <v>165</v>
      </c>
      <c r="E24" s="1401"/>
      <c r="F24" s="1401"/>
      <c r="G24" s="1401"/>
      <c r="H24" s="1401"/>
      <c r="I24" s="1401"/>
      <c r="J24" s="1402"/>
      <c r="K24" s="248"/>
    </row>
    <row r="25" spans="1:11" ht="15.75" thickBot="1">
      <c r="A25" s="245"/>
      <c r="B25" s="249"/>
      <c r="C25" s="250"/>
      <c r="D25" s="248"/>
      <c r="E25" s="248"/>
      <c r="F25" s="248"/>
      <c r="G25" s="248"/>
      <c r="H25" s="248"/>
      <c r="I25" s="248"/>
      <c r="J25" s="248"/>
      <c r="K25" s="248"/>
    </row>
    <row r="26" spans="1:11" ht="24" customHeight="1" thickBot="1">
      <c r="A26" s="245"/>
      <c r="B26" s="1388" t="s">
        <v>43</v>
      </c>
      <c r="C26" s="1389"/>
      <c r="D26" s="1389"/>
      <c r="E26" s="1390"/>
      <c r="F26" s="248"/>
      <c r="G26" s="248"/>
      <c r="H26" s="248"/>
      <c r="I26" s="248"/>
      <c r="J26" s="248"/>
      <c r="K26" s="248"/>
    </row>
    <row r="27" spans="1:11" ht="15.75" thickBot="1">
      <c r="A27" s="245"/>
      <c r="B27" s="1391">
        <v>1</v>
      </c>
      <c r="C27" s="272"/>
      <c r="D27" s="289" t="s">
        <v>44</v>
      </c>
      <c r="E27" s="31" t="s">
        <v>1642</v>
      </c>
      <c r="F27" s="248"/>
      <c r="G27" s="248"/>
      <c r="H27" s="248"/>
      <c r="I27" s="248"/>
      <c r="J27" s="248"/>
      <c r="K27" s="248"/>
    </row>
    <row r="28" spans="1:11" ht="15.75" thickBot="1">
      <c r="A28" s="245"/>
      <c r="B28" s="1392"/>
      <c r="C28" s="272"/>
      <c r="D28" s="275" t="s">
        <v>45</v>
      </c>
      <c r="E28" s="31" t="s">
        <v>1707</v>
      </c>
      <c r="F28" s="248"/>
      <c r="G28" s="248"/>
      <c r="H28" s="248"/>
      <c r="I28" s="248"/>
      <c r="J28" s="248"/>
      <c r="K28" s="248"/>
    </row>
    <row r="29" spans="1:11" ht="15.75" thickBot="1">
      <c r="A29" s="245"/>
      <c r="B29" s="1392"/>
      <c r="C29" s="272"/>
      <c r="D29" s="275" t="s">
        <v>46</v>
      </c>
      <c r="E29" s="31" t="s">
        <v>1708</v>
      </c>
      <c r="F29" s="248"/>
      <c r="G29" s="248"/>
      <c r="H29" s="248"/>
      <c r="I29" s="248"/>
      <c r="J29" s="248"/>
      <c r="K29" s="248"/>
    </row>
    <row r="30" spans="1:11" ht="15.75" thickBot="1">
      <c r="A30" s="245"/>
      <c r="B30" s="1392"/>
      <c r="C30" s="272"/>
      <c r="D30" s="275" t="s">
        <v>47</v>
      </c>
      <c r="E30" s="31" t="s">
        <v>1660</v>
      </c>
      <c r="F30" s="248"/>
      <c r="G30" s="248"/>
      <c r="H30" s="248"/>
      <c r="I30" s="248"/>
      <c r="J30" s="248"/>
      <c r="K30" s="248"/>
    </row>
    <row r="31" spans="1:11" ht="15.75" thickBot="1">
      <c r="A31" s="245"/>
      <c r="B31" s="1392"/>
      <c r="C31" s="272"/>
      <c r="D31" s="275" t="s">
        <v>48</v>
      </c>
      <c r="E31" s="31" t="s">
        <v>1673</v>
      </c>
      <c r="F31" s="248"/>
      <c r="G31" s="248"/>
      <c r="H31" s="248"/>
      <c r="I31" s="248"/>
      <c r="J31" s="248"/>
      <c r="K31" s="248"/>
    </row>
    <row r="32" spans="1:11" ht="15.75" thickBot="1">
      <c r="A32" s="245"/>
      <c r="B32" s="1392"/>
      <c r="C32" s="272"/>
      <c r="D32" s="275" t="s">
        <v>49</v>
      </c>
      <c r="E32" s="31" t="s">
        <v>1709</v>
      </c>
      <c r="F32" s="248"/>
      <c r="G32" s="248"/>
      <c r="H32" s="248"/>
      <c r="I32" s="248"/>
      <c r="J32" s="248"/>
      <c r="K32" s="248"/>
    </row>
    <row r="33" spans="1:11" ht="15.75" thickBot="1">
      <c r="A33" s="245"/>
      <c r="B33" s="1393"/>
      <c r="C33" s="282"/>
      <c r="D33" s="275" t="s">
        <v>50</v>
      </c>
      <c r="E33" s="31"/>
      <c r="F33" s="248"/>
      <c r="G33" s="248"/>
      <c r="H33" s="248"/>
      <c r="I33" s="248"/>
      <c r="J33" s="248"/>
      <c r="K33" s="248"/>
    </row>
    <row r="34" spans="1:11" ht="15.75" thickBot="1">
      <c r="A34" s="245"/>
      <c r="B34" s="249"/>
      <c r="C34" s="250"/>
      <c r="D34" s="248"/>
      <c r="E34" s="248"/>
      <c r="F34" s="248"/>
      <c r="G34" s="248"/>
      <c r="H34" s="248"/>
      <c r="I34" s="248"/>
      <c r="J34" s="248"/>
      <c r="K34" s="248"/>
    </row>
    <row r="35" spans="1:11" ht="15.75" thickBot="1">
      <c r="A35" s="245"/>
      <c r="B35" s="1388" t="s">
        <v>51</v>
      </c>
      <c r="C35" s="1389"/>
      <c r="D35" s="1389"/>
      <c r="E35" s="1390"/>
      <c r="F35" s="248"/>
      <c r="G35" s="248"/>
      <c r="H35" s="248"/>
      <c r="I35" s="248"/>
      <c r="J35" s="248"/>
      <c r="K35" s="248"/>
    </row>
    <row r="36" spans="1:11" ht="15.75" thickBot="1">
      <c r="A36" s="245"/>
      <c r="B36" s="1391">
        <v>1</v>
      </c>
      <c r="C36" s="272"/>
      <c r="D36" s="289" t="s">
        <v>44</v>
      </c>
      <c r="E36" s="302" t="s">
        <v>52</v>
      </c>
      <c r="F36" s="248"/>
      <c r="G36" s="248"/>
      <c r="H36" s="248"/>
      <c r="I36" s="248"/>
      <c r="J36" s="248"/>
      <c r="K36" s="248"/>
    </row>
    <row r="37" spans="1:11" ht="15.75" thickBot="1">
      <c r="A37" s="245"/>
      <c r="B37" s="1392"/>
      <c r="C37" s="272"/>
      <c r="D37" s="275" t="s">
        <v>45</v>
      </c>
      <c r="E37" s="302" t="s">
        <v>166</v>
      </c>
      <c r="F37" s="248"/>
      <c r="G37" s="248"/>
      <c r="H37" s="248"/>
      <c r="I37" s="248"/>
      <c r="J37" s="248"/>
      <c r="K37" s="248"/>
    </row>
    <row r="38" spans="1:11" ht="15.75" thickBot="1">
      <c r="A38" s="245"/>
      <c r="B38" s="1392"/>
      <c r="C38" s="272"/>
      <c r="D38" s="275" t="s">
        <v>46</v>
      </c>
      <c r="E38" s="315"/>
      <c r="F38" s="248"/>
      <c r="G38" s="248"/>
      <c r="H38" s="248"/>
      <c r="I38" s="248"/>
      <c r="J38" s="248"/>
      <c r="K38" s="248"/>
    </row>
    <row r="39" spans="1:11" ht="15.75" thickBot="1">
      <c r="A39" s="245"/>
      <c r="B39" s="1392"/>
      <c r="C39" s="272"/>
      <c r="D39" s="275" t="s">
        <v>47</v>
      </c>
      <c r="E39" s="315"/>
      <c r="F39" s="248"/>
      <c r="G39" s="248"/>
      <c r="H39" s="248"/>
      <c r="I39" s="248"/>
      <c r="J39" s="248"/>
      <c r="K39" s="248"/>
    </row>
    <row r="40" spans="1:11" ht="15.75" thickBot="1">
      <c r="A40" s="245"/>
      <c r="B40" s="1392"/>
      <c r="C40" s="272"/>
      <c r="D40" s="275" t="s">
        <v>48</v>
      </c>
      <c r="E40" s="315"/>
      <c r="F40" s="248"/>
      <c r="G40" s="248"/>
      <c r="H40" s="248"/>
      <c r="I40" s="248"/>
      <c r="J40" s="248"/>
      <c r="K40" s="248"/>
    </row>
    <row r="41" spans="1:11" ht="15.75" thickBot="1">
      <c r="A41" s="245"/>
      <c r="B41" s="1392"/>
      <c r="C41" s="272"/>
      <c r="D41" s="275" t="s">
        <v>49</v>
      </c>
      <c r="E41" s="315"/>
      <c r="F41" s="248"/>
      <c r="G41" s="248"/>
      <c r="H41" s="248"/>
      <c r="I41" s="248"/>
      <c r="J41" s="248"/>
      <c r="K41" s="248"/>
    </row>
    <row r="42" spans="1:11" ht="15.75" thickBot="1">
      <c r="A42" s="245"/>
      <c r="B42" s="1393"/>
      <c r="C42" s="282"/>
      <c r="D42" s="275" t="s">
        <v>50</v>
      </c>
      <c r="E42" s="315"/>
      <c r="F42" s="248"/>
      <c r="G42" s="248"/>
      <c r="H42" s="248"/>
      <c r="I42" s="248"/>
      <c r="J42" s="248"/>
      <c r="K42" s="248"/>
    </row>
    <row r="43" spans="1:11" ht="15.75" thickBot="1">
      <c r="A43" s="245"/>
      <c r="B43" s="249"/>
      <c r="C43" s="250"/>
      <c r="D43" s="248"/>
      <c r="E43" s="248"/>
      <c r="F43" s="248"/>
      <c r="G43" s="248"/>
      <c r="H43" s="248"/>
      <c r="I43" s="248"/>
      <c r="J43" s="248"/>
      <c r="K43" s="248"/>
    </row>
    <row r="44" spans="1:11" ht="15" customHeight="1" thickBot="1">
      <c r="A44" s="245"/>
      <c r="B44" s="306" t="s">
        <v>54</v>
      </c>
      <c r="C44" s="292"/>
      <c r="D44" s="292"/>
      <c r="E44" s="293"/>
      <c r="F44" s="245"/>
      <c r="G44" s="248"/>
      <c r="H44" s="248"/>
      <c r="I44" s="248"/>
      <c r="J44" s="248"/>
      <c r="K44" s="248"/>
    </row>
    <row r="45" spans="1:11" ht="24.75" thickBot="1">
      <c r="A45" s="245"/>
      <c r="B45" s="285" t="s">
        <v>55</v>
      </c>
      <c r="C45" s="275" t="s">
        <v>56</v>
      </c>
      <c r="D45" s="275" t="s">
        <v>57</v>
      </c>
      <c r="E45" s="275" t="s">
        <v>58</v>
      </c>
      <c r="F45" s="248"/>
      <c r="G45" s="248"/>
      <c r="H45" s="248"/>
      <c r="I45" s="248"/>
      <c r="J45" s="248"/>
      <c r="K45" s="245"/>
    </row>
    <row r="46" spans="1:11" ht="72.75" thickBot="1">
      <c r="A46" s="245"/>
      <c r="B46" s="295">
        <v>42401</v>
      </c>
      <c r="C46" s="275">
        <v>0.01</v>
      </c>
      <c r="D46" s="307" t="s">
        <v>188</v>
      </c>
      <c r="E46" s="275"/>
      <c r="F46" s="248"/>
      <c r="G46" s="248"/>
      <c r="H46" s="248"/>
      <c r="I46" s="248"/>
      <c r="J46" s="248"/>
      <c r="K46" s="245"/>
    </row>
    <row r="47" spans="1:11" ht="15.75" thickBot="1">
      <c r="A47" s="245"/>
      <c r="B47" s="308"/>
      <c r="C47" s="309"/>
      <c r="D47" s="248"/>
      <c r="E47" s="248"/>
      <c r="F47" s="248"/>
      <c r="G47" s="248"/>
      <c r="H47" s="248"/>
      <c r="I47" s="248"/>
      <c r="J47" s="248"/>
      <c r="K47" s="248"/>
    </row>
    <row r="48" spans="1:11">
      <c r="A48" s="245"/>
      <c r="B48" s="297" t="s">
        <v>60</v>
      </c>
      <c r="C48" s="298"/>
      <c r="D48" s="248"/>
      <c r="E48" s="248"/>
      <c r="F48" s="248"/>
      <c r="G48" s="248"/>
      <c r="H48" s="248"/>
      <c r="I48" s="248"/>
      <c r="J48" s="248"/>
      <c r="K48" s="248"/>
    </row>
    <row r="49" spans="1:11">
      <c r="A49" s="245"/>
      <c r="B49" s="1427"/>
      <c r="C49" s="1428"/>
      <c r="D49" s="1428"/>
      <c r="E49" s="1429"/>
      <c r="F49" s="248"/>
      <c r="G49" s="248"/>
      <c r="H49" s="248"/>
      <c r="I49" s="248"/>
      <c r="J49" s="248"/>
      <c r="K49" s="248"/>
    </row>
    <row r="50" spans="1:11" ht="15.75" thickBot="1">
      <c r="A50" s="245"/>
      <c r="B50" s="248"/>
      <c r="C50" s="265"/>
      <c r="D50" s="248"/>
      <c r="E50" s="248"/>
      <c r="F50" s="248"/>
      <c r="G50" s="248"/>
      <c r="H50" s="248"/>
      <c r="I50" s="248"/>
      <c r="J50" s="248"/>
      <c r="K50" s="248"/>
    </row>
    <row r="51" spans="1:11" ht="24.75" thickBot="1">
      <c r="A51" s="245"/>
      <c r="B51" s="310" t="s">
        <v>61</v>
      </c>
      <c r="C51" s="311"/>
      <c r="D51" s="248"/>
      <c r="E51" s="248"/>
      <c r="F51" s="248"/>
      <c r="G51" s="248"/>
      <c r="H51" s="248"/>
      <c r="I51" s="248"/>
      <c r="J51" s="248"/>
      <c r="K51" s="248"/>
    </row>
    <row r="52" spans="1:11" ht="15.75" thickBot="1">
      <c r="A52" s="245"/>
      <c r="B52" s="249"/>
      <c r="C52" s="250"/>
      <c r="D52" s="248"/>
      <c r="E52" s="248"/>
      <c r="F52" s="248"/>
      <c r="G52" s="248"/>
      <c r="H52" s="248"/>
      <c r="I52" s="248"/>
      <c r="J52" s="248"/>
      <c r="K52" s="248"/>
    </row>
    <row r="53" spans="1:11" ht="60.75" thickBot="1">
      <c r="A53" s="245"/>
      <c r="B53" s="299" t="s">
        <v>62</v>
      </c>
      <c r="C53" s="279"/>
      <c r="D53" s="273" t="s">
        <v>169</v>
      </c>
      <c r="E53" s="248"/>
      <c r="F53" s="248"/>
      <c r="G53" s="248"/>
      <c r="H53" s="248"/>
      <c r="I53" s="248"/>
      <c r="J53" s="248"/>
      <c r="K53" s="248"/>
    </row>
    <row r="54" spans="1:11">
      <c r="A54" s="245"/>
      <c r="B54" s="1391" t="s">
        <v>64</v>
      </c>
      <c r="C54" s="272"/>
      <c r="D54" s="312" t="s">
        <v>65</v>
      </c>
      <c r="E54" s="248"/>
      <c r="F54" s="248"/>
      <c r="G54" s="248"/>
      <c r="H54" s="248"/>
      <c r="I54" s="248"/>
      <c r="J54" s="248"/>
      <c r="K54" s="248"/>
    </row>
    <row r="55" spans="1:11" ht="60">
      <c r="A55" s="245"/>
      <c r="B55" s="1392"/>
      <c r="C55" s="272"/>
      <c r="D55" s="313" t="s">
        <v>170</v>
      </c>
      <c r="E55" s="248"/>
      <c r="F55" s="248"/>
      <c r="G55" s="248"/>
      <c r="H55" s="248"/>
      <c r="I55" s="248"/>
      <c r="J55" s="248"/>
      <c r="K55" s="248"/>
    </row>
    <row r="56" spans="1:11">
      <c r="A56" s="245"/>
      <c r="B56" s="1392"/>
      <c r="C56" s="272"/>
      <c r="D56" s="312" t="s">
        <v>139</v>
      </c>
      <c r="E56" s="248"/>
      <c r="F56" s="248"/>
      <c r="G56" s="248"/>
      <c r="H56" s="248"/>
      <c r="I56" s="248"/>
      <c r="J56" s="248"/>
      <c r="K56" s="248"/>
    </row>
    <row r="57" spans="1:11">
      <c r="A57" s="245"/>
      <c r="B57" s="1392"/>
      <c r="C57" s="272"/>
      <c r="D57" s="313" t="s">
        <v>69</v>
      </c>
      <c r="E57" s="248"/>
      <c r="F57" s="248"/>
      <c r="G57" s="248"/>
      <c r="H57" s="248"/>
      <c r="I57" s="248"/>
      <c r="J57" s="248"/>
      <c r="K57" s="248"/>
    </row>
    <row r="58" spans="1:11">
      <c r="A58" s="245"/>
      <c r="B58" s="1392"/>
      <c r="C58" s="272"/>
      <c r="D58" s="313" t="s">
        <v>171</v>
      </c>
      <c r="E58" s="248"/>
      <c r="F58" s="248"/>
      <c r="G58" s="248"/>
      <c r="H58" s="248"/>
      <c r="I58" s="248"/>
      <c r="J58" s="248"/>
      <c r="K58" s="248"/>
    </row>
    <row r="59" spans="1:11">
      <c r="A59" s="245"/>
      <c r="B59" s="1392"/>
      <c r="C59" s="272"/>
      <c r="D59" s="313" t="s">
        <v>172</v>
      </c>
      <c r="E59" s="248"/>
      <c r="F59" s="248"/>
      <c r="G59" s="248"/>
      <c r="H59" s="248"/>
      <c r="I59" s="248"/>
      <c r="J59" s="248"/>
      <c r="K59" s="248"/>
    </row>
    <row r="60" spans="1:11">
      <c r="A60" s="245"/>
      <c r="B60" s="1392"/>
      <c r="C60" s="272"/>
      <c r="D60" s="313" t="s">
        <v>173</v>
      </c>
      <c r="E60" s="248"/>
      <c r="F60" s="248"/>
      <c r="G60" s="248"/>
      <c r="H60" s="248"/>
      <c r="I60" s="248"/>
      <c r="J60" s="248"/>
      <c r="K60" s="248"/>
    </row>
    <row r="61" spans="1:11">
      <c r="A61" s="245"/>
      <c r="B61" s="1392"/>
      <c r="C61" s="272"/>
      <c r="D61" s="313" t="s">
        <v>174</v>
      </c>
      <c r="E61" s="248"/>
      <c r="F61" s="248"/>
      <c r="G61" s="248"/>
      <c r="H61" s="248"/>
      <c r="I61" s="248"/>
      <c r="J61" s="248"/>
      <c r="K61" s="248"/>
    </row>
    <row r="62" spans="1:11" ht="15.75" thickBot="1">
      <c r="A62" s="245"/>
      <c r="B62" s="1393"/>
      <c r="C62" s="282"/>
      <c r="D62" s="307"/>
      <c r="E62" s="248"/>
      <c r="F62" s="248"/>
      <c r="G62" s="248"/>
      <c r="H62" s="248"/>
      <c r="I62" s="248"/>
      <c r="J62" s="248"/>
      <c r="K62" s="248"/>
    </row>
    <row r="63" spans="1:11" ht="24.75" thickBot="1">
      <c r="A63" s="245"/>
      <c r="B63" s="285" t="s">
        <v>77</v>
      </c>
      <c r="C63" s="282"/>
      <c r="D63" s="275"/>
      <c r="E63" s="248"/>
      <c r="F63" s="248"/>
      <c r="G63" s="248"/>
      <c r="H63" s="248"/>
      <c r="I63" s="248"/>
      <c r="J63" s="248"/>
      <c r="K63" s="248"/>
    </row>
    <row r="64" spans="1:11" ht="108">
      <c r="A64" s="245"/>
      <c r="B64" s="1391" t="s">
        <v>78</v>
      </c>
      <c r="C64" s="272"/>
      <c r="D64" s="313" t="s">
        <v>175</v>
      </c>
      <c r="E64" s="248"/>
      <c r="F64" s="248"/>
      <c r="G64" s="248"/>
      <c r="H64" s="248"/>
      <c r="I64" s="248"/>
      <c r="J64" s="248"/>
      <c r="K64" s="248"/>
    </row>
    <row r="65" spans="1:11" ht="96">
      <c r="A65" s="245"/>
      <c r="B65" s="1392"/>
      <c r="C65" s="272"/>
      <c r="D65" s="313" t="s">
        <v>176</v>
      </c>
      <c r="E65" s="248"/>
      <c r="F65" s="248"/>
      <c r="G65" s="248"/>
      <c r="H65" s="248"/>
      <c r="I65" s="248"/>
      <c r="J65" s="248"/>
      <c r="K65" s="248"/>
    </row>
    <row r="66" spans="1:11" ht="120.75" thickBot="1">
      <c r="A66" s="245"/>
      <c r="B66" s="1393"/>
      <c r="C66" s="282"/>
      <c r="D66" s="275" t="s">
        <v>177</v>
      </c>
      <c r="E66" s="248"/>
      <c r="F66" s="248"/>
      <c r="G66" s="248"/>
      <c r="H66" s="248"/>
      <c r="I66" s="248"/>
      <c r="J66" s="248"/>
      <c r="K66" s="248"/>
    </row>
    <row r="67" spans="1:11">
      <c r="A67" s="245"/>
      <c r="B67" s="1391" t="s">
        <v>95</v>
      </c>
      <c r="C67" s="272"/>
      <c r="D67" s="313"/>
      <c r="E67" s="248"/>
      <c r="F67" s="248"/>
      <c r="G67" s="248"/>
      <c r="H67" s="248"/>
      <c r="I67" s="248"/>
      <c r="J67" s="248"/>
      <c r="K67" s="248"/>
    </row>
    <row r="68" spans="1:11">
      <c r="A68" s="245"/>
      <c r="B68" s="1392"/>
      <c r="C68" s="272"/>
      <c r="D68" s="314"/>
      <c r="E68" s="248"/>
      <c r="F68" s="248"/>
      <c r="G68" s="248"/>
      <c r="H68" s="248"/>
      <c r="I68" s="248"/>
      <c r="J68" s="248"/>
      <c r="K68" s="248"/>
    </row>
    <row r="69" spans="1:11">
      <c r="A69" s="245"/>
      <c r="B69" s="1392"/>
      <c r="C69" s="272"/>
      <c r="D69" s="313" t="s">
        <v>96</v>
      </c>
      <c r="E69" s="248"/>
      <c r="F69" s="248"/>
      <c r="G69" s="248"/>
      <c r="H69" s="248"/>
      <c r="I69" s="248"/>
      <c r="J69" s="248"/>
      <c r="K69" s="248"/>
    </row>
    <row r="70" spans="1:11" ht="37.5">
      <c r="A70" s="245"/>
      <c r="B70" s="1392"/>
      <c r="C70" s="272"/>
      <c r="D70" s="313" t="s">
        <v>178</v>
      </c>
      <c r="E70" s="248"/>
      <c r="F70" s="248"/>
      <c r="G70" s="248"/>
      <c r="H70" s="248"/>
      <c r="I70" s="248"/>
      <c r="J70" s="248"/>
      <c r="K70" s="248"/>
    </row>
    <row r="71" spans="1:11" ht="37.5">
      <c r="A71" s="245"/>
      <c r="B71" s="1392"/>
      <c r="C71" s="272"/>
      <c r="D71" s="313" t="s">
        <v>179</v>
      </c>
      <c r="E71" s="248"/>
      <c r="F71" s="248"/>
      <c r="G71" s="248"/>
      <c r="H71" s="248"/>
      <c r="I71" s="248"/>
      <c r="J71" s="248"/>
      <c r="K71" s="248"/>
    </row>
    <row r="72" spans="1:11" ht="37.5">
      <c r="A72" s="245"/>
      <c r="B72" s="1392"/>
      <c r="C72" s="272"/>
      <c r="D72" s="313" t="s">
        <v>180</v>
      </c>
      <c r="E72" s="248"/>
      <c r="F72" s="248"/>
      <c r="G72" s="248"/>
      <c r="H72" s="248"/>
      <c r="I72" s="248"/>
      <c r="J72" s="248"/>
      <c r="K72" s="248"/>
    </row>
    <row r="73" spans="1:11" ht="48.75" thickBot="1">
      <c r="A73" s="245"/>
      <c r="B73" s="1393"/>
      <c r="C73" s="282"/>
      <c r="D73" s="275" t="s">
        <v>181</v>
      </c>
      <c r="E73" s="248"/>
      <c r="F73" s="248"/>
      <c r="G73" s="248"/>
      <c r="H73" s="248"/>
      <c r="I73" s="248"/>
      <c r="J73" s="248"/>
      <c r="K73" s="248"/>
    </row>
    <row r="74" spans="1:11">
      <c r="A74" s="245"/>
      <c r="B74" s="248"/>
      <c r="C74" s="265"/>
      <c r="D74" s="248"/>
      <c r="E74" s="248"/>
      <c r="F74" s="248"/>
      <c r="G74" s="248"/>
      <c r="H74" s="248"/>
      <c r="I74" s="248"/>
      <c r="J74" s="248"/>
      <c r="K74" s="248"/>
    </row>
    <row r="75" spans="1:11">
      <c r="A75" s="245"/>
      <c r="B75" s="248"/>
      <c r="C75" s="265"/>
      <c r="D75" s="248"/>
      <c r="E75" s="248"/>
      <c r="F75" s="248"/>
      <c r="G75" s="248"/>
      <c r="H75" s="248"/>
      <c r="I75" s="248"/>
      <c r="J75" s="248"/>
      <c r="K75" s="248"/>
    </row>
  </sheetData>
  <sheetProtection sheet="1" objects="1" scenarios="1"/>
  <mergeCells count="23">
    <mergeCell ref="A1:P1"/>
    <mergeCell ref="A2:P2"/>
    <mergeCell ref="A3:P3"/>
    <mergeCell ref="A4:D4"/>
    <mergeCell ref="A5:P5"/>
    <mergeCell ref="B67:B73"/>
    <mergeCell ref="B15:B22"/>
    <mergeCell ref="D23:J23"/>
    <mergeCell ref="D24:J24"/>
    <mergeCell ref="B26:E26"/>
    <mergeCell ref="B27:B33"/>
    <mergeCell ref="B35:E35"/>
    <mergeCell ref="D15:J15"/>
    <mergeCell ref="D18:J18"/>
    <mergeCell ref="B36:B42"/>
    <mergeCell ref="B54:B62"/>
    <mergeCell ref="B64:B66"/>
    <mergeCell ref="B49:E49"/>
    <mergeCell ref="B10:D10"/>
    <mergeCell ref="F10:S10"/>
    <mergeCell ref="F11:S11"/>
    <mergeCell ref="E12:R12"/>
    <mergeCell ref="E13:R13"/>
  </mergeCells>
  <conditionalFormatting sqref="F10">
    <cfRule type="notContainsBlanks" dxfId="120" priority="4">
      <formula>LEN(TRIM(F10))&gt;0</formula>
    </cfRule>
  </conditionalFormatting>
  <conditionalFormatting sqref="F11:S11">
    <cfRule type="expression" dxfId="119" priority="2">
      <formula>E11="NO SE REPORTA"</formula>
    </cfRule>
    <cfRule type="expression" dxfId="118" priority="3">
      <formula>E10="NO APLICA"</formula>
    </cfRule>
  </conditionalFormatting>
  <conditionalFormatting sqref="E12:R12">
    <cfRule type="expression" dxfId="117" priority="1">
      <formula>E11="SI SE REPORTA"</formula>
    </cfRule>
  </conditionalFormatting>
  <dataValidations count="3">
    <dataValidation type="whole" operator="greaterThanOrEqual" allowBlank="1" showErrorMessage="1" errorTitle="ERROR" error="Escriba un número igual o mayor que 0" promptTitle="ERROR" prompt="Escriba un número igual o mayor que 0" sqref="E16:E17 E20:H21">
      <formula1>0</formula1>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36</vt:i4>
      </vt:variant>
      <vt:variant>
        <vt:lpstr>Rangos con nombre</vt:lpstr>
      </vt:variant>
      <vt:variant>
        <vt:i4>9</vt:i4>
      </vt:variant>
    </vt:vector>
  </HeadingPairs>
  <TitlesOfParts>
    <vt:vector size="45" baseType="lpstr">
      <vt:lpstr>Datos Generales</vt:lpstr>
      <vt:lpstr>Anexo 1 Matriz Inf Gestión</vt:lpstr>
      <vt:lpstr>Anexo 2 Protocolo Inf Gestión</vt:lpstr>
      <vt:lpstr>Anexo 3 Matriz IMG</vt:lpstr>
      <vt:lpstr>Anexo 5-1 Ingresos</vt:lpstr>
      <vt:lpstr>Anexo 5-2 Gastos</vt:lpstr>
      <vt:lpstr>1POMCAS</vt:lpstr>
      <vt:lpstr>2PORH</vt:lpstr>
      <vt:lpstr>3PSMV</vt:lpstr>
      <vt:lpstr>4UsoAguas</vt:lpstr>
      <vt:lpstr>5PUEAA</vt:lpstr>
      <vt:lpstr>6POMCASejec</vt:lpstr>
      <vt:lpstr>7Clima</vt:lpstr>
      <vt:lpstr>8Suelo</vt:lpstr>
      <vt:lpstr>9RUNAP</vt:lpstr>
      <vt:lpstr>10Paramos</vt:lpstr>
      <vt:lpstr>11Forest</vt:lpstr>
      <vt:lpstr>12PlanesAP</vt:lpstr>
      <vt:lpstr>13Amenaz</vt:lpstr>
      <vt:lpstr>14Invasor</vt:lpstr>
      <vt:lpstr>15Restaura</vt:lpstr>
      <vt:lpstr>16MIZC</vt:lpstr>
      <vt:lpstr>17PGIRS</vt:lpstr>
      <vt:lpstr>18Sector</vt:lpstr>
      <vt:lpstr>19GAU</vt:lpstr>
      <vt:lpstr>20Negoc</vt:lpstr>
      <vt:lpstr>21TiempoT</vt:lpstr>
      <vt:lpstr>22Autor</vt:lpstr>
      <vt:lpstr>23Sanc</vt:lpstr>
      <vt:lpstr>24POT</vt:lpstr>
      <vt:lpstr>25Redes</vt:lpstr>
      <vt:lpstr>26SIAC</vt:lpstr>
      <vt:lpstr>27Educa</vt:lpstr>
      <vt:lpstr>Observa</vt:lpstr>
      <vt:lpstr>Formulas</vt:lpstr>
      <vt:lpstr>Obs Generales</vt:lpstr>
      <vt:lpstr>'9RUNAP'!_Toc467769476</vt:lpstr>
      <vt:lpstr>'Anexo 1 Matriz Inf Gestión'!Área_de_impresión</vt:lpstr>
      <vt:lpstr>'Anexo 2 Protocolo Inf Gestión'!Área_de_impresión</vt:lpstr>
      <vt:lpstr>'Anexo 5-1 Ingresos'!Área_de_impresión</vt:lpstr>
      <vt:lpstr>'Anexo 5-2 Gastos'!Área_de_impresión</vt:lpstr>
      <vt:lpstr>Lista_CAR</vt:lpstr>
      <vt:lpstr>REPORTE</vt:lpstr>
      <vt:lpstr>SI</vt:lpstr>
      <vt:lpstr>Vigencias</vt:lpstr>
    </vt:vector>
  </TitlesOfParts>
  <Manager>nortiz@claro.net.co</Manager>
  <Company>Derechos protegidos de autor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Material de Capacitación a las CAR</dc:title>
  <dc:creator>Edwin Giovanny Ortiz R.</dc:creator>
  <cp:keywords>Documento No Oficial</cp:keywords>
  <dc:description>Matriz elaborada por Néstor Ortiz Pérez, Consultor GIZ-MADS en el marco de PROMAC</dc:description>
  <cp:lastModifiedBy>Funcionario</cp:lastModifiedBy>
  <cp:lastPrinted>2017-02-16T21:35:17Z</cp:lastPrinted>
  <dcterms:created xsi:type="dcterms:W3CDTF">2016-11-26T19:57:08Z</dcterms:created>
  <dcterms:modified xsi:type="dcterms:W3CDTF">2017-10-11T22:24:42Z</dcterms:modified>
  <cp:category>Capacitación</cp:category>
  <cp:contentStatus>Preliminar</cp:contentStatus>
</cp:coreProperties>
</file>