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0650" windowHeight="11760" tabRatio="647" activeTab="1"/>
  </bookViews>
  <sheets>
    <sheet name="Datos Generales" sheetId="38" r:id="rId1"/>
    <sheet name="Anexo 1 Matriz Inf Gestión" sheetId="34" r:id="rId2"/>
    <sheet name="Anexo 2 Protocolo Inf Gestión" sheetId="35" r:id="rId3"/>
    <sheet name="Anexo 5-1 Ingresos" sheetId="36" r:id="rId4"/>
    <sheet name="Anexo 5-2 Gastos" sheetId="37" r:id="rId5"/>
    <sheet name="Hoja1" sheetId="40" r:id="rId6"/>
  </sheets>
  <definedNames>
    <definedName name="_xlnm.Print_Area" localSheetId="1">'Anexo 1 Matriz Inf Gestión'!$A$2:$S$2</definedName>
    <definedName name="_xlnm.Print_Area" localSheetId="2">'Anexo 2 Protocolo Inf Gestión'!$A$1:$B$23</definedName>
    <definedName name="_xlnm.Print_Area" localSheetId="3">'Anexo 5-1 Ingresos'!$A$2:$D$2</definedName>
    <definedName name="_xlnm.Print_Area" localSheetId="4">'Anexo 5-2 Gastos'!$A$1:$I$2</definedName>
    <definedName name="Lista_CAR">'Datos Generales'!$H$5:$H$36</definedName>
    <definedName name="REPORTE" comment="SI SE REPORTA">#REF!</definedName>
    <definedName name="SI" comment="OPCION SI O NO">#REF!</definedName>
    <definedName name="Vigencias">'Datos Generales'!$H$38:$H$45</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6" i="34" l="1"/>
  <c r="E70" i="36"/>
  <c r="D70" i="36"/>
  <c r="C70" i="36"/>
  <c r="J46" i="37"/>
  <c r="I46" i="37"/>
  <c r="H46" i="37"/>
  <c r="J45" i="37"/>
  <c r="I45" i="37"/>
  <c r="H45" i="37"/>
  <c r="J44" i="37"/>
  <c r="I44" i="37"/>
  <c r="H44" i="37"/>
  <c r="J41" i="37"/>
  <c r="I41" i="37"/>
  <c r="J43" i="37"/>
  <c r="J42" i="37"/>
  <c r="I43" i="37"/>
  <c r="I42" i="37"/>
  <c r="H43" i="37"/>
  <c r="H42" i="37"/>
  <c r="H41" i="37"/>
  <c r="J38" i="37"/>
  <c r="J39" i="37"/>
  <c r="J40" i="37"/>
  <c r="I38" i="37"/>
  <c r="I39" i="37"/>
  <c r="I40" i="37"/>
  <c r="H38" i="37"/>
  <c r="H39" i="37"/>
  <c r="H40" i="37"/>
  <c r="J37" i="37"/>
  <c r="J36" i="37"/>
  <c r="J35" i="37"/>
  <c r="J34" i="37"/>
  <c r="I37" i="37"/>
  <c r="I36" i="37"/>
  <c r="I35" i="37"/>
  <c r="I34" i="37"/>
  <c r="H37" i="37"/>
  <c r="H36" i="37"/>
  <c r="H35" i="37"/>
  <c r="H34" i="37"/>
  <c r="J31" i="37"/>
  <c r="I31" i="37"/>
  <c r="H31" i="37"/>
  <c r="J33" i="37"/>
  <c r="I33" i="37"/>
  <c r="H33" i="37"/>
  <c r="J32" i="37"/>
  <c r="I32" i="37"/>
  <c r="H32" i="37"/>
  <c r="J30" i="37"/>
  <c r="I30" i="37"/>
  <c r="H30" i="37"/>
  <c r="J29" i="37"/>
  <c r="I29" i="37"/>
  <c r="H29" i="37"/>
  <c r="J28" i="37"/>
  <c r="J27" i="37"/>
  <c r="I27" i="37"/>
  <c r="I28" i="37"/>
  <c r="H28" i="37"/>
  <c r="H27" i="37"/>
  <c r="J26" i="37"/>
  <c r="I26" i="37"/>
  <c r="H26" i="37"/>
  <c r="J24" i="37"/>
  <c r="I24" i="37"/>
  <c r="H24" i="37"/>
  <c r="J23" i="37"/>
  <c r="J22" i="37"/>
  <c r="J14" i="37"/>
  <c r="J11" i="37"/>
  <c r="J10" i="37"/>
  <c r="J8" i="37"/>
  <c r="I23" i="37"/>
  <c r="I22" i="37"/>
  <c r="I14" i="37"/>
  <c r="I11" i="37"/>
  <c r="I10" i="37"/>
  <c r="I8" i="37"/>
  <c r="H8" i="37"/>
  <c r="H14" i="37"/>
  <c r="H23" i="37"/>
  <c r="H22" i="37"/>
  <c r="H11" i="37"/>
  <c r="H10" i="37"/>
  <c r="I35" i="34"/>
  <c r="P88" i="34"/>
  <c r="P85" i="34"/>
  <c r="I84" i="34"/>
  <c r="P84" i="34"/>
  <c r="I83" i="34"/>
  <c r="P83" i="34"/>
  <c r="I82" i="34"/>
  <c r="P82" i="34"/>
  <c r="I81" i="34"/>
  <c r="P81" i="34"/>
  <c r="P86" i="34"/>
  <c r="P80" i="34"/>
  <c r="P79" i="34"/>
  <c r="P93" i="34"/>
  <c r="P92" i="34"/>
  <c r="P91" i="34"/>
  <c r="P90" i="34"/>
  <c r="P89" i="34"/>
  <c r="O90" i="34"/>
  <c r="O91" i="34"/>
  <c r="O92" i="34"/>
  <c r="O93" i="34"/>
  <c r="O89" i="34"/>
  <c r="I87" i="34"/>
  <c r="P87" i="34"/>
  <c r="O82" i="34"/>
  <c r="O83" i="34"/>
  <c r="O84" i="34"/>
  <c r="O85" i="34"/>
  <c r="O86" i="34"/>
  <c r="O87" i="34"/>
  <c r="O81" i="34"/>
  <c r="P76" i="34"/>
  <c r="P75" i="34"/>
  <c r="P78" i="34"/>
  <c r="P77" i="34"/>
  <c r="P74" i="34"/>
  <c r="O78" i="34"/>
  <c r="O76" i="34"/>
  <c r="I73" i="34"/>
  <c r="P73" i="34"/>
  <c r="P72" i="34"/>
  <c r="I71" i="34"/>
  <c r="P71" i="34"/>
  <c r="P70" i="34"/>
  <c r="P69" i="34"/>
  <c r="O73" i="34"/>
  <c r="I68" i="34"/>
  <c r="P68" i="34"/>
  <c r="P67" i="34"/>
  <c r="I63" i="34"/>
  <c r="P63" i="34"/>
  <c r="I62" i="34"/>
  <c r="P62" i="34"/>
  <c r="P60" i="34"/>
  <c r="I53" i="34"/>
  <c r="P53" i="34"/>
  <c r="I50" i="34"/>
  <c r="P50" i="34"/>
  <c r="P49" i="34"/>
  <c r="P48" i="34"/>
  <c r="O71" i="34"/>
  <c r="O68" i="34"/>
  <c r="P66" i="34"/>
  <c r="P65" i="34"/>
  <c r="P64" i="34"/>
  <c r="O62" i="34"/>
  <c r="O63" i="34"/>
  <c r="O64" i="34"/>
  <c r="O65" i="34"/>
  <c r="O66" i="34"/>
  <c r="O61" i="34"/>
  <c r="P58" i="34"/>
  <c r="P57" i="34"/>
  <c r="P56" i="34"/>
  <c r="P54" i="34"/>
  <c r="P52" i="34"/>
  <c r="P51" i="34"/>
  <c r="O51" i="34"/>
  <c r="O52" i="34"/>
  <c r="O53" i="34"/>
  <c r="O54" i="34"/>
  <c r="O55" i="34"/>
  <c r="O56" i="34"/>
  <c r="O57" i="34"/>
  <c r="O58" i="34"/>
  <c r="O59" i="34"/>
  <c r="O50" i="34"/>
  <c r="P40" i="34"/>
  <c r="P47" i="34"/>
  <c r="P46" i="34"/>
  <c r="P45" i="34"/>
  <c r="P44" i="34"/>
  <c r="P43" i="34"/>
  <c r="P42" i="34"/>
  <c r="P41" i="34"/>
  <c r="O42" i="34"/>
  <c r="O43" i="34"/>
  <c r="O44" i="34"/>
  <c r="O45" i="34"/>
  <c r="O46" i="34"/>
  <c r="O47" i="34"/>
  <c r="O41" i="34"/>
  <c r="P39" i="34"/>
  <c r="P35" i="34"/>
  <c r="P33" i="34"/>
  <c r="O39" i="34"/>
  <c r="O38" i="34"/>
  <c r="O37" i="34"/>
  <c r="O36" i="34"/>
  <c r="O35" i="34"/>
  <c r="O34" i="34"/>
  <c r="O33" i="34"/>
  <c r="O32" i="34"/>
  <c r="P29" i="34"/>
  <c r="P28" i="34"/>
  <c r="P27" i="34"/>
  <c r="P25" i="34"/>
  <c r="P26" i="34"/>
  <c r="P24" i="34"/>
  <c r="P23" i="34"/>
  <c r="P22" i="34"/>
  <c r="I21" i="34"/>
  <c r="P21" i="34"/>
  <c r="I20" i="34"/>
  <c r="P20" i="34"/>
  <c r="P18" i="34"/>
  <c r="P15" i="34"/>
  <c r="P14" i="34"/>
  <c r="I13" i="34"/>
  <c r="P13" i="34"/>
  <c r="I12" i="34"/>
  <c r="P12" i="34"/>
  <c r="O29" i="34"/>
  <c r="O28" i="34"/>
  <c r="O27" i="34"/>
  <c r="O26" i="34"/>
  <c r="O24" i="34"/>
  <c r="O23" i="34"/>
  <c r="O22" i="34"/>
  <c r="O21" i="34"/>
  <c r="O20" i="34"/>
  <c r="P16" i="34"/>
  <c r="O18" i="34"/>
  <c r="O17" i="34"/>
  <c r="O16" i="34"/>
  <c r="O15" i="34"/>
  <c r="O14" i="34"/>
  <c r="O13" i="34"/>
  <c r="O12" i="34"/>
  <c r="O11" i="34"/>
  <c r="O10" i="34"/>
  <c r="P19" i="34"/>
  <c r="T88" i="34"/>
  <c r="T80" i="34"/>
  <c r="T77" i="34"/>
  <c r="T75" i="34"/>
  <c r="T72" i="34"/>
  <c r="T70" i="34"/>
  <c r="T67" i="34"/>
  <c r="T60" i="34"/>
  <c r="T49" i="34"/>
  <c r="T40" i="34"/>
  <c r="T31" i="34"/>
  <c r="T25" i="34"/>
  <c r="T19" i="34"/>
  <c r="T9" i="34"/>
  <c r="M56" i="34"/>
  <c r="M54" i="34"/>
  <c r="M47" i="34"/>
  <c r="N47" i="34"/>
  <c r="M46" i="34"/>
  <c r="M45" i="34"/>
  <c r="N45" i="34"/>
  <c r="M44" i="34"/>
  <c r="N44" i="34"/>
  <c r="M43" i="34"/>
  <c r="N43" i="34"/>
  <c r="N42" i="34"/>
  <c r="N46" i="34"/>
  <c r="N41" i="34"/>
  <c r="M42" i="34"/>
  <c r="M41" i="34"/>
  <c r="M35" i="34"/>
  <c r="M29" i="34"/>
  <c r="M14" i="34"/>
  <c r="A63" i="37"/>
  <c r="F64" i="36"/>
  <c r="F42" i="36"/>
  <c r="F38" i="36"/>
  <c r="F25" i="36"/>
  <c r="F14" i="36"/>
  <c r="F9" i="36"/>
  <c r="F10" i="36"/>
  <c r="F8" i="36"/>
  <c r="B46" i="37"/>
  <c r="B45" i="37"/>
  <c r="B43" i="37"/>
  <c r="B42" i="37"/>
  <c r="B39" i="37"/>
  <c r="B36" i="37"/>
  <c r="B35" i="37"/>
  <c r="B28" i="37"/>
  <c r="B10" i="37"/>
  <c r="B11" i="37"/>
  <c r="B8" i="37"/>
  <c r="F29" i="36"/>
  <c r="O79" i="34"/>
  <c r="O69" i="34"/>
  <c r="I58" i="34"/>
  <c r="I57" i="34"/>
  <c r="I26" i="34"/>
  <c r="I33" i="34"/>
  <c r="I36" i="34"/>
  <c r="P36" i="34"/>
  <c r="M32" i="34"/>
  <c r="M34" i="34"/>
  <c r="M55" i="34"/>
  <c r="M61" i="34"/>
  <c r="I28" i="34"/>
  <c r="D67" i="36"/>
  <c r="B37" i="37"/>
  <c r="B23" i="37"/>
  <c r="I70" i="36"/>
  <c r="E49" i="36"/>
  <c r="B40" i="37"/>
  <c r="B32" i="37"/>
  <c r="I39" i="34"/>
  <c r="G32" i="34"/>
  <c r="G50" i="34"/>
  <c r="E64" i="36"/>
  <c r="D64" i="36"/>
  <c r="H70" i="36"/>
  <c r="C64" i="36"/>
  <c r="E56" i="36"/>
  <c r="D56" i="36"/>
  <c r="C56" i="36"/>
  <c r="D49" i="36"/>
  <c r="D42" i="36"/>
  <c r="H68" i="36"/>
  <c r="E46" i="36"/>
  <c r="C46" i="36"/>
  <c r="E43" i="36"/>
  <c r="E42" i="36"/>
  <c r="I68" i="36"/>
  <c r="C43" i="36"/>
  <c r="E38" i="36"/>
  <c r="D38" i="36"/>
  <c r="C38" i="36"/>
  <c r="E35" i="36"/>
  <c r="D35" i="36"/>
  <c r="C35" i="36"/>
  <c r="E25" i="36"/>
  <c r="D25" i="36"/>
  <c r="C25" i="36"/>
  <c r="E21" i="36"/>
  <c r="D21" i="36"/>
  <c r="C21" i="36"/>
  <c r="E15" i="36"/>
  <c r="C15" i="36"/>
  <c r="E10" i="36"/>
  <c r="D10" i="36"/>
  <c r="C10" i="36"/>
  <c r="J68" i="36"/>
  <c r="D14" i="36"/>
  <c r="D9" i="36"/>
  <c r="C42" i="36"/>
  <c r="C14" i="36"/>
  <c r="C9" i="36"/>
  <c r="C8" i="36"/>
  <c r="J70" i="36"/>
  <c r="E14" i="36"/>
  <c r="E9" i="36"/>
  <c r="E8" i="36"/>
  <c r="I67" i="36"/>
  <c r="D8" i="36"/>
  <c r="H67" i="36"/>
  <c r="M93" i="34"/>
  <c r="M92" i="34"/>
  <c r="M91" i="34"/>
  <c r="M90" i="34"/>
  <c r="M89" i="34"/>
  <c r="M87" i="34"/>
  <c r="M66" i="34"/>
  <c r="M65" i="34"/>
  <c r="M64" i="34"/>
  <c r="M59" i="34"/>
  <c r="M58" i="34"/>
  <c r="M57" i="34"/>
  <c r="M39" i="34"/>
  <c r="M38" i="34"/>
  <c r="M37" i="34"/>
  <c r="M36" i="34"/>
  <c r="M33" i="34"/>
  <c r="M28" i="34"/>
  <c r="M27" i="34"/>
  <c r="F70" i="36"/>
  <c r="J67" i="36"/>
  <c r="M24" i="34"/>
  <c r="M23" i="34"/>
  <c r="M22" i="34"/>
  <c r="M18" i="34"/>
  <c r="M17" i="34"/>
  <c r="M16" i="34"/>
  <c r="M15" i="34"/>
  <c r="G20" i="37"/>
  <c r="G19" i="37"/>
  <c r="D20" i="37"/>
  <c r="I91" i="34"/>
  <c r="I89" i="34"/>
  <c r="I90" i="34"/>
  <c r="I92" i="34"/>
  <c r="I93" i="34"/>
  <c r="I65" i="34"/>
  <c r="I56" i="34"/>
  <c r="I64" i="34"/>
  <c r="I66" i="34"/>
  <c r="I38" i="34"/>
  <c r="I41" i="34"/>
  <c r="I42" i="34"/>
  <c r="I43" i="34"/>
  <c r="I44" i="34"/>
  <c r="I45" i="34"/>
  <c r="I46" i="34"/>
  <c r="I47" i="34"/>
  <c r="I14" i="34"/>
  <c r="I15" i="34"/>
  <c r="I16" i="34"/>
  <c r="I17" i="34"/>
  <c r="P17" i="34"/>
  <c r="I18" i="34"/>
  <c r="I23" i="34"/>
  <c r="I22" i="34"/>
  <c r="I24" i="34"/>
  <c r="I27" i="34"/>
  <c r="N90" i="34"/>
  <c r="N89" i="34"/>
  <c r="N87" i="34"/>
  <c r="N15" i="34"/>
  <c r="N66" i="34"/>
  <c r="N64" i="34"/>
  <c r="N57" i="34"/>
  <c r="N55" i="34"/>
  <c r="N39" i="34"/>
  <c r="N35" i="34"/>
  <c r="N22" i="34"/>
  <c r="M26" i="34"/>
  <c r="N18" i="34"/>
  <c r="N14" i="34"/>
  <c r="F9" i="37"/>
  <c r="C13" i="37"/>
  <c r="C16" i="37"/>
  <c r="C20" i="37"/>
  <c r="C19" i="37"/>
  <c r="C9" i="37"/>
  <c r="I9" i="37"/>
  <c r="C27" i="37"/>
  <c r="C31" i="37"/>
  <c r="C34" i="37"/>
  <c r="C38" i="37"/>
  <c r="C41" i="37"/>
  <c r="C44" i="37"/>
  <c r="F27" i="37"/>
  <c r="F31" i="37"/>
  <c r="F34" i="37"/>
  <c r="F38" i="37"/>
  <c r="F41" i="37"/>
  <c r="F44" i="37"/>
  <c r="D27" i="37"/>
  <c r="D31" i="37"/>
  <c r="D34" i="37"/>
  <c r="D38" i="37"/>
  <c r="D41" i="37"/>
  <c r="D44" i="37"/>
  <c r="G27" i="37"/>
  <c r="G31" i="37"/>
  <c r="G34" i="37"/>
  <c r="G38" i="37"/>
  <c r="G41" i="37"/>
  <c r="G44" i="37"/>
  <c r="R19" i="34"/>
  <c r="R9" i="34"/>
  <c r="Q72" i="34"/>
  <c r="U72" i="34"/>
  <c r="Q80" i="34"/>
  <c r="U80" i="34"/>
  <c r="R80" i="34"/>
  <c r="R88" i="34"/>
  <c r="Q88" i="34"/>
  <c r="U88" i="34"/>
  <c r="R60" i="34"/>
  <c r="R49" i="34"/>
  <c r="R40" i="34"/>
  <c r="R31" i="34"/>
  <c r="Q60" i="34"/>
  <c r="U60" i="34"/>
  <c r="Q67" i="34"/>
  <c r="Q49" i="34"/>
  <c r="U49" i="34"/>
  <c r="Q31" i="34"/>
  <c r="U31" i="34"/>
  <c r="Q19" i="34"/>
  <c r="Q9" i="34"/>
  <c r="U9" i="34"/>
  <c r="G67" i="36"/>
  <c r="M22" i="37"/>
  <c r="M21" i="37"/>
  <c r="M20" i="37"/>
  <c r="E34" i="37"/>
  <c r="I49" i="37"/>
  <c r="J49" i="37"/>
  <c r="J48" i="37"/>
  <c r="I47" i="37"/>
  <c r="J47" i="37"/>
  <c r="H47" i="37"/>
  <c r="E44" i="37"/>
  <c r="Q77" i="34"/>
  <c r="U77" i="34"/>
  <c r="R75" i="34"/>
  <c r="E41" i="37"/>
  <c r="B41" i="37"/>
  <c r="R72" i="34"/>
  <c r="R70" i="34"/>
  <c r="Q70" i="34"/>
  <c r="U70" i="34"/>
  <c r="E38" i="37"/>
  <c r="B38" i="37"/>
  <c r="R67" i="34"/>
  <c r="Q40" i="34"/>
  <c r="U40" i="34"/>
  <c r="E31" i="37"/>
  <c r="B31" i="37"/>
  <c r="R25" i="34"/>
  <c r="Q25" i="34"/>
  <c r="U25" i="34"/>
  <c r="E27" i="37"/>
  <c r="J21" i="37"/>
  <c r="I21" i="37"/>
  <c r="H21" i="37"/>
  <c r="J20" i="37"/>
  <c r="F20" i="37"/>
  <c r="E20" i="37"/>
  <c r="E19" i="37"/>
  <c r="E13" i="37"/>
  <c r="E16" i="37"/>
  <c r="B20" i="37"/>
  <c r="B19" i="37"/>
  <c r="D19" i="37"/>
  <c r="J19" i="37"/>
  <c r="J18" i="37"/>
  <c r="I18" i="37"/>
  <c r="H18" i="37"/>
  <c r="J17" i="37"/>
  <c r="I17" i="37"/>
  <c r="H17" i="37"/>
  <c r="J16" i="37"/>
  <c r="F16" i="37"/>
  <c r="I16" i="37"/>
  <c r="B16" i="37"/>
  <c r="J15" i="37"/>
  <c r="I15" i="37"/>
  <c r="H15" i="37"/>
  <c r="G13" i="37"/>
  <c r="G12" i="37"/>
  <c r="F13" i="37"/>
  <c r="I13" i="37"/>
  <c r="D13" i="37"/>
  <c r="B13" i="37"/>
  <c r="E9" i="37"/>
  <c r="B9" i="37"/>
  <c r="G9" i="37"/>
  <c r="D9" i="37"/>
  <c r="B27" i="37"/>
  <c r="B34" i="37"/>
  <c r="B44" i="37"/>
  <c r="M94" i="34"/>
  <c r="N92" i="34"/>
  <c r="N91" i="34"/>
  <c r="T79" i="34"/>
  <c r="O74" i="34"/>
  <c r="N65" i="34"/>
  <c r="N61" i="34"/>
  <c r="N59" i="34"/>
  <c r="N58" i="34"/>
  <c r="N56" i="34"/>
  <c r="O48" i="34"/>
  <c r="N38" i="34"/>
  <c r="N37" i="34"/>
  <c r="N36" i="34"/>
  <c r="N34" i="34"/>
  <c r="N33" i="34"/>
  <c r="O30" i="34"/>
  <c r="N29" i="34"/>
  <c r="N28" i="34"/>
  <c r="N27" i="34"/>
  <c r="N26" i="34"/>
  <c r="N24" i="34"/>
  <c r="N23" i="34"/>
  <c r="N17" i="34"/>
  <c r="N16" i="34"/>
  <c r="O8" i="34"/>
  <c r="O94" i="34"/>
  <c r="N32" i="34"/>
  <c r="M12" i="34"/>
  <c r="P38" i="34"/>
  <c r="P31" i="34"/>
  <c r="P30" i="34"/>
  <c r="I31" i="34"/>
  <c r="M86" i="34"/>
  <c r="M83" i="34"/>
  <c r="M82" i="34"/>
  <c r="M81" i="34"/>
  <c r="M52" i="34"/>
  <c r="M20" i="34"/>
  <c r="T8" i="34"/>
  <c r="I25" i="34"/>
  <c r="I30" i="34"/>
  <c r="J13" i="37"/>
  <c r="H20" i="37"/>
  <c r="G26" i="37"/>
  <c r="M50" i="34"/>
  <c r="T30" i="34"/>
  <c r="T69" i="34"/>
  <c r="F26" i="37"/>
  <c r="C12" i="37"/>
  <c r="T74" i="34"/>
  <c r="M73" i="34"/>
  <c r="R8" i="34"/>
  <c r="E26" i="37"/>
  <c r="U67" i="34"/>
  <c r="V67" i="34"/>
  <c r="U19" i="34"/>
  <c r="G24" i="37"/>
  <c r="I20" i="37"/>
  <c r="F19" i="37"/>
  <c r="I40" i="34"/>
  <c r="Q75" i="34"/>
  <c r="S67" i="34"/>
  <c r="S25" i="34"/>
  <c r="H19" i="37"/>
  <c r="J9" i="37"/>
  <c r="D12" i="37"/>
  <c r="J12" i="37"/>
  <c r="H13" i="37"/>
  <c r="N25" i="34"/>
  <c r="S40" i="34"/>
  <c r="T48" i="34"/>
  <c r="V40" i="34"/>
  <c r="V60" i="34"/>
  <c r="N11" i="34"/>
  <c r="N54" i="34"/>
  <c r="I88" i="34"/>
  <c r="N88" i="34"/>
  <c r="N40" i="34"/>
  <c r="R77" i="34"/>
  <c r="V72" i="34"/>
  <c r="R69" i="34"/>
  <c r="S70" i="34"/>
  <c r="V19" i="34"/>
  <c r="S19" i="34"/>
  <c r="C26" i="37"/>
  <c r="E12" i="37"/>
  <c r="E24" i="37"/>
  <c r="E50" i="37"/>
  <c r="G50" i="37"/>
  <c r="D26" i="37"/>
  <c r="R30" i="34"/>
  <c r="U30" i="34"/>
  <c r="S88" i="34"/>
  <c r="V88" i="34"/>
  <c r="U48" i="34"/>
  <c r="V49" i="34"/>
  <c r="Q48" i="34"/>
  <c r="S49" i="34"/>
  <c r="S31" i="34"/>
  <c r="V9" i="34"/>
  <c r="S9" i="34"/>
  <c r="Q8" i="34"/>
  <c r="N30" i="34"/>
  <c r="N31" i="34"/>
  <c r="U8" i="34"/>
  <c r="V25" i="34"/>
  <c r="Q30" i="34"/>
  <c r="Q69" i="34"/>
  <c r="S80" i="34"/>
  <c r="B26" i="37"/>
  <c r="O20" i="37"/>
  <c r="R48" i="34"/>
  <c r="S72" i="34"/>
  <c r="M85" i="34"/>
  <c r="N82" i="34"/>
  <c r="Q79" i="34"/>
  <c r="V31" i="34"/>
  <c r="S60" i="34"/>
  <c r="B12" i="37"/>
  <c r="H12" i="37"/>
  <c r="V77" i="34"/>
  <c r="Q74" i="34"/>
  <c r="N50" i="34"/>
  <c r="N81" i="34"/>
  <c r="N52" i="34"/>
  <c r="V70" i="34"/>
  <c r="H9" i="37"/>
  <c r="H16" i="37"/>
  <c r="C24" i="37"/>
  <c r="S75" i="34"/>
  <c r="R79" i="34"/>
  <c r="I86" i="34"/>
  <c r="N86" i="34"/>
  <c r="I72" i="34"/>
  <c r="N73" i="34"/>
  <c r="N72" i="34"/>
  <c r="V30" i="34"/>
  <c r="T94" i="34"/>
  <c r="M53" i="34"/>
  <c r="M51" i="34"/>
  <c r="N51" i="34"/>
  <c r="M13" i="34"/>
  <c r="N13" i="34"/>
  <c r="N54" i="37"/>
  <c r="N85" i="34"/>
  <c r="S69" i="34"/>
  <c r="V48" i="34"/>
  <c r="M76" i="34"/>
  <c r="M78" i="34"/>
  <c r="M68" i="34"/>
  <c r="M71" i="34"/>
  <c r="M21" i="34"/>
  <c r="M84" i="34"/>
  <c r="U75" i="34"/>
  <c r="U74" i="34"/>
  <c r="V74" i="34"/>
  <c r="D24" i="37"/>
  <c r="N22" i="37"/>
  <c r="U69" i="34"/>
  <c r="V69" i="34"/>
  <c r="N83" i="34"/>
  <c r="U79" i="34"/>
  <c r="V79" i="34"/>
  <c r="V80" i="34"/>
  <c r="N76" i="34"/>
  <c r="R74" i="34"/>
  <c r="S77" i="34"/>
  <c r="B24" i="37"/>
  <c r="S48" i="34"/>
  <c r="Q94" i="34"/>
  <c r="S30" i="34"/>
  <c r="V8" i="34"/>
  <c r="S79" i="34"/>
  <c r="C50" i="37"/>
  <c r="S8" i="34"/>
  <c r="N53" i="37"/>
  <c r="O21" i="37"/>
  <c r="K26" i="37"/>
  <c r="N12" i="34"/>
  <c r="N20" i="34"/>
  <c r="I76" i="34"/>
  <c r="I75" i="34"/>
  <c r="N78" i="34"/>
  <c r="N77" i="34"/>
  <c r="I78" i="34"/>
  <c r="I77" i="34"/>
  <c r="L26" i="37"/>
  <c r="O22" i="37"/>
  <c r="J50" i="37"/>
  <c r="M63" i="34"/>
  <c r="I70" i="34"/>
  <c r="M62" i="34"/>
  <c r="N62" i="34"/>
  <c r="I60" i="34"/>
  <c r="P22" i="37"/>
  <c r="M54" i="37"/>
  <c r="O54" i="37"/>
  <c r="D50" i="37"/>
  <c r="V75" i="34"/>
  <c r="N53" i="34"/>
  <c r="N49" i="34"/>
  <c r="U94" i="34"/>
  <c r="V94" i="34"/>
  <c r="R94" i="34"/>
  <c r="S94" i="34"/>
  <c r="N71" i="34"/>
  <c r="N70" i="34"/>
  <c r="S74" i="34"/>
  <c r="N68" i="34"/>
  <c r="N67" i="34"/>
  <c r="N63" i="34"/>
  <c r="B50" i="37"/>
  <c r="N84" i="34"/>
  <c r="I19" i="34"/>
  <c r="N21" i="34"/>
  <c r="N19" i="34"/>
  <c r="N75" i="34"/>
  <c r="N74" i="34"/>
  <c r="I74" i="34"/>
  <c r="M10" i="34"/>
  <c r="N10" i="34"/>
  <c r="N9" i="34"/>
  <c r="I48" i="34"/>
  <c r="I49" i="34"/>
  <c r="I69" i="34"/>
  <c r="N69" i="34"/>
  <c r="I67" i="34"/>
  <c r="I10" i="34"/>
  <c r="P10" i="34"/>
  <c r="N60" i="34"/>
  <c r="N48" i="34"/>
  <c r="N80" i="34"/>
  <c r="N79" i="34"/>
  <c r="I79" i="34"/>
  <c r="I80" i="34"/>
  <c r="N20" i="37"/>
  <c r="P20" i="37"/>
  <c r="H50" i="37"/>
  <c r="P9" i="34"/>
  <c r="P8" i="34"/>
  <c r="P94" i="34"/>
  <c r="I8" i="34"/>
  <c r="I9" i="34"/>
  <c r="N94" i="34"/>
  <c r="N8" i="34"/>
  <c r="I94" i="34"/>
  <c r="I19" i="37"/>
  <c r="F12" i="37"/>
  <c r="I12" i="37"/>
  <c r="F24" i="37"/>
  <c r="F50" i="37"/>
  <c r="N21" i="37"/>
  <c r="P21" i="37"/>
  <c r="L24" i="37"/>
  <c r="M53" i="37"/>
  <c r="O53" i="37"/>
  <c r="I50" i="37"/>
  <c r="K24" i="37"/>
  <c r="L50" i="37"/>
  <c r="K50" i="37"/>
  <c r="H71" i="36"/>
  <c r="J71" i="36"/>
  <c r="I71" i="36"/>
</calcChain>
</file>

<file path=xl/sharedStrings.xml><?xml version="1.0" encoding="utf-8"?>
<sst xmlns="http://schemas.openxmlformats.org/spreadsheetml/2006/main" count="503" uniqueCount="394">
  <si>
    <t>Dependencia</t>
  </si>
  <si>
    <t>Cargo</t>
  </si>
  <si>
    <t>Correo electrónico</t>
  </si>
  <si>
    <t>Teléfono</t>
  </si>
  <si>
    <t>Porcentaje de cuerpos de agua con planes de ordenamiento del recurso hídrico (PORH) adoptados</t>
  </si>
  <si>
    <t>Total</t>
  </si>
  <si>
    <t>Porcentaje de Planes de Saneamiento y Manejo de Vertimientos (PSMV) con seguimiento</t>
  </si>
  <si>
    <t>Porcentaje de Programas de Uso Eficiente y Ahorro del Agua (PUEAA) con seguimiento</t>
  </si>
  <si>
    <t>Porcentaje de entes territoriales asesorados en la incorporación, planificación y ejecución de acciones relacionadas con cambio climático en el marco de los instrumentos de planificación territorial</t>
  </si>
  <si>
    <t>Porcentaje de suelos degradados en recuperación o rehabilitación</t>
  </si>
  <si>
    <t>Porcentaje de páramos delimitados por el MADS, con zonificación y régimen de usos adoptados por la CAR</t>
  </si>
  <si>
    <t>Implementación de acciones en manejo integrado de zonas costeras</t>
  </si>
  <si>
    <t>Porcentaje de Planes de Gestión Integral de Residuos Sólidos (PGIRS) con seguimiento a metas de aprovechamiento</t>
  </si>
  <si>
    <t>Porcentaje de sectores con acompañamiento para la reconversión hacia sistemas sostenibles de producción</t>
  </si>
  <si>
    <t>Implementación del Programa Regional de Negocios Verdes por la autoridad ambiental</t>
  </si>
  <si>
    <t>Ejecución de Acciones en Educación Ambiental</t>
  </si>
  <si>
    <t>(17)
OBSERVACIONES</t>
  </si>
  <si>
    <t>(4)
AVANCE DE LA META
FISICA  (Según unidad de medida y Periodo Evaluado)</t>
  </si>
  <si>
    <t xml:space="preserve">(5)
PORCENTAJE DE AVANCE 
FISICO %
(Periodo Evaluado)
((4/3)*100)
</t>
  </si>
  <si>
    <t>(5-A) DESCRIPCIÓN DEL AVANCE 
(Se puede describir en texto lo que se desea aclarar del avance númerico respectivo)</t>
  </si>
  <si>
    <t>(6)
PORCENTAJE DE AVANCE PROCESO DE GESTION DE LA META
FISICA
(aplica unicamente para el informe del primer semestre)</t>
  </si>
  <si>
    <t>(8)
ACUMULADO DE LA META
FISICA
(Según unidad de medida)</t>
  </si>
  <si>
    <t xml:space="preserve">(9)
PORCENTAJE DE AVANCE 
FISICO ACUMULADO %
((8/7)*100)
</t>
  </si>
  <si>
    <t xml:space="preserve">(12)
AVANCE DE LA META
FINANCIERA
(Recursos comprometidos periodo Evaluado)
($)
</t>
  </si>
  <si>
    <t>(13)                           PORCENTAJE DEL AVANCE 
FINANCIERO %
(Periodo Evaluado)
((12/11)*100)</t>
  </si>
  <si>
    <t xml:space="preserve">(15)
ACUMULADO DE LA META
FINANCIERA
$
</t>
  </si>
  <si>
    <t xml:space="preserve">(16)
PORCENTAJE DE  AVANCE FINANCIERO ACUMULADO %
((15/14)*100)
</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</si>
  <si>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</si>
  <si>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</si>
  <si>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ANEXO No. 2.PROTOCOLO O GUÍA DE DILIGENCIAMIENTO</t>
  </si>
  <si>
    <t xml:space="preserve">MATRIZ DE SEGUIMIENTO A LA GESTIÓN Y DE AVANCE EN LAS METAS FÍSICAS Y FINANCIERAS DEL PLAN DE ACCIÓN </t>
  </si>
  <si>
    <t xml:space="preserve">ITEM </t>
  </si>
  <si>
    <t>DEFINICIONES</t>
  </si>
  <si>
    <t xml:space="preserve">(1) PROGRAMAS - PROYECTOS  DEL Plan de Acción 2007-2009 </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</si>
  <si>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</si>
  <si>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</si>
  <si>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</si>
  <si>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</si>
  <si>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</si>
  <si>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</si>
  <si>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</si>
  <si>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</si>
  <si>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</si>
  <si>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 xml:space="preserve">(5-A) DESCRIPCIÓN DEL AVANCE 
</t>
  </si>
  <si>
    <t>En esta columna se puede describir en texto lo que se desea justificar, describir y aclarar del avance del programa, proyecto, actividad.</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</si>
  <si>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</si>
  <si>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</si>
  <si>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</si>
  <si>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</si>
  <si>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</si>
  <si>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Reporte el avance acumulado de la meta física que se obtenga desde la aprobación del Plan de Acción, incluyendo el periodo evaluado.  Ejemplo 100 Ha reforestadas (2004) más 140 Ha reforestadas (2005), acumulado 240 Ha (2004+2005)</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</si>
  <si>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</si>
  <si>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</si>
  <si>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</si>
  <si>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</si>
  <si>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(11)META FINANCIERA ANUAL</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</si>
  <si>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</si>
  <si>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</si>
  <si>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</si>
  <si>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</si>
  <si>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</si>
  <si>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(14) META FINANCIERA DEL PLAN</t>
  </si>
  <si>
    <t>Relacione aquí de acuerdo al plan de inversión del Plan de Acción  los montos de inversión previstos para cada programa o proyecto para los tres años. (incluye adiciones o modificaciones).</t>
  </si>
  <si>
    <t xml:space="preserve">(15)  AVANCE ACUMULADO DE LA META FINANCIERA </t>
  </si>
  <si>
    <t>Reporte el avance acumulado en la vigencia del Plan de Acción, desde su aprobación hasta el periodo del informe.  Ejemplo $100'000.000.oo (2004) + $150'000.000.oo (2005), da un acumulado de inversión del Plan de Acción de $250'000.000.oo</t>
  </si>
  <si>
    <t>(16) PORCENTAJE DE AVANCE FINANCIERO ACUMULADO %</t>
  </si>
  <si>
    <t>Calcule el porcentaje del avance acumulado de la Meta financiera programada en el Plan de Acción. Divida el valor de la columna  (15) con el valor de la columna (14) y multiplique por 100.</t>
  </si>
  <si>
    <t>(17) OBSERVACIONES</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</si>
  <si>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</si>
  <si>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</si>
  <si>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</si>
  <si>
    <t>Tributarios</t>
  </si>
  <si>
    <t>Otros</t>
  </si>
  <si>
    <t>No Tributarios</t>
  </si>
  <si>
    <t>Venta de Bienes y Servicios</t>
  </si>
  <si>
    <t>Operaciones Comerciales</t>
  </si>
  <si>
    <t>Aportes Patronales</t>
  </si>
  <si>
    <t>Aportes de Afiliados</t>
  </si>
  <si>
    <t>Aportes de otras entidades</t>
  </si>
  <si>
    <t>Transferencias Sector Electrico</t>
  </si>
  <si>
    <t>Otros Aportes de Otras Entidades</t>
  </si>
  <si>
    <t>Otros Ingresos</t>
  </si>
  <si>
    <t>Tasa Material de Arrastre</t>
  </si>
  <si>
    <t>Tasa por Uso del Agua</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</si>
  <si>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</si>
  <si>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</si>
  <si>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</si>
  <si>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</si>
  <si>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</si>
  <si>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</si>
  <si>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</si>
  <si>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</si>
  <si>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</si>
  <si>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</si>
  <si>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</si>
  <si>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</si>
  <si>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</si>
  <si>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Funcionamiento</t>
  </si>
  <si>
    <t>CONCEPTO</t>
  </si>
  <si>
    <t>RECURSOS PROPIOS
$</t>
  </si>
  <si>
    <t>GASTOS DE PERSONAL</t>
  </si>
  <si>
    <t>GASTOS GENERALES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</si>
  <si>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</si>
  <si>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</si>
  <si>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</si>
  <si>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</si>
  <si>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</si>
  <si>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</si>
  <si>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</si>
  <si>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</si>
  <si>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</si>
  <si>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</si>
  <si>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</si>
  <si>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TOTAL GASTOS DE FUNCIONAMIENTO</t>
  </si>
  <si>
    <t>TOTAL INVERSION</t>
  </si>
  <si>
    <t xml:space="preserve">TOTAL PRESUPUESTO  </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</si>
  <si>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</si>
  <si>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</si>
  <si>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</si>
  <si>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</si>
  <si>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</si>
  <si>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</si>
  <si>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</si>
  <si>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</si>
  <si>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</si>
  <si>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</si>
  <si>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</si>
  <si>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</si>
  <si>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</si>
  <si>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</si>
  <si>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</si>
  <si>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</si>
  <si>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</si>
  <si>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</si>
  <si>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</si>
  <si>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</si>
  <si>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</si>
  <si>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</si>
  <si>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</si>
  <si>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</si>
  <si>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</si>
  <si>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</si>
  <si>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</si>
  <si>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</si>
  <si>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</si>
  <si>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</si>
  <si>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</si>
  <si>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</si>
  <si>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</si>
  <si>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</si>
  <si>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</si>
  <si>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</si>
  <si>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</si>
  <si>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</si>
  <si>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</si>
  <si>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</si>
  <si>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</si>
  <si>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</si>
  <si>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</si>
  <si>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ANEXOS INFORME DE SEGUIMIENTO AL PLAN DE ACCIÓN 2016-2019</t>
  </si>
  <si>
    <t>PND. 2014 2018</t>
  </si>
  <si>
    <t>PGAR 2009 2019</t>
  </si>
  <si>
    <t>CORPORACIÓN AUTÓNOMA REGIONAL DE LA GUAJIRA - MATRIZ DE SEGUIMIENTO DEL PLAN DE ACCIÓN - AVANCE EN LAS METAS FÍSICAS Y FINANCIERAS DEL PLAN DE ACCIÓN  CUATRIENAL- PAC. 2016 - 2019</t>
  </si>
  <si>
    <t>Estrategia Regional</t>
  </si>
  <si>
    <t>Estrategia</t>
  </si>
  <si>
    <t>Temas</t>
  </si>
  <si>
    <r>
      <t xml:space="preserve">(1)
PROGRAMAS - PROYECTOS  DEL PLAN 2016-2019
(inserte filas cuando sea necesario)
</t>
    </r>
    <r>
      <rPr>
        <b/>
        <sz val="10"/>
        <color indexed="10"/>
        <rFont val="Arial Narrow"/>
        <family val="2"/>
      </rPr>
      <t/>
    </r>
  </si>
  <si>
    <t xml:space="preserve">   (2)                                      Unidad de Medida </t>
  </si>
  <si>
    <t xml:space="preserve"> (7)                                                    META FISICA PERIODO DEL PLAN            (Según unidad de medida)</t>
  </si>
  <si>
    <t>(10)               PONDERACIONES DE PROGRAMAS  Y PROYECTOS (OPCIONAL DE ACUERDO AL PLAN)</t>
  </si>
  <si>
    <t>(14)                                         META FINANCIERA   PERIODO DEL PLAN            
($)</t>
  </si>
  <si>
    <t>Caribe próspero, equitativo y sin pobreza extrema</t>
  </si>
  <si>
    <t>Consolidar un marco de política de cambio climático buscando su integración con la planificación ambiental, territorial y sectorial.  Mitigar el riesgo ante sequías e inundaciones (exacerbados por la variabilidad climática) en las zonas más vulnerables de la región mediante el ordenamiento territorial para la adaptación al cambio climático</t>
  </si>
  <si>
    <t>Planificación, Ordenamiento y Coordinación Ambiental.</t>
  </si>
  <si>
    <t>Planificación Ambiental para la Orientación de la Sociedad hacia la Eficiente Ocupación del Territorio</t>
  </si>
  <si>
    <t>Programa No 1. Planificacion, Ordenamiento Ambiental y Territorial</t>
  </si>
  <si>
    <t>Proyecto No 1.1.Planificación, Ordenamiento e Información Ambiental Territorial (1)</t>
  </si>
  <si>
    <t>Porcentaje de avance en la formulación y/o ajuste de los Planes de Ordenación y Manejo de Cuencas (POMCAS) y Planes de Manejo de Microcuencas (PMM)</t>
  </si>
  <si>
    <t>%</t>
  </si>
  <si>
    <t>NA</t>
  </si>
  <si>
    <t>Porcentaje de Actualización y reporte de la información en el SIAC</t>
  </si>
  <si>
    <t>Porcentaje de Planes de Ordenación y Manejo de Cuencas (POMCAS), Planes de Manejo de Acuíferos (PMA) y Planes de Manejo de Microcuencas (PMM) en ejecución con seguimiento.</t>
  </si>
  <si>
    <t>Porcentaje de planes de Manejo Ambiental con seguimiento</t>
  </si>
  <si>
    <t>Porcentaje de municipios con seguimiento al cumplimiento de los asuntos ambientales concertados en los POT adoptados</t>
  </si>
  <si>
    <t>Porcentaje de mapas temáticos elaborados</t>
  </si>
  <si>
    <t>Porcentaje de delimitación y zonificación de humedales.</t>
  </si>
  <si>
    <t>Proyecto No 1.2. Gestión del Riesgo y adaptación al Cambio Climático (2)</t>
  </si>
  <si>
    <t>Porcentaje de Redes y estaciones de monitoreo en operación</t>
  </si>
  <si>
    <t>Porcentaje de ejecución de acciones en mitigación de GEI y/o adaptación al cambio climático.</t>
  </si>
  <si>
    <t>Ejecución de acciones para el fortalecimiento del Nodo Regional de Cambio Climático Caribe e Insular</t>
  </si>
  <si>
    <t># de Acciones</t>
  </si>
  <si>
    <t>Porcentaje de ejecución de acciones en conocimiento y reducción del riesgo y manejo de desastres naturales</t>
  </si>
  <si>
    <t>Fortalecimiento institucional y gobernanza, para optimizar el desempeño del SINA, la educación e investigación y la generación de información y conocimiento ambiental.</t>
  </si>
  <si>
    <t>Producción y democratización del conocimiento como apoyo a la gestión ambiental territorial</t>
  </si>
  <si>
    <t>Proyecto No 1.3. Gestión del conocimiento y Cooperación Internacional (3)</t>
  </si>
  <si>
    <t>Numero de actualización del software de Banco de Programas y Proyectos</t>
  </si>
  <si>
    <t>#</t>
  </si>
  <si>
    <t>Porcentaje de proyectos con seguimiento y evaluación.</t>
  </si>
  <si>
    <t>Número de proyectos formulados y gestionados</t>
  </si>
  <si>
    <t>Funcionarios públicos, representantes de comunidades, organizaciones y minorías étnicas capacitadas.</t>
  </si>
  <si>
    <t xml:space="preserve"> Gestión integral de los recursos naturales y el ambiente  para el desarrollo sostenible de La Guajira  </t>
  </si>
  <si>
    <t>Programa No 2. Gestión Integral del Recurso Hídrico</t>
  </si>
  <si>
    <t>Proyecto 2.1. Administración de la oferta y demanda del recurso hídrico. (Superficiales y subterráneas) (4).</t>
  </si>
  <si>
    <t xml:space="preserve">Porcentaje de avance en la formulación y/o ajuste de Planes de Manejo de Acuíferos (PMA) </t>
  </si>
  <si>
    <t>Porcentaje de Cuerpos de agua con reglamentación del uso de las aguas</t>
  </si>
  <si>
    <t>Porcentaje de Planes de Manejo de Acuíferos (PMA) en ejecucion</t>
  </si>
  <si>
    <t>Número de población de comunidades indígenas y negras beneficiadas con obras de infraestructura para captación y/o almacenamiento de agua.</t>
  </si>
  <si>
    <t>Cuerpos de agua con revisión de reglamentación del uso de las aguas.</t>
  </si>
  <si>
    <t>Líneas de cauce con obras de control de inundaciones, erosión, caudales, escorrentía, rectificación y manejo de cauces, regulación de cauces y demás obras para mitigar los  riesgos asociados a la oferta y disponibilidad de agua.</t>
  </si>
  <si>
    <t>Kms</t>
  </si>
  <si>
    <t>Número de estudio Regional del agua desarrollado.</t>
  </si>
  <si>
    <t>Proyecto 2.2.  Monitoreo de la calidad del recurso hídrico (5).</t>
  </si>
  <si>
    <t>Número de fuentes puntuales de vertimiento de aguas residuales (domésticas y de los sectores productivos) con cobro de la tasa retributiva.</t>
  </si>
  <si>
    <t>Número de fuentes abastecedoras de acueductos de centros poblados con monitoreo de calidad del agua para generar indice de calidad.</t>
  </si>
  <si>
    <t xml:space="preserve">Número de corrientes o tramos de las mismas con objetivos de calidad monitoreados </t>
  </si>
  <si>
    <t>Número de estaciones de muestreo de calidad de aguas marinas y costeras con monitoreo de la calidad del agua</t>
  </si>
  <si>
    <t>Número de vertimientos puntuales al recurso hídrico con monitoreo en términos de DBO y SST</t>
  </si>
  <si>
    <t>Número de pozos de agua subterránea de la red regional con monitoreo de calidad</t>
  </si>
  <si>
    <t>Número de parámetros acreditados en el laboratorio Ambiental ante el IDEAM</t>
  </si>
  <si>
    <t>Conservar el flujo de servicios ecosistémicos a través de la protección de los ecosistemas de la región para beneficio de la población</t>
  </si>
  <si>
    <t>Recuperar y Mantener los Ecosistemas Estrategicos</t>
  </si>
  <si>
    <t>Programa No 3. Bosques, Biodiversidad y Servicios Ecosistemicos.</t>
  </si>
  <si>
    <t>Proyecto No 3.1. Ecosistemas estratégicos continentales y marinos (6).</t>
  </si>
  <si>
    <t>Porcentaje de la Superficie de áreas protegidas regionales declaradas, homologadas o recategorizadas e inscritas en el RUNAP</t>
  </si>
  <si>
    <t>Porcentaje de Áreas protegidas con planes de manejo en ejecución</t>
  </si>
  <si>
    <t>Porcentaje de Áreas de ecosistemas en restauración, rehabilitación y reforestación de Ecosistemas.</t>
  </si>
  <si>
    <t xml:space="preserve">Diseño e implementación de estrategia de conservación de los suelos. </t>
  </si>
  <si>
    <t>Kilómetros lineales de costa intervenidos con medidas de mitigación contra la erosión costera</t>
  </si>
  <si>
    <t>Número de proyectos para mitigar efectos de la erosión costera formulados.</t>
  </si>
  <si>
    <t>Protección Ambiental y Planificación del Desarrollo Sostenible</t>
  </si>
  <si>
    <t xml:space="preserve">Gestión integral de los recursos naturales y el ambiente  para el desarrollo sostenible de La Guajira  </t>
  </si>
  <si>
    <t>Proyecto No 3.2. Protección y conservación de la biodiversidad (7).</t>
  </si>
  <si>
    <t>Porcentaje de avance en la formulación del Plan General de Ordenación Forestal.</t>
  </si>
  <si>
    <t>Porcentaje de Especies amenazadas con medidas de conservación y manejo en ejecución.</t>
  </si>
  <si>
    <t>Porcentaje de Especies invasoras con medidas de prevención, control y manejo en ejecución.</t>
  </si>
  <si>
    <t>Porcentaje de avance de ejecución del Plan General de Ordenación Forestal adoptado.</t>
  </si>
  <si>
    <t>Número de investigaciones realizadas de especies promisorias (flora y fauna silvestre).</t>
  </si>
  <si>
    <t>Número de programas de uso y manejo sostenible de especies promisorias Implementados.</t>
  </si>
  <si>
    <t>Proyecto No 3.3. Negocios verdes y sostenibles (8).</t>
  </si>
  <si>
    <t>Programa No 4. Gestion Ambiental Sectorial y Urbana.</t>
  </si>
  <si>
    <t>Proyecto No 4.1. Gestión Ambiental Urbana (9).</t>
  </si>
  <si>
    <t>Ejecución de acciones en Gestión Ambiental Urbana</t>
  </si>
  <si>
    <t>Proyecto No 4.2. Gestión Ambiental Sectorial (10)</t>
  </si>
  <si>
    <t>Participación para el desarrollo y divulgación de una cultura ambiental más amigable con nuestro entorno</t>
  </si>
  <si>
    <t>Programa No. 5. Educacion Ambiental</t>
  </si>
  <si>
    <t>Proyecto No 5.1. Cultura Ambiental (11)</t>
  </si>
  <si>
    <t>Proyecto No. 5.2. Participación Comunitaria (12).</t>
  </si>
  <si>
    <t>Programa No 6. Calidad Ambiental</t>
  </si>
  <si>
    <t>Administración, Control y Vigilancia del ambiente, sus recursos naturales renovables y ecosistemas estratégicos.</t>
  </si>
  <si>
    <t>Proyecto No. 6.1.  (13). Evaluación, Seguimiento, Monitoreo y Control de la calidad de los recursos naturales y la biodiversidad.</t>
  </si>
  <si>
    <t>Porcentaje de Autorizaciones ambientales con seguimiento</t>
  </si>
  <si>
    <t>Tiempo Promedio de trámites para la resolución de autorizaciones ambientales otorgadas por la corporación</t>
  </si>
  <si>
    <t># de Dias</t>
  </si>
  <si>
    <t>Porcentaje de procesos sancionatorios resueltos</t>
  </si>
  <si>
    <t>Número de operativos de control al tráfico ilegal de flora y fauna realizados.</t>
  </si>
  <si>
    <t>Proyecto No 6.2. Calidad del Aire (14).</t>
  </si>
  <si>
    <t>Numero de campañas que fortalecen el SVCA, mediante el control de emisiones de fuentes móviles realizados</t>
  </si>
  <si>
    <t xml:space="preserve">Porcentaje de vehículos revisados por la autoridad ambiental </t>
  </si>
  <si>
    <t>Registro de la calidad del aire en centros poblados mayores de 100000 habitantes, y corredores industriales determinado en redes de monitoreo con equipos PM10</t>
  </si>
  <si>
    <t>µg/m3</t>
  </si>
  <si>
    <t xml:space="preserve">Registro de la calidad del aire en centros poblados mayores de 100000 habitantes, y corredores industriales determinado en redes de monitoreo con equipos PST </t>
  </si>
  <si>
    <t>Número de estaciones  reportadas al  SISAIRE</t>
  </si>
  <si>
    <t>Identificacion Presupuestal</t>
  </si>
  <si>
    <t>Nivel Rentístico</t>
  </si>
  <si>
    <t>Recaudado</t>
  </si>
  <si>
    <t>1800-0103</t>
  </si>
  <si>
    <t>1800-010301</t>
  </si>
  <si>
    <t>1800-01030101</t>
  </si>
  <si>
    <t>Participación Ambiental Municipios</t>
  </si>
  <si>
    <t>1800-010301010101-07</t>
  </si>
  <si>
    <t>Sobretasa o Porcentaje Ambiental</t>
  </si>
  <si>
    <t>1800-01030102</t>
  </si>
  <si>
    <t xml:space="preserve">Otros por Venta de Bienes y Servicios </t>
  </si>
  <si>
    <t>1800-010301020102-02</t>
  </si>
  <si>
    <t>1800-0103010206010445-04</t>
  </si>
  <si>
    <t>Convenios con Otras Entidades</t>
  </si>
  <si>
    <t>1800-0103010201</t>
  </si>
  <si>
    <t>1800-010301020101-05</t>
  </si>
  <si>
    <t>Tasa Retributiva y Compensatoria</t>
  </si>
  <si>
    <t>1800-010301020102-11</t>
  </si>
  <si>
    <t>1800-010301020103-12</t>
  </si>
  <si>
    <t>Movilización Material Vegetal</t>
  </si>
  <si>
    <t>1800-010301020104-12</t>
  </si>
  <si>
    <t>1800-010301020105-12</t>
  </si>
  <si>
    <t xml:space="preserve">Tasa Aprovechamiento Forestal </t>
  </si>
  <si>
    <t>Movilización Ilegal de Madera</t>
  </si>
  <si>
    <t>1800-010301020202</t>
  </si>
  <si>
    <t xml:space="preserve">Multas </t>
  </si>
  <si>
    <t>1800-010301020201-12</t>
  </si>
  <si>
    <t>Multas y sanciones por infracciones ambientales</t>
  </si>
  <si>
    <t>1800-0103010208</t>
  </si>
  <si>
    <t>1800-010301020805-02</t>
  </si>
  <si>
    <t>Seguimiento a licencias, permisos y trámites</t>
  </si>
  <si>
    <t>1800-010301020810-30</t>
  </si>
  <si>
    <t xml:space="preserve">Recuperacion Incapacidad y Licencia de Maternidad </t>
  </si>
  <si>
    <t>1800-01030102080-12</t>
  </si>
  <si>
    <t>1800-010302</t>
  </si>
  <si>
    <t>1800-01030203</t>
  </si>
  <si>
    <t>1800-01030205</t>
  </si>
  <si>
    <t xml:space="preserve">Recurperacion de Cartera </t>
  </si>
  <si>
    <t>1800-0104</t>
  </si>
  <si>
    <t>Aportes de La Nacion</t>
  </si>
  <si>
    <t>1800-01040000 10</t>
  </si>
  <si>
    <t>FCA Funcionamiento</t>
  </si>
  <si>
    <t>Inversión. FCA</t>
  </si>
  <si>
    <t>Inversion FONAM</t>
  </si>
  <si>
    <t>Total Ingresos Vigencia</t>
  </si>
  <si>
    <t>ANEXO 5-2</t>
  </si>
  <si>
    <t xml:space="preserve">INFORME DE EJECUCION PRESUPUESTAL DE GASTOS </t>
  </si>
  <si>
    <t>CORPORACION AUTONOMA REGIONAL DE LA GUAJIRA</t>
  </si>
  <si>
    <t>TOTAL RECURSOS 
(PROPIOS -NACION-SGR)
$</t>
  </si>
  <si>
    <t>PRESUPUESTADO</t>
  </si>
  <si>
    <t>COMPROMETIDO</t>
  </si>
  <si>
    <t>Adquisición de Bienes y servicios</t>
  </si>
  <si>
    <t>Indemnizaciones</t>
  </si>
  <si>
    <t>Programa 1. Ordenamiento Ambiental Territorial</t>
  </si>
  <si>
    <t>Proyecto 1.1. Planificación, Ordenamiento e Información Ambiental Territorial</t>
  </si>
  <si>
    <t>Proyecto 1.2. Gestión del Riesgo y adaptación al Cambio Climático.</t>
  </si>
  <si>
    <t>Proyecto 1.3. Gestión del conocimiento y Cooperación Internacional.</t>
  </si>
  <si>
    <t>Programa 2. Gestión Integral del Recurso Hídrico</t>
  </si>
  <si>
    <t>Proyecto 2.1.Administración de la oferta y demanda del recurso hídrico. (Superficiales y subterráneas).</t>
  </si>
  <si>
    <t>Proyecto 2.2. .  Monitoreo de la calidad del recurso hídrico.</t>
  </si>
  <si>
    <t>Programa 3. Bosques, Biodiversidad y Servicios Ecosistémicos.</t>
  </si>
  <si>
    <t>Proyecto 3.1. Ecosistemas estratégicos continentales y marinos Costeros</t>
  </si>
  <si>
    <t>Proyecto 3.2. Protección y conservación de la biodiversidad.</t>
  </si>
  <si>
    <t>Proyecto 3.3.Negocios verdes y sostenibles.</t>
  </si>
  <si>
    <t>Progrma 4. Gestión Ambiental Sectorial y Urbana</t>
  </si>
  <si>
    <t>Proyecto 4.1. Gestión Ambiental Urbana</t>
  </si>
  <si>
    <t>Proyecto 4.2. Gestión Ambiental Sectorial</t>
  </si>
  <si>
    <t>Programa 5. Educación Ambiental</t>
  </si>
  <si>
    <t>Proyecto 5.1. Cultura Ambiental</t>
  </si>
  <si>
    <t>Proyecto 5.2.Participación Comunitaria</t>
  </si>
  <si>
    <t>Programa 6. Calidad Ambiental</t>
  </si>
  <si>
    <t>Proyecto 6.1. Monitoreo, evaluación y Seguimiento de la calidad de los recursos naturales y la biodiversidad.</t>
  </si>
  <si>
    <t>Proyecto 4.3. Calidad del aire</t>
  </si>
  <si>
    <t xml:space="preserve">FCA </t>
  </si>
  <si>
    <t>FONAM</t>
  </si>
  <si>
    <t>OTRAS (ASOCARS)</t>
  </si>
  <si>
    <t>PAGOS</t>
  </si>
  <si>
    <t xml:space="preserve">Inversion </t>
  </si>
  <si>
    <t>Presu-Comp</t>
  </si>
  <si>
    <t>Comp-Pago</t>
  </si>
  <si>
    <t>oficinadeplaneacion@corpoguajira.gov.co</t>
  </si>
  <si>
    <t>Oficina Asesora de Planeación</t>
  </si>
  <si>
    <t>Jefe Oficina Asesora de Planeación</t>
  </si>
  <si>
    <t>Yerlis Yanet Caraballo Roble</t>
  </si>
  <si>
    <t>Porcentaje de Planes de Ordenación y Manejo de Cuencas (POMCAS), Planes de Manejo de Acuiferos (PMA) y Planes de Manejo de Microcuencas (PMM) en ejecución</t>
  </si>
  <si>
    <t xml:space="preserve"> ANEXO 1.   MATRIZ DE  SEGUIMIENTO A LA GESTIÓN Y AVANCE EN LAS METAS FÍSICAS Y FINANCIERAS DEL PLAN DE ACCIÓN 2016- 2016.</t>
  </si>
  <si>
    <t>Licencias, permisos y tramites ambientales (evaluación)</t>
  </si>
  <si>
    <t>Meta fisica modificada por Acuerdo # 012 27 04 2017</t>
  </si>
  <si>
    <t>META FINANCIERA                                                                                                  PLAN DE ACCION CUATRIENAL</t>
  </si>
  <si>
    <t>COMPORTAMIENTO META FISICA 
PLAN DE ACCION CUATRIENAL</t>
  </si>
  <si>
    <t>RECURSOS DE LA NACION, FONAM, FCA
$</t>
  </si>
  <si>
    <t>Planes de ordenamiento integrado de unidades ambientales costeras (POMIUAC) ajustados.</t>
  </si>
  <si>
    <t>Ajustado mediante Acuerdo # 031 30 Nov 2017</t>
  </si>
  <si>
    <t>Ajustado mediante Acuerdo # 035 26 Dic 2017</t>
  </si>
  <si>
    <t xml:space="preserve">RECURSOS VIGENCIA 2018. </t>
  </si>
  <si>
    <t>Apropiado Plan de Acción 2016 2019</t>
  </si>
  <si>
    <t>Tasa Retributiva y Compensatoria vigencias anteriores</t>
  </si>
  <si>
    <t>Tasa por Uso del Agua vigencias anteriores</t>
  </si>
  <si>
    <t>1800-0103010202020102-12</t>
  </si>
  <si>
    <t>Multas y sanciones por infracciones ambientales vigencias anteriores</t>
  </si>
  <si>
    <t>Rendimientos Financieros Sector Electrico</t>
  </si>
  <si>
    <t>Rendimientos financieros Movilización, Licencias, Permisos, Multas Monitoreo y Otros</t>
  </si>
  <si>
    <t>Acuerdo # 033 2017.            26 Diciembre de 2017</t>
  </si>
  <si>
    <t>(3)                                      META FISICA ANUAL. 2018         (Según unidad de medida)</t>
  </si>
  <si>
    <t>(11)                          META FINANCIERA ANUAL                              ($)                          2018</t>
  </si>
  <si>
    <t>Rendimientos Finanieros Carbon</t>
  </si>
  <si>
    <t>Rendimientos Financieros Sobretasa Ambiental</t>
  </si>
  <si>
    <t>Rendimientos Financieros Utilización Recurso Hidrico</t>
  </si>
  <si>
    <t>Recaudo</t>
  </si>
  <si>
    <t>Recursos de Capital</t>
  </si>
  <si>
    <t>Apropiación</t>
  </si>
  <si>
    <t>Ingresos Propios</t>
  </si>
  <si>
    <t>Ingresos Corrientes</t>
  </si>
  <si>
    <t>Tasas</t>
  </si>
  <si>
    <t>Aportes de La Nación</t>
  </si>
  <si>
    <t>Total Presupuesto</t>
  </si>
  <si>
    <t>La información solo se acopiará para el segundo semestre de 2018</t>
  </si>
  <si>
    <t>Resoluciones IDEAM 1444 de 2016 y 0202 de 2017</t>
  </si>
  <si>
    <t>30 de junio de 2108</t>
  </si>
  <si>
    <t>VIGENCIA EVALUADA (AÑO): 2018                                                                            PERIODO EVALUADO (SEMESTRE): Enero - Junio</t>
  </si>
  <si>
    <t>Porcentaje Ponderado de avance Fisico %</t>
  </si>
  <si>
    <t>Resolucióm 0051 10 01 2018</t>
  </si>
  <si>
    <t>Resolución 00081 12 01 2018</t>
  </si>
  <si>
    <t>Resolución 00079 12 01 2018</t>
  </si>
  <si>
    <t>Resolución 00552 26 03 2018</t>
  </si>
  <si>
    <t>Acuerdo 033 26 12 2017</t>
  </si>
  <si>
    <t>Resolución 00840 30 04 2018. Ley 873 20 12 2017</t>
  </si>
  <si>
    <t>Ley 873 20 12 2017</t>
  </si>
  <si>
    <t>Porcentaje de Municipios asesorados o asistidos en la inclusión del componente ambiental en los procesos de planificación y ordenamiento territorial, con énfasis en la incorporación de las determinantes ambientales para la revisión y ajuste de los POT</t>
  </si>
  <si>
    <t>30 de Junio de 2018</t>
  </si>
  <si>
    <t>Rendimientos Financieros Tasa Retributiva</t>
  </si>
  <si>
    <t xml:space="preserve">Sin iInformacion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</si>
</sst>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_-;\-* #,##0_-;_-* &quot;-&quot;??_-;_-@_-"/>
    <numFmt numFmtId="165" formatCode="#,##0.0000"/>
    <numFmt numFmtId="166" formatCode="#,##0.00_ ;\-#,##0.00\ "/>
    <numFmt numFmtId="167" formatCode="#,##0.000"/>
    <numFmt numFmtId="168" formatCode="0.0000"/>
    <numFmt numFmtId="169" formatCode="0;[Red]0"/>
    <numFmt numFmtId="170" formatCode="#,##0.0"/>
    <numFmt numFmtId="171" formatCode="_ * #,##0.00_ ;_ * \-#,##0.00_ ;_ * &quot;-&quot;??_ ;_ @_ "/>
    <numFmt numFmtId="172" formatCode="0.0000%"/>
  </numFmts>
  <fonts count="55">
    <font>
      <sz val="11"/>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sz val="10"/>
      <name val="Arial Narrow"/>
      <family val="2"/>
    </font>
    <font>
      <b/>
      <sz val="12"/>
      <name val="Arial Narrow"/>
      <family val="2"/>
    </font>
    <font>
      <sz val="10"/>
      <name val="Arial"/>
      <family val="2"/>
    </font>
    <font>
      <b/>
      <sz val="10"/>
      <name val="Arial Narrow"/>
      <family val="2"/>
    </font>
    <font>
      <b/>
      <sz val="10"/>
      <color indexed="10"/>
      <name val="Arial Narrow"/>
      <family val="2"/>
    </font>
    <font>
      <b/>
      <sz val="11"/>
      <name val="Arial Narrow"/>
      <family val="2"/>
    </font>
    <font>
      <b/>
      <sz val="8"/>
      <name val="Arial Narrow"/>
      <family val="2"/>
    </font>
    <font>
      <sz val="8"/>
      <name val="Arial Narrow"/>
      <family val="2"/>
    </font>
    <font>
      <b/>
      <sz val="9"/>
      <name val="Arial Narrow"/>
      <family val="2"/>
    </font>
    <font>
      <b/>
      <sz val="7"/>
      <name val="Arial Narrow"/>
      <family val="2"/>
    </font>
    <font>
      <sz val="7"/>
      <name val="Arial Narrow"/>
      <family val="2"/>
    </font>
    <font>
      <u/>
      <sz val="7"/>
      <name val="Arial Narrow"/>
      <family val="2"/>
    </font>
    <font>
      <b/>
      <sz val="10"/>
      <name val="Arial"/>
      <family val="2"/>
    </font>
    <font>
      <b/>
      <sz val="8"/>
      <name val="Univers"/>
      <family val="2"/>
    </font>
    <font>
      <sz val="8"/>
      <name val="Univers"/>
      <family val="2"/>
    </font>
    <font>
      <sz val="8"/>
      <name val="Arial"/>
      <family val="2"/>
    </font>
    <font>
      <b/>
      <sz val="9"/>
      <name val="Univers"/>
      <family val="2"/>
    </font>
    <font>
      <b/>
      <sz val="8"/>
      <name val="Arial"/>
      <family val="2"/>
    </font>
    <font>
      <b/>
      <sz val="6"/>
      <name val="Arial"/>
      <family val="2"/>
    </font>
    <font>
      <b/>
      <sz val="14"/>
      <name val="Arial Narrow"/>
      <family val="2"/>
    </font>
    <font>
      <b/>
      <sz val="9"/>
      <name val="Arial"/>
      <family val="2"/>
    </font>
    <font>
      <b/>
      <sz val="8"/>
      <name val="Calibri"/>
      <family val="2"/>
      <scheme val="minor"/>
    </font>
    <font>
      <b/>
      <sz val="12"/>
      <name val="Calibri"/>
      <family val="2"/>
      <scheme val="minor"/>
    </font>
    <font>
      <b/>
      <sz val="10"/>
      <name val="Calibri"/>
      <family val="2"/>
      <scheme val="minor"/>
    </font>
    <font>
      <b/>
      <sz val="12"/>
      <color theme="1"/>
      <name val="Calibri"/>
      <family val="2"/>
      <scheme val="minor"/>
    </font>
    <font>
      <sz val="9"/>
      <name val="Calibri"/>
      <family val="2"/>
      <scheme val="minor"/>
    </font>
    <font>
      <sz val="8"/>
      <color rgb="FFFF0000"/>
      <name val="Arial Narrow"/>
      <family val="2"/>
    </font>
    <font>
      <b/>
      <sz val="8"/>
      <color rgb="FFFF0000"/>
      <name val="Arial Narrow"/>
      <family val="2"/>
    </font>
    <font>
      <sz val="7"/>
      <color rgb="FFFF0000"/>
      <name val="Calibri"/>
      <family val="2"/>
      <scheme val="minor"/>
    </font>
    <font>
      <strike/>
      <sz val="8"/>
      <name val="Arial Narrow"/>
      <family val="2"/>
    </font>
    <font>
      <b/>
      <sz val="8"/>
      <color theme="3" tint="0.39997558519241921"/>
      <name val="Arial Narrow"/>
      <family val="2"/>
    </font>
    <font>
      <sz val="6"/>
      <name val="Arial Narrow"/>
      <family val="2"/>
    </font>
    <font>
      <sz val="6"/>
      <name val="Calibri"/>
      <family val="2"/>
      <scheme val="minor"/>
    </font>
    <font>
      <b/>
      <sz val="11"/>
      <name val="Calibri"/>
      <family val="2"/>
      <scheme val="minor"/>
    </font>
    <font>
      <b/>
      <sz val="9"/>
      <name val="Calibri"/>
      <family val="2"/>
      <scheme val="minor"/>
    </font>
    <font>
      <b/>
      <sz val="8"/>
      <color theme="1"/>
      <name val="Arial Narrow"/>
      <family val="2"/>
    </font>
    <font>
      <sz val="7"/>
      <name val="Calibri"/>
      <family val="2"/>
      <scheme val="minor"/>
    </font>
    <font>
      <b/>
      <sz val="8"/>
      <color indexed="10"/>
      <name val="Arial Narrow"/>
      <family val="2"/>
    </font>
    <font>
      <b/>
      <sz val="7"/>
      <name val="Univers"/>
    </font>
    <font>
      <b/>
      <sz val="7"/>
      <name val="Univers"/>
      <family val="2"/>
    </font>
    <font>
      <sz val="7"/>
      <name val="Arial"/>
      <family val="2"/>
    </font>
    <font>
      <sz val="7"/>
      <name val="Univers"/>
      <family val="2"/>
    </font>
    <font>
      <b/>
      <sz val="8"/>
      <name val="Univers"/>
    </font>
    <font>
      <sz val="9"/>
      <name val="Univers"/>
    </font>
    <font>
      <sz val="8"/>
      <name val="Univers"/>
    </font>
    <font>
      <sz val="9"/>
      <name val="Arial"/>
      <family val="2"/>
    </font>
    <font>
      <sz val="8"/>
      <name val="Calibri"/>
      <family val="2"/>
      <scheme val="minor"/>
    </font>
    <font>
      <sz val="8"/>
      <color theme="1"/>
      <name val="Arial"/>
      <family val="2"/>
    </font>
    <font>
      <b/>
      <sz val="9"/>
      <name val="Univers"/>
    </font>
    <font>
      <sz val="8"/>
      <color theme="1"/>
      <name val="Univers"/>
    </font>
    <font>
      <sz val="10"/>
      <name val="Univers"/>
    </font>
  </fonts>
  <fills count="2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CCFFCC"/>
        <bgColor indexed="64"/>
      </patternFill>
    </fill>
    <fill>
      <patternFill patternType="solid">
        <fgColor rgb="FF00B0F0"/>
        <bgColor indexed="64"/>
      </patternFill>
    </fill>
    <fill>
      <patternFill patternType="solid">
        <fgColor rgb="FFC4C4C4"/>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99FFCC"/>
        <bgColor indexed="64"/>
      </patternFill>
    </fill>
    <fill>
      <patternFill patternType="solid">
        <fgColor rgb="FFD4D2D2"/>
        <bgColor indexed="64"/>
      </patternFill>
    </fill>
    <fill>
      <patternFill patternType="solid">
        <fgColor rgb="FFFFFFFF"/>
        <bgColor indexed="64"/>
      </patternFill>
    </fill>
    <fill>
      <patternFill patternType="solid">
        <fgColor rgb="FF66FFCC"/>
        <bgColor indexed="64"/>
      </patternFill>
    </fill>
  </fills>
  <borders count="7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8"/>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6" fillId="0" borderId="0"/>
    <xf numFmtId="0" fontId="6" fillId="0" borderId="0"/>
  </cellStyleXfs>
  <cellXfs count="705">
    <xf numFmtId="0" fontId="0" fillId="0" borderId="0" xfId="0"/>
    <xf numFmtId="0" fontId="0" fillId="0" borderId="13" xfId="0" applyBorder="1"/>
    <xf numFmtId="0" fontId="0" fillId="0" borderId="0" xfId="0"/>
    <xf numFmtId="0" fontId="4" fillId="0" borderId="0" xfId="0" applyFont="1" applyFill="1" applyAlignment="1">
      <alignment vertical="center" wrapText="1"/>
    </xf>
    <xf numFmtId="0" fontId="4" fillId="0" borderId="0" xfId="0" applyFont="1" applyBorder="1" applyAlignment="1">
      <alignment vertical="center"/>
    </xf>
    <xf numFmtId="0" fontId="4" fillId="5" borderId="0" xfId="4" applyFont="1" applyFill="1" applyAlignment="1">
      <alignment vertical="center" wrapText="1"/>
    </xf>
    <xf numFmtId="0" fontId="4" fillId="0" borderId="0" xfId="4" applyFont="1" applyFill="1" applyAlignment="1">
      <alignment vertical="center" wrapText="1"/>
    </xf>
    <xf numFmtId="0" fontId="6" fillId="0" borderId="0" xfId="4" applyAlignment="1">
      <alignment vertical="center"/>
    </xf>
    <xf numFmtId="0" fontId="13" fillId="7" borderId="1" xfId="4" applyFont="1" applyFill="1" applyBorder="1" applyAlignment="1">
      <alignment horizontal="center" vertical="center" wrapText="1"/>
    </xf>
    <xf numFmtId="0" fontId="13" fillId="0" borderId="41" xfId="4" applyFont="1" applyBorder="1" applyAlignment="1">
      <alignment vertical="center" wrapText="1"/>
    </xf>
    <xf numFmtId="0" fontId="14" fillId="0" borderId="41" xfId="4" applyFont="1" applyBorder="1" applyAlignment="1">
      <alignment horizontal="justify" vertical="center" wrapText="1"/>
    </xf>
    <xf numFmtId="0" fontId="13" fillId="0" borderId="46" xfId="4" applyFont="1" applyBorder="1" applyAlignment="1">
      <alignment vertical="center" wrapText="1"/>
    </xf>
    <xf numFmtId="0" fontId="14" fillId="0" borderId="46" xfId="4" applyFont="1" applyBorder="1" applyAlignment="1">
      <alignment horizontal="justify" vertical="center" wrapText="1"/>
    </xf>
    <xf numFmtId="0" fontId="6" fillId="5" borderId="0" xfId="4" applyFill="1"/>
    <xf numFmtId="0" fontId="6" fillId="0" borderId="0" xfId="4"/>
    <xf numFmtId="0" fontId="16" fillId="5" borderId="0" xfId="4" applyFont="1" applyFill="1" applyBorder="1" applyAlignment="1">
      <alignment horizontal="center" vertical="center"/>
    </xf>
    <xf numFmtId="0" fontId="0" fillId="0" borderId="0" xfId="0" applyAlignment="1">
      <alignment vertical="center"/>
    </xf>
    <xf numFmtId="0" fontId="3" fillId="0" borderId="28" xfId="0" applyFont="1" applyBorder="1" applyAlignment="1">
      <alignment vertical="center"/>
    </xf>
    <xf numFmtId="0" fontId="0" fillId="0" borderId="30" xfId="0" applyBorder="1" applyAlignment="1">
      <alignment vertical="center"/>
    </xf>
    <xf numFmtId="0" fontId="3" fillId="0" borderId="31" xfId="0" applyFont="1" applyBorder="1" applyAlignment="1">
      <alignment vertical="center"/>
    </xf>
    <xf numFmtId="0" fontId="0" fillId="0" borderId="32" xfId="0" applyBorder="1" applyAlignment="1">
      <alignment vertical="center"/>
    </xf>
    <xf numFmtId="0" fontId="3" fillId="0" borderId="35" xfId="0" applyFont="1" applyBorder="1" applyAlignment="1">
      <alignment vertical="center"/>
    </xf>
    <xf numFmtId="0" fontId="0" fillId="0" borderId="36" xfId="0" applyBorder="1" applyAlignment="1">
      <alignment vertical="center"/>
    </xf>
    <xf numFmtId="0" fontId="4" fillId="5" borderId="14" xfId="0" applyFont="1" applyFill="1" applyBorder="1" applyAlignment="1">
      <alignment vertical="center" wrapText="1"/>
    </xf>
    <xf numFmtId="0" fontId="4" fillId="5" borderId="15" xfId="0" applyFont="1" applyFill="1" applyBorder="1" applyAlignment="1">
      <alignment vertical="center" wrapText="1"/>
    </xf>
    <xf numFmtId="0" fontId="4" fillId="5" borderId="7" xfId="0" applyFont="1" applyFill="1" applyBorder="1" applyAlignment="1">
      <alignment vertical="center" wrapText="1"/>
    </xf>
    <xf numFmtId="0" fontId="10" fillId="9" borderId="4" xfId="0" applyFont="1" applyFill="1" applyBorder="1" applyAlignment="1">
      <alignment horizontal="center" vertical="top" wrapText="1"/>
    </xf>
    <xf numFmtId="0" fontId="10" fillId="9" borderId="1" xfId="0" applyFont="1" applyFill="1" applyBorder="1" applyAlignment="1">
      <alignment horizontal="center" vertical="top" wrapText="1"/>
    </xf>
    <xf numFmtId="0" fontId="10" fillId="16" borderId="1" xfId="0" applyFont="1" applyFill="1" applyBorder="1" applyAlignment="1">
      <alignment horizontal="center" vertical="top" wrapText="1"/>
    </xf>
    <xf numFmtId="0" fontId="10" fillId="10" borderId="1" xfId="0" applyFont="1" applyFill="1" applyBorder="1" applyAlignment="1">
      <alignment horizontal="center" vertical="top" wrapText="1"/>
    </xf>
    <xf numFmtId="0" fontId="10" fillId="10" borderId="2" xfId="0" applyFont="1" applyFill="1" applyBorder="1" applyAlignment="1">
      <alignment horizontal="center" vertical="top" wrapText="1"/>
    </xf>
    <xf numFmtId="0" fontId="10" fillId="12" borderId="1" xfId="0" applyFont="1" applyFill="1" applyBorder="1" applyAlignment="1">
      <alignment horizontal="center" vertical="top" wrapText="1"/>
    </xf>
    <xf numFmtId="9" fontId="10" fillId="9" borderId="12" xfId="0" applyNumberFormat="1" applyFont="1" applyFill="1" applyBorder="1" applyAlignment="1">
      <alignment horizontal="center" vertical="center" wrapText="1"/>
    </xf>
    <xf numFmtId="10" fontId="10" fillId="9" borderId="3" xfId="0" applyNumberFormat="1" applyFont="1" applyFill="1" applyBorder="1" applyAlignment="1">
      <alignment horizontal="center" vertical="center" wrapText="1"/>
    </xf>
    <xf numFmtId="10" fontId="10" fillId="9" borderId="12" xfId="0" applyNumberFormat="1" applyFont="1" applyFill="1" applyBorder="1" applyAlignment="1">
      <alignment horizontal="center" vertical="center" wrapText="1"/>
    </xf>
    <xf numFmtId="9" fontId="10" fillId="17" borderId="3" xfId="0" applyNumberFormat="1" applyFont="1" applyFill="1" applyBorder="1" applyAlignment="1">
      <alignment horizontal="center" vertical="center" wrapText="1"/>
    </xf>
    <xf numFmtId="9" fontId="10" fillId="0" borderId="3" xfId="2" applyFont="1" applyFill="1" applyBorder="1" applyAlignment="1">
      <alignment horizontal="center" vertical="center" wrapText="1"/>
    </xf>
    <xf numFmtId="9" fontId="10" fillId="9" borderId="11" xfId="0" applyNumberFormat="1" applyFont="1" applyFill="1" applyBorder="1" applyAlignment="1">
      <alignment horizontal="center" vertical="center" wrapText="1"/>
    </xf>
    <xf numFmtId="0" fontId="10" fillId="9" borderId="12" xfId="0" applyFont="1" applyFill="1" applyBorder="1" applyAlignment="1">
      <alignment vertical="center" wrapText="1"/>
    </xf>
    <xf numFmtId="0" fontId="10" fillId="9" borderId="11" xfId="0" applyFont="1" applyFill="1" applyBorder="1" applyAlignment="1">
      <alignment vertical="center" wrapText="1"/>
    </xf>
    <xf numFmtId="0" fontId="10" fillId="10" borderId="11" xfId="0" applyFont="1" applyFill="1" applyBorder="1" applyAlignment="1">
      <alignment vertical="center" wrapText="1"/>
    </xf>
    <xf numFmtId="165" fontId="11" fillId="10" borderId="11" xfId="0" applyNumberFormat="1" applyFont="1" applyFill="1" applyBorder="1" applyAlignment="1">
      <alignment horizontal="center" vertical="center" wrapText="1"/>
    </xf>
    <xf numFmtId="3" fontId="11" fillId="9" borderId="27" xfId="0" applyNumberFormat="1" applyFont="1" applyFill="1" applyBorder="1" applyAlignment="1">
      <alignment horizontal="center" vertical="center" wrapText="1"/>
    </xf>
    <xf numFmtId="9" fontId="11" fillId="9" borderId="27" xfId="2" applyFont="1" applyFill="1" applyBorder="1" applyAlignment="1">
      <alignment horizontal="center" vertical="center" wrapText="1"/>
    </xf>
    <xf numFmtId="9" fontId="11" fillId="16" borderId="27" xfId="2" applyFont="1" applyFill="1" applyBorder="1" applyAlignment="1">
      <alignment horizontal="center" vertical="center" wrapText="1"/>
    </xf>
    <xf numFmtId="9" fontId="11" fillId="17" borderId="27" xfId="0" applyNumberFormat="1" applyFont="1" applyFill="1" applyBorder="1" applyAlignment="1">
      <alignment horizontal="center" vertical="center" wrapText="1"/>
    </xf>
    <xf numFmtId="3" fontId="11" fillId="10" borderId="27" xfId="0" applyNumberFormat="1" applyFont="1" applyFill="1" applyBorder="1" applyAlignment="1">
      <alignment horizontal="center" vertical="center" wrapText="1"/>
    </xf>
    <xf numFmtId="9" fontId="11" fillId="10" borderId="27" xfId="0" applyNumberFormat="1" applyFont="1" applyFill="1" applyBorder="1" applyAlignment="1">
      <alignment horizontal="center" vertical="center" wrapText="1"/>
    </xf>
    <xf numFmtId="3" fontId="31" fillId="0" borderId="27" xfId="0" applyNumberFormat="1" applyFont="1" applyFill="1" applyBorder="1" applyAlignment="1">
      <alignment vertical="center" wrapText="1"/>
    </xf>
    <xf numFmtId="3" fontId="32" fillId="0" borderId="59" xfId="0" applyNumberFormat="1" applyFont="1" applyFill="1" applyBorder="1" applyAlignment="1">
      <alignment vertical="center" wrapText="1"/>
    </xf>
    <xf numFmtId="3" fontId="11" fillId="9" borderId="16" xfId="0" applyNumberFormat="1" applyFont="1" applyFill="1" applyBorder="1" applyAlignment="1">
      <alignment horizontal="center" vertical="center" wrapText="1"/>
    </xf>
    <xf numFmtId="9" fontId="11" fillId="9" borderId="16" xfId="2" applyFont="1" applyFill="1" applyBorder="1" applyAlignment="1">
      <alignment horizontal="center" vertical="center" wrapText="1"/>
    </xf>
    <xf numFmtId="9" fontId="11" fillId="16" borderId="16" xfId="2" applyFont="1" applyFill="1" applyBorder="1" applyAlignment="1">
      <alignment horizontal="center" vertical="center" wrapText="1"/>
    </xf>
    <xf numFmtId="9" fontId="11" fillId="9" borderId="16" xfId="0" applyNumberFormat="1" applyFont="1" applyFill="1" applyBorder="1" applyAlignment="1">
      <alignment horizontal="center" vertical="center" wrapText="1"/>
    </xf>
    <xf numFmtId="1" fontId="11" fillId="10" borderId="16" xfId="2" applyNumberFormat="1" applyFont="1" applyFill="1" applyBorder="1" applyAlignment="1">
      <alignment horizontal="center" vertical="center" wrapText="1"/>
    </xf>
    <xf numFmtId="3" fontId="11" fillId="10" borderId="16" xfId="0" applyNumberFormat="1" applyFont="1" applyFill="1" applyBorder="1" applyAlignment="1">
      <alignment horizontal="center" vertical="center" wrapText="1"/>
    </xf>
    <xf numFmtId="9" fontId="11" fillId="10" borderId="16" xfId="0" applyNumberFormat="1" applyFont="1" applyFill="1" applyBorder="1" applyAlignment="1">
      <alignment horizontal="center" vertical="center" wrapText="1"/>
    </xf>
    <xf numFmtId="3" fontId="31" fillId="0" borderId="16" xfId="0" applyNumberFormat="1" applyFont="1" applyFill="1" applyBorder="1" applyAlignment="1">
      <alignment vertical="center" wrapText="1"/>
    </xf>
    <xf numFmtId="3" fontId="31" fillId="0" borderId="42" xfId="0" applyNumberFormat="1" applyFont="1" applyFill="1" applyBorder="1" applyAlignment="1">
      <alignment vertical="center" wrapText="1"/>
    </xf>
    <xf numFmtId="9" fontId="11" fillId="10" borderId="16" xfId="2" applyFont="1" applyFill="1" applyBorder="1" applyAlignment="1">
      <alignment horizontal="center" vertical="center" wrapText="1"/>
    </xf>
    <xf numFmtId="9" fontId="33" fillId="9" borderId="16" xfId="0" applyNumberFormat="1" applyFont="1" applyFill="1" applyBorder="1" applyAlignment="1">
      <alignment horizontal="center" vertical="center" wrapText="1"/>
    </xf>
    <xf numFmtId="3" fontId="10" fillId="0" borderId="16" xfId="0" applyNumberFormat="1" applyFont="1" applyFill="1" applyBorder="1" applyAlignment="1">
      <alignment vertical="center" wrapText="1"/>
    </xf>
    <xf numFmtId="3" fontId="10" fillId="0" borderId="42" xfId="0" applyNumberFormat="1" applyFont="1" applyFill="1" applyBorder="1" applyAlignment="1">
      <alignment vertical="center" wrapText="1"/>
    </xf>
    <xf numFmtId="0" fontId="29" fillId="18" borderId="17" xfId="0" applyFont="1" applyFill="1" applyBorder="1" applyAlignment="1">
      <alignment horizontal="justify" vertical="top" wrapText="1"/>
    </xf>
    <xf numFmtId="9" fontId="11" fillId="17" borderId="16" xfId="0" applyNumberFormat="1" applyFont="1" applyFill="1" applyBorder="1" applyAlignment="1">
      <alignment horizontal="center" vertical="center" wrapText="1"/>
    </xf>
    <xf numFmtId="9" fontId="11" fillId="2" borderId="16" xfId="0" applyNumberFormat="1" applyFont="1" applyFill="1" applyBorder="1" applyAlignment="1">
      <alignment horizontal="center" vertical="center" wrapText="1"/>
    </xf>
    <xf numFmtId="0" fontId="29" fillId="18" borderId="20" xfId="0" applyFont="1" applyFill="1" applyBorder="1" applyAlignment="1">
      <alignment horizontal="justify" vertical="center" wrapText="1"/>
    </xf>
    <xf numFmtId="3" fontId="11" fillId="9" borderId="34" xfId="0" applyNumberFormat="1" applyFont="1" applyFill="1" applyBorder="1" applyAlignment="1">
      <alignment horizontal="center" vertical="center" wrapText="1"/>
    </xf>
    <xf numFmtId="9" fontId="11" fillId="9" borderId="34" xfId="2" applyFont="1" applyFill="1" applyBorder="1" applyAlignment="1">
      <alignment horizontal="center" vertical="center" wrapText="1"/>
    </xf>
    <xf numFmtId="9" fontId="11" fillId="16" borderId="34" xfId="2" applyFont="1" applyFill="1" applyBorder="1" applyAlignment="1">
      <alignment horizontal="center" vertical="center" wrapText="1"/>
    </xf>
    <xf numFmtId="9" fontId="11" fillId="9" borderId="34" xfId="0" applyNumberFormat="1" applyFont="1" applyFill="1" applyBorder="1" applyAlignment="1">
      <alignment horizontal="center" vertical="center" wrapText="1"/>
    </xf>
    <xf numFmtId="3" fontId="11" fillId="10" borderId="34" xfId="0" applyNumberFormat="1" applyFont="1" applyFill="1" applyBorder="1" applyAlignment="1">
      <alignment horizontal="center" vertical="center" wrapText="1"/>
    </xf>
    <xf numFmtId="9" fontId="11" fillId="2" borderId="34" xfId="0" applyNumberFormat="1" applyFont="1" applyFill="1" applyBorder="1" applyAlignment="1">
      <alignment horizontal="center" vertical="center" wrapText="1"/>
    </xf>
    <xf numFmtId="3" fontId="10" fillId="0" borderId="34" xfId="0" applyNumberFormat="1" applyFont="1" applyFill="1" applyBorder="1" applyAlignment="1">
      <alignment vertical="center" wrapText="1"/>
    </xf>
    <xf numFmtId="3" fontId="10" fillId="0" borderId="44" xfId="0" applyNumberFormat="1" applyFont="1" applyFill="1" applyBorder="1" applyAlignment="1">
      <alignment vertical="center" wrapText="1"/>
    </xf>
    <xf numFmtId="10" fontId="10" fillId="9" borderId="15" xfId="0" applyNumberFormat="1" applyFont="1" applyFill="1" applyBorder="1" applyAlignment="1">
      <alignment horizontal="center" vertical="center" wrapText="1"/>
    </xf>
    <xf numFmtId="10" fontId="10" fillId="2" borderId="12" xfId="0" applyNumberFormat="1" applyFont="1" applyFill="1" applyBorder="1" applyAlignment="1">
      <alignment horizontal="center" vertical="center" wrapText="1"/>
    </xf>
    <xf numFmtId="10" fontId="10" fillId="2" borderId="15" xfId="0" applyNumberFormat="1" applyFont="1" applyFill="1" applyBorder="1" applyAlignment="1">
      <alignment horizontal="center" vertical="center" wrapText="1"/>
    </xf>
    <xf numFmtId="9" fontId="10" fillId="2" borderId="15" xfId="0" applyNumberFormat="1" applyFont="1" applyFill="1" applyBorder="1" applyAlignment="1">
      <alignment horizontal="center" vertical="center" wrapText="1"/>
    </xf>
    <xf numFmtId="165" fontId="11" fillId="10" borderId="12" xfId="0" applyNumberFormat="1" applyFont="1" applyFill="1" applyBorder="1" applyAlignment="1">
      <alignment horizontal="center" vertical="center" wrapText="1"/>
    </xf>
    <xf numFmtId="9" fontId="11" fillId="10" borderId="27" xfId="2" applyFont="1" applyFill="1" applyBorder="1" applyAlignment="1">
      <alignment horizontal="center" vertical="center" wrapText="1"/>
    </xf>
    <xf numFmtId="9" fontId="11" fillId="2" borderId="27" xfId="0" applyNumberFormat="1" applyFont="1" applyFill="1" applyBorder="1" applyAlignment="1">
      <alignment horizontal="center" vertical="center" wrapText="1"/>
    </xf>
    <xf numFmtId="3" fontId="10" fillId="0" borderId="27" xfId="0" applyNumberFormat="1" applyFont="1" applyFill="1" applyBorder="1" applyAlignment="1">
      <alignment vertical="center" wrapText="1"/>
    </xf>
    <xf numFmtId="3" fontId="10" fillId="0" borderId="59" xfId="0" applyNumberFormat="1" applyFont="1" applyFill="1" applyBorder="1" applyAlignment="1">
      <alignment vertical="center" wrapText="1"/>
    </xf>
    <xf numFmtId="3" fontId="34" fillId="0" borderId="16" xfId="0" applyNumberFormat="1" applyFont="1" applyFill="1" applyBorder="1" applyAlignment="1">
      <alignment vertical="center" wrapText="1"/>
    </xf>
    <xf numFmtId="3" fontId="34" fillId="0" borderId="42" xfId="0" applyNumberFormat="1" applyFont="1" applyFill="1" applyBorder="1" applyAlignment="1">
      <alignment vertical="center" wrapText="1"/>
    </xf>
    <xf numFmtId="0" fontId="29" fillId="18" borderId="17" xfId="5" applyFont="1" applyFill="1" applyBorder="1" applyAlignment="1">
      <alignment horizontal="justify" vertical="top" wrapText="1"/>
    </xf>
    <xf numFmtId="3" fontId="11" fillId="16" borderId="16" xfId="0" applyNumberFormat="1" applyFont="1" applyFill="1" applyBorder="1" applyAlignment="1">
      <alignment horizontal="center" vertical="center" wrapText="1"/>
    </xf>
    <xf numFmtId="0" fontId="29" fillId="18" borderId="20" xfId="5" applyFont="1" applyFill="1" applyBorder="1" applyAlignment="1">
      <alignment horizontal="justify" vertical="top" wrapText="1"/>
    </xf>
    <xf numFmtId="9" fontId="11" fillId="10" borderId="34" xfId="2" applyFont="1" applyFill="1" applyBorder="1" applyAlignment="1">
      <alignment horizontal="center" vertical="center" wrapText="1"/>
    </xf>
    <xf numFmtId="9" fontId="10" fillId="9" borderId="15" xfId="0" applyNumberFormat="1" applyFont="1" applyFill="1" applyBorder="1" applyAlignment="1">
      <alignment horizontal="center" vertical="center" wrapText="1"/>
    </xf>
    <xf numFmtId="9" fontId="10" fillId="2" borderId="12" xfId="0" applyNumberFormat="1" applyFont="1" applyFill="1" applyBorder="1" applyAlignment="1">
      <alignment horizontal="center" vertical="center" wrapText="1"/>
    </xf>
    <xf numFmtId="0" fontId="29" fillId="18" borderId="23" xfId="0" applyFont="1" applyFill="1" applyBorder="1" applyAlignment="1">
      <alignment horizontal="justify" vertical="top" wrapText="1"/>
    </xf>
    <xf numFmtId="0" fontId="11" fillId="17" borderId="27" xfId="0" applyFont="1" applyFill="1" applyBorder="1" applyAlignment="1">
      <alignment horizontal="center" vertical="center" wrapText="1"/>
    </xf>
    <xf numFmtId="0" fontId="11" fillId="16" borderId="27" xfId="0" applyFont="1" applyFill="1" applyBorder="1" applyAlignment="1">
      <alignment horizontal="center" vertical="center" wrapText="1"/>
    </xf>
    <xf numFmtId="9" fontId="11" fillId="9" borderId="27" xfId="0" applyNumberFormat="1" applyFont="1" applyFill="1" applyBorder="1" applyAlignment="1">
      <alignment horizontal="center" vertical="center" wrapText="1"/>
    </xf>
    <xf numFmtId="0" fontId="11" fillId="9" borderId="27" xfId="0" applyFont="1" applyFill="1" applyBorder="1" applyAlignment="1">
      <alignment horizontal="center" vertical="center" wrapText="1"/>
    </xf>
    <xf numFmtId="0" fontId="11" fillId="10" borderId="27" xfId="0" applyFont="1" applyFill="1" applyBorder="1" applyAlignment="1">
      <alignment horizontal="center" vertical="center" wrapText="1"/>
    </xf>
    <xf numFmtId="43" fontId="11" fillId="0" borderId="27" xfId="3" applyFont="1" applyFill="1" applyBorder="1" applyAlignment="1" applyProtection="1">
      <alignment horizontal="center" vertical="center" wrapText="1"/>
      <protection locked="0"/>
    </xf>
    <xf numFmtId="4" fontId="10" fillId="0" borderId="27" xfId="0" applyNumberFormat="1" applyFont="1" applyFill="1" applyBorder="1" applyAlignment="1">
      <alignment horizontal="center" vertical="center" wrapText="1"/>
    </xf>
    <xf numFmtId="4" fontId="11" fillId="0" borderId="27" xfId="0" applyNumberFormat="1" applyFont="1" applyFill="1" applyBorder="1" applyAlignment="1">
      <alignment horizontal="center" vertical="center" wrapText="1"/>
    </xf>
    <xf numFmtId="9" fontId="11" fillId="17" borderId="16" xfId="2" applyFont="1" applyFill="1" applyBorder="1" applyAlignment="1">
      <alignment horizontal="center" vertical="center" wrapText="1"/>
    </xf>
    <xf numFmtId="0" fontId="11" fillId="9" borderId="16" xfId="0" applyFont="1" applyFill="1" applyBorder="1" applyAlignment="1">
      <alignment horizontal="center" vertical="center" wrapText="1"/>
    </xf>
    <xf numFmtId="43" fontId="11" fillId="0" borderId="16" xfId="3" applyFont="1" applyFill="1" applyBorder="1" applyAlignment="1" applyProtection="1">
      <alignment horizontal="center" vertical="center" wrapText="1"/>
      <protection locked="0"/>
    </xf>
    <xf numFmtId="4" fontId="10" fillId="0" borderId="16" xfId="0" applyNumberFormat="1" applyFont="1" applyFill="1" applyBorder="1" applyAlignment="1">
      <alignment horizontal="center" vertical="center" wrapText="1"/>
    </xf>
    <xf numFmtId="4" fontId="11" fillId="0" borderId="16" xfId="0" applyNumberFormat="1" applyFont="1" applyFill="1" applyBorder="1" applyAlignment="1">
      <alignment horizontal="center" vertical="center" wrapText="1"/>
    </xf>
    <xf numFmtId="0" fontId="11" fillId="17" borderId="16" xfId="0" applyFont="1" applyFill="1" applyBorder="1" applyAlignment="1">
      <alignment horizontal="center" vertical="center" wrapText="1"/>
    </xf>
    <xf numFmtId="0" fontId="11" fillId="16" borderId="16" xfId="0" applyFont="1" applyFill="1" applyBorder="1" applyAlignment="1">
      <alignment horizontal="center" vertical="center" wrapText="1"/>
    </xf>
    <xf numFmtId="0" fontId="11" fillId="10" borderId="16" xfId="0" applyFont="1" applyFill="1" applyBorder="1" applyAlignment="1">
      <alignment horizontal="center" vertical="center" wrapText="1"/>
    </xf>
    <xf numFmtId="0" fontId="29" fillId="7" borderId="20" xfId="0" applyFont="1" applyFill="1" applyBorder="1" applyAlignment="1">
      <alignment horizontal="justify" vertical="top" wrapText="1"/>
    </xf>
    <xf numFmtId="0" fontId="11" fillId="17" borderId="34" xfId="0" applyFont="1" applyFill="1" applyBorder="1" applyAlignment="1">
      <alignment horizontal="center" vertical="center" wrapText="1"/>
    </xf>
    <xf numFmtId="0" fontId="11" fillId="16" borderId="34" xfId="0" applyFont="1" applyFill="1" applyBorder="1" applyAlignment="1">
      <alignment horizontal="center" vertical="center" wrapText="1"/>
    </xf>
    <xf numFmtId="0" fontId="11" fillId="9" borderId="34" xfId="0" applyFont="1" applyFill="1" applyBorder="1" applyAlignment="1">
      <alignment horizontal="center" vertical="center" wrapText="1"/>
    </xf>
    <xf numFmtId="0" fontId="11" fillId="10" borderId="34" xfId="0" applyFont="1" applyFill="1" applyBorder="1" applyAlignment="1">
      <alignment horizontal="center" vertical="center" wrapText="1"/>
    </xf>
    <xf numFmtId="43" fontId="11" fillId="0" borderId="34" xfId="3" applyFont="1" applyFill="1" applyBorder="1" applyAlignment="1" applyProtection="1">
      <alignment horizontal="center" vertical="center" wrapText="1"/>
      <protection locked="0"/>
    </xf>
    <xf numFmtId="4" fontId="10" fillId="0" borderId="34" xfId="0" applyNumberFormat="1" applyFont="1" applyFill="1" applyBorder="1" applyAlignment="1">
      <alignment horizontal="center" vertical="center" wrapText="1"/>
    </xf>
    <xf numFmtId="4" fontId="11" fillId="0" borderId="34" xfId="0" applyNumberFormat="1" applyFont="1" applyFill="1" applyBorder="1" applyAlignment="1">
      <alignment horizontal="center" vertical="center" wrapText="1"/>
    </xf>
    <xf numFmtId="0" fontId="10" fillId="0" borderId="34" xfId="0" applyFont="1" applyFill="1" applyBorder="1" applyAlignment="1">
      <alignment vertical="center" wrapText="1"/>
    </xf>
    <xf numFmtId="9" fontId="10" fillId="9" borderId="3" xfId="0" applyNumberFormat="1" applyFont="1" applyFill="1" applyBorder="1" applyAlignment="1">
      <alignment horizontal="center" vertical="center" wrapText="1"/>
    </xf>
    <xf numFmtId="0" fontId="10" fillId="9" borderId="3" xfId="0" applyFont="1" applyFill="1" applyBorder="1" applyAlignment="1">
      <alignment vertical="center" wrapText="1"/>
    </xf>
    <xf numFmtId="0" fontId="10" fillId="17" borderId="12" xfId="0" applyFont="1" applyFill="1" applyBorder="1" applyAlignment="1">
      <alignment vertical="center" wrapText="1"/>
    </xf>
    <xf numFmtId="3" fontId="11" fillId="17" borderId="3" xfId="0" applyNumberFormat="1" applyFont="1" applyFill="1" applyBorder="1" applyAlignment="1">
      <alignment horizontal="center" vertical="center" wrapText="1"/>
    </xf>
    <xf numFmtId="9" fontId="10" fillId="17" borderId="12" xfId="0" applyNumberFormat="1" applyFont="1" applyFill="1" applyBorder="1" applyAlignment="1">
      <alignment horizontal="center" vertical="center" wrapText="1"/>
    </xf>
    <xf numFmtId="165" fontId="10" fillId="17" borderId="3" xfId="0" applyNumberFormat="1" applyFont="1" applyFill="1" applyBorder="1" applyAlignment="1">
      <alignment horizontal="center" vertical="center" wrapText="1"/>
    </xf>
    <xf numFmtId="0" fontId="10" fillId="0" borderId="56" xfId="0" applyFont="1" applyFill="1" applyBorder="1" applyAlignment="1">
      <alignment vertical="center" wrapText="1"/>
    </xf>
    <xf numFmtId="3" fontId="11" fillId="10" borderId="12" xfId="0" applyNumberFormat="1" applyFont="1" applyFill="1" applyBorder="1" applyAlignment="1">
      <alignment horizontal="center" vertical="center" wrapText="1"/>
    </xf>
    <xf numFmtId="9" fontId="10" fillId="10" borderId="11" xfId="0" applyNumberFormat="1" applyFont="1" applyFill="1" applyBorder="1" applyAlignment="1">
      <alignment horizontal="center" vertical="center" wrapText="1"/>
    </xf>
    <xf numFmtId="3" fontId="10" fillId="0" borderId="6" xfId="0" applyNumberFormat="1" applyFont="1" applyFill="1" applyBorder="1" applyAlignment="1">
      <alignment vertical="center" wrapText="1"/>
    </xf>
    <xf numFmtId="9" fontId="11" fillId="9" borderId="16" xfId="2" applyNumberFormat="1" applyFont="1" applyFill="1" applyBorder="1" applyAlignment="1">
      <alignment horizontal="center" vertical="center" wrapText="1"/>
    </xf>
    <xf numFmtId="9" fontId="11" fillId="17" borderId="16" xfId="2" applyNumberFormat="1" applyFont="1" applyFill="1" applyBorder="1" applyAlignment="1">
      <alignment horizontal="center" vertical="center" wrapText="1"/>
    </xf>
    <xf numFmtId="3" fontId="36" fillId="0" borderId="44" xfId="0" applyNumberFormat="1" applyFont="1" applyFill="1" applyBorder="1" applyAlignment="1">
      <alignment vertical="center" wrapText="1"/>
    </xf>
    <xf numFmtId="3" fontId="14" fillId="9" borderId="16" xfId="0" applyNumberFormat="1" applyFont="1" applyFill="1" applyBorder="1" applyAlignment="1">
      <alignment horizontal="center" vertical="center" wrapText="1"/>
    </xf>
    <xf numFmtId="3" fontId="35" fillId="0" borderId="44" xfId="0" applyNumberFormat="1" applyFont="1" applyFill="1" applyBorder="1" applyAlignment="1">
      <alignment horizontal="justify" vertical="top" wrapText="1"/>
    </xf>
    <xf numFmtId="9" fontId="11" fillId="2" borderId="16" xfId="2" applyFont="1" applyFill="1" applyBorder="1" applyAlignment="1">
      <alignment horizontal="center" vertical="center" wrapText="1"/>
    </xf>
    <xf numFmtId="3" fontId="10" fillId="0" borderId="17" xfId="0" applyNumberFormat="1" applyFont="1" applyFill="1" applyBorder="1" applyAlignment="1">
      <alignment vertical="center" wrapText="1"/>
    </xf>
    <xf numFmtId="3" fontId="11" fillId="16" borderId="34" xfId="0" applyNumberFormat="1" applyFont="1" applyFill="1" applyBorder="1" applyAlignment="1">
      <alignment horizontal="center" vertical="center" wrapText="1"/>
    </xf>
    <xf numFmtId="9" fontId="10" fillId="9" borderId="15" xfId="5" applyNumberFormat="1" applyFont="1" applyFill="1" applyBorder="1" applyAlignment="1">
      <alignment horizontal="center" vertical="center" wrapText="1"/>
    </xf>
    <xf numFmtId="10" fontId="10" fillId="9" borderId="12" xfId="5" applyNumberFormat="1" applyFont="1" applyFill="1" applyBorder="1" applyAlignment="1">
      <alignment horizontal="center" vertical="center" wrapText="1"/>
    </xf>
    <xf numFmtId="10" fontId="10" fillId="9" borderId="15" xfId="5" applyNumberFormat="1" applyFont="1" applyFill="1" applyBorder="1" applyAlignment="1">
      <alignment horizontal="center" vertical="center" wrapText="1"/>
    </xf>
    <xf numFmtId="10" fontId="10" fillId="2" borderId="12" xfId="5" applyNumberFormat="1" applyFont="1" applyFill="1" applyBorder="1" applyAlignment="1">
      <alignment horizontal="center" vertical="center" wrapText="1"/>
    </xf>
    <xf numFmtId="10" fontId="10" fillId="2" borderId="15" xfId="5" applyNumberFormat="1" applyFont="1" applyFill="1" applyBorder="1" applyAlignment="1">
      <alignment horizontal="center" vertical="center" wrapText="1"/>
    </xf>
    <xf numFmtId="9" fontId="10" fillId="2" borderId="12" xfId="5" applyNumberFormat="1" applyFont="1" applyFill="1" applyBorder="1" applyAlignment="1">
      <alignment horizontal="center" vertical="center" wrapText="1"/>
    </xf>
    <xf numFmtId="0" fontId="29" fillId="18" borderId="23" xfId="5" applyFont="1" applyFill="1" applyBorder="1" applyAlignment="1">
      <alignment horizontal="justify" vertical="top" wrapText="1"/>
    </xf>
    <xf numFmtId="3" fontId="11" fillId="16" borderId="27" xfId="0" applyNumberFormat="1" applyFont="1" applyFill="1" applyBorder="1" applyAlignment="1">
      <alignment horizontal="center" vertical="center" wrapText="1"/>
    </xf>
    <xf numFmtId="0" fontId="29" fillId="7" borderId="17" xfId="5" applyFont="1" applyFill="1" applyBorder="1" applyAlignment="1">
      <alignment horizontal="justify" vertical="top" wrapText="1"/>
    </xf>
    <xf numFmtId="10" fontId="11" fillId="9" borderId="16" xfId="0" applyNumberFormat="1" applyFont="1" applyFill="1" applyBorder="1" applyAlignment="1">
      <alignment horizontal="center" vertical="center" wrapText="1"/>
    </xf>
    <xf numFmtId="1" fontId="11" fillId="9" borderId="16" xfId="2" applyNumberFormat="1" applyFont="1" applyFill="1" applyBorder="1" applyAlignment="1">
      <alignment horizontal="center" vertical="center" wrapText="1"/>
    </xf>
    <xf numFmtId="1" fontId="11" fillId="16" borderId="16" xfId="2" applyNumberFormat="1" applyFont="1" applyFill="1" applyBorder="1" applyAlignment="1">
      <alignment horizontal="center" vertical="center" wrapText="1"/>
    </xf>
    <xf numFmtId="3" fontId="10" fillId="0" borderId="19" xfId="0" applyNumberFormat="1" applyFont="1" applyFill="1" applyBorder="1" applyAlignment="1">
      <alignment vertical="center" wrapText="1"/>
    </xf>
    <xf numFmtId="3" fontId="31" fillId="0" borderId="34" xfId="0" applyNumberFormat="1" applyFont="1" applyFill="1" applyBorder="1" applyAlignment="1">
      <alignment vertical="center" wrapText="1"/>
    </xf>
    <xf numFmtId="165" fontId="10" fillId="10" borderId="12" xfId="0" applyNumberFormat="1" applyFont="1" applyFill="1" applyBorder="1" applyAlignment="1">
      <alignment horizontal="center" vertical="top" wrapText="1"/>
    </xf>
    <xf numFmtId="4" fontId="10" fillId="0" borderId="12" xfId="0" applyNumberFormat="1" applyFont="1" applyFill="1" applyBorder="1" applyAlignment="1">
      <alignment horizontal="center" vertical="center" wrapText="1"/>
    </xf>
    <xf numFmtId="10" fontId="10" fillId="9" borderId="11" xfId="0" applyNumberFormat="1" applyFont="1" applyFill="1" applyBorder="1" applyAlignment="1">
      <alignment horizontal="center" vertical="center" wrapText="1"/>
    </xf>
    <xf numFmtId="10" fontId="10" fillId="2" borderId="11" xfId="0" applyNumberFormat="1" applyFont="1" applyFill="1" applyBorder="1" applyAlignment="1">
      <alignment horizontal="center" vertical="center" wrapText="1"/>
    </xf>
    <xf numFmtId="167" fontId="11" fillId="10" borderId="11" xfId="0" applyNumberFormat="1" applyFont="1" applyFill="1" applyBorder="1" applyAlignment="1">
      <alignment horizontal="center" vertical="center" wrapText="1"/>
    </xf>
    <xf numFmtId="0" fontId="29" fillId="19" borderId="17" xfId="5" applyFont="1" applyFill="1" applyBorder="1" applyAlignment="1">
      <alignment horizontal="justify" vertical="top" wrapText="1"/>
    </xf>
    <xf numFmtId="0" fontId="29" fillId="19" borderId="20" xfId="5" applyFont="1" applyFill="1" applyBorder="1" applyAlignment="1">
      <alignment horizontal="justify" vertical="top" wrapText="1"/>
    </xf>
    <xf numFmtId="3" fontId="14" fillId="9" borderId="34" xfId="0" applyNumberFormat="1" applyFont="1" applyFill="1" applyBorder="1" applyAlignment="1">
      <alignment horizontal="center" vertical="center" wrapText="1"/>
    </xf>
    <xf numFmtId="0" fontId="21" fillId="0" borderId="56" xfId="0" applyFont="1" applyFill="1" applyBorder="1" applyAlignment="1">
      <alignment vertical="center" textRotation="90" wrapText="1"/>
    </xf>
    <xf numFmtId="1" fontId="11" fillId="9" borderId="34" xfId="2" applyNumberFormat="1" applyFont="1" applyFill="1" applyBorder="1" applyAlignment="1">
      <alignment horizontal="center" vertical="center" wrapText="1"/>
    </xf>
    <xf numFmtId="1" fontId="11" fillId="16" borderId="34" xfId="2" applyNumberFormat="1" applyFont="1" applyFill="1" applyBorder="1" applyAlignment="1">
      <alignment horizontal="center" vertical="center" wrapText="1"/>
    </xf>
    <xf numFmtId="3" fontId="11" fillId="9" borderId="56" xfId="0" applyNumberFormat="1" applyFont="1" applyFill="1" applyBorder="1" applyAlignment="1">
      <alignment horizontal="center" vertical="center" wrapText="1"/>
    </xf>
    <xf numFmtId="9" fontId="11" fillId="9" borderId="56" xfId="2" applyFont="1" applyFill="1" applyBorder="1" applyAlignment="1">
      <alignment horizontal="center" vertical="center" wrapText="1"/>
    </xf>
    <xf numFmtId="9" fontId="11" fillId="16" borderId="56" xfId="2" applyFont="1" applyFill="1" applyBorder="1" applyAlignment="1">
      <alignment horizontal="center" vertical="center" wrapText="1"/>
    </xf>
    <xf numFmtId="9" fontId="11" fillId="10" borderId="56" xfId="2" applyFont="1" applyFill="1" applyBorder="1" applyAlignment="1">
      <alignment horizontal="center" vertical="center" wrapText="1"/>
    </xf>
    <xf numFmtId="9" fontId="11" fillId="10" borderId="56" xfId="0" applyNumberFormat="1" applyFont="1" applyFill="1" applyBorder="1" applyAlignment="1">
      <alignment horizontal="center" vertical="center" wrapText="1"/>
    </xf>
    <xf numFmtId="3" fontId="10" fillId="0" borderId="56" xfId="0" applyNumberFormat="1" applyFont="1" applyFill="1" applyBorder="1" applyAlignment="1">
      <alignment vertical="center" wrapText="1"/>
    </xf>
    <xf numFmtId="165" fontId="10" fillId="10" borderId="12" xfId="0" applyNumberFormat="1" applyFont="1" applyFill="1" applyBorder="1" applyAlignment="1">
      <alignment horizontal="center" vertical="center" wrapText="1"/>
    </xf>
    <xf numFmtId="3" fontId="11" fillId="0" borderId="12" xfId="0" applyNumberFormat="1" applyFont="1" applyFill="1" applyBorder="1" applyAlignment="1">
      <alignment vertical="center" wrapText="1"/>
    </xf>
    <xf numFmtId="0" fontId="29" fillId="9" borderId="56" xfId="0" applyFont="1" applyFill="1" applyBorder="1" applyAlignment="1">
      <alignment horizontal="center" vertical="center" wrapText="1"/>
    </xf>
    <xf numFmtId="9" fontId="11" fillId="9" borderId="56" xfId="2" applyNumberFormat="1" applyFont="1" applyFill="1" applyBorder="1" applyAlignment="1">
      <alignment horizontal="center" vertical="center" wrapText="1"/>
    </xf>
    <xf numFmtId="0" fontId="11" fillId="9" borderId="56" xfId="0" applyFont="1" applyFill="1" applyBorder="1" applyAlignment="1">
      <alignment horizontal="center" vertical="center" wrapText="1"/>
    </xf>
    <xf numFmtId="0" fontId="11" fillId="10" borderId="56" xfId="0" applyFont="1" applyFill="1" applyBorder="1" applyAlignment="1">
      <alignment horizontal="center" vertical="center" wrapText="1"/>
    </xf>
    <xf numFmtId="168" fontId="11" fillId="10" borderId="12" xfId="0" applyNumberFormat="1" applyFont="1" applyFill="1" applyBorder="1" applyAlignment="1">
      <alignment horizontal="center" vertical="center" wrapText="1"/>
    </xf>
    <xf numFmtId="0" fontId="30" fillId="9" borderId="56" xfId="0" applyFont="1" applyFill="1" applyBorder="1" applyAlignment="1">
      <alignment horizontal="center" vertical="center" wrapText="1"/>
    </xf>
    <xf numFmtId="9" fontId="10" fillId="9" borderId="58" xfId="0" applyNumberFormat="1" applyFont="1" applyFill="1" applyBorder="1" applyAlignment="1">
      <alignment horizontal="center" vertical="center" wrapText="1"/>
    </xf>
    <xf numFmtId="9" fontId="10" fillId="10" borderId="12" xfId="0" applyNumberFormat="1" applyFont="1" applyFill="1" applyBorder="1" applyAlignment="1">
      <alignment horizontal="center" vertical="center" wrapText="1"/>
    </xf>
    <xf numFmtId="168" fontId="10" fillId="10" borderId="3" xfId="0" applyNumberFormat="1" applyFont="1" applyFill="1" applyBorder="1" applyAlignment="1">
      <alignment horizontal="center" vertical="center" wrapText="1"/>
    </xf>
    <xf numFmtId="0" fontId="11" fillId="7" borderId="56" xfId="0" applyNumberFormat="1" applyFont="1" applyFill="1" applyBorder="1" applyAlignment="1">
      <alignment horizontal="justify" vertical="top" wrapText="1"/>
    </xf>
    <xf numFmtId="0" fontId="11" fillId="9" borderId="56" xfId="0" applyNumberFormat="1" applyFont="1" applyFill="1" applyBorder="1" applyAlignment="1">
      <alignment horizontal="center" vertical="center" wrapText="1"/>
    </xf>
    <xf numFmtId="9" fontId="11" fillId="9" borderId="56" xfId="0" applyNumberFormat="1" applyFont="1" applyFill="1" applyBorder="1" applyAlignment="1">
      <alignment horizontal="center" vertical="center" wrapText="1"/>
    </xf>
    <xf numFmtId="1" fontId="11" fillId="9" borderId="56" xfId="0" applyNumberFormat="1" applyFont="1" applyFill="1" applyBorder="1" applyAlignment="1">
      <alignment horizontal="center" vertical="center" wrapText="1"/>
    </xf>
    <xf numFmtId="3" fontId="10" fillId="0" borderId="56" xfId="0" applyNumberFormat="1" applyFont="1" applyFill="1" applyBorder="1" applyAlignment="1">
      <alignment horizontal="center" vertical="center" wrapText="1"/>
    </xf>
    <xf numFmtId="3" fontId="10" fillId="0" borderId="57" xfId="0" applyNumberFormat="1" applyFont="1" applyFill="1" applyBorder="1" applyAlignment="1">
      <alignment horizontal="center" vertical="center" wrapText="1"/>
    </xf>
    <xf numFmtId="0" fontId="10" fillId="7" borderId="18" xfId="0" applyFont="1" applyFill="1" applyBorder="1" applyAlignment="1">
      <alignment vertical="center" wrapText="1"/>
    </xf>
    <xf numFmtId="0" fontId="10" fillId="7" borderId="14" xfId="0" applyFont="1" applyFill="1" applyBorder="1" applyAlignment="1">
      <alignment vertical="center" wrapText="1"/>
    </xf>
    <xf numFmtId="0" fontId="10" fillId="7" borderId="15" xfId="0" applyFont="1" applyFill="1" applyBorder="1" applyAlignment="1">
      <alignment vertical="center" wrapText="1"/>
    </xf>
    <xf numFmtId="9" fontId="10" fillId="17" borderId="15" xfId="0" applyNumberFormat="1" applyFont="1" applyFill="1" applyBorder="1" applyAlignment="1">
      <alignment horizontal="center" vertical="center" wrapText="1"/>
    </xf>
    <xf numFmtId="0" fontId="10" fillId="17" borderId="15" xfId="0" applyFont="1" applyFill="1" applyBorder="1" applyAlignment="1">
      <alignment vertical="center" wrapText="1"/>
    </xf>
    <xf numFmtId="3" fontId="11" fillId="17" borderId="15" xfId="0" applyNumberFormat="1" applyFont="1" applyFill="1" applyBorder="1" applyAlignment="1">
      <alignment horizontal="center" vertical="center" wrapText="1"/>
    </xf>
    <xf numFmtId="165" fontId="10" fillId="10" borderId="15" xfId="0" applyNumberFormat="1" applyFont="1" applyFill="1" applyBorder="1" applyAlignment="1">
      <alignment horizontal="center" vertical="center" wrapText="1"/>
    </xf>
    <xf numFmtId="0" fontId="10" fillId="0" borderId="34" xfId="0" applyFont="1" applyFill="1" applyBorder="1" applyAlignment="1">
      <alignment vertical="center" textRotation="90" wrapText="1"/>
    </xf>
    <xf numFmtId="9" fontId="10" fillId="9" borderId="24" xfId="0" applyNumberFormat="1" applyFont="1" applyFill="1" applyBorder="1" applyAlignment="1">
      <alignment horizontal="center" vertical="center" wrapText="1"/>
    </xf>
    <xf numFmtId="0" fontId="10" fillId="9" borderId="27" xfId="0" applyFont="1" applyFill="1" applyBorder="1" applyAlignment="1">
      <alignment vertical="center" wrapText="1"/>
    </xf>
    <xf numFmtId="0" fontId="10" fillId="10" borderId="27" xfId="0" applyFont="1" applyFill="1" applyBorder="1" applyAlignment="1">
      <alignment vertical="center" wrapText="1"/>
    </xf>
    <xf numFmtId="9" fontId="10" fillId="10" borderId="27" xfId="0" applyNumberFormat="1" applyFont="1" applyFill="1" applyBorder="1" applyAlignment="1">
      <alignment horizontal="center" vertical="center" wrapText="1"/>
    </xf>
    <xf numFmtId="165" fontId="11" fillId="10" borderId="27" xfId="0" applyNumberFormat="1" applyFont="1" applyFill="1" applyBorder="1" applyAlignment="1">
      <alignment horizontal="center" vertical="center" wrapText="1"/>
    </xf>
    <xf numFmtId="3" fontId="11" fillId="0" borderId="6" xfId="0" applyNumberFormat="1" applyFont="1" applyFill="1" applyBorder="1" applyAlignment="1">
      <alignment vertical="center" wrapText="1"/>
    </xf>
    <xf numFmtId="0" fontId="10" fillId="0" borderId="56" xfId="0" applyFont="1" applyFill="1" applyBorder="1" applyAlignment="1">
      <alignment vertical="center" textRotation="90" wrapText="1"/>
    </xf>
    <xf numFmtId="0" fontId="29" fillId="9" borderId="56" xfId="0" applyNumberFormat="1" applyFont="1" applyFill="1" applyBorder="1" applyAlignment="1">
      <alignment horizontal="center" vertical="center" wrapText="1"/>
    </xf>
    <xf numFmtId="9" fontId="11" fillId="20" borderId="27" xfId="2" applyFont="1" applyFill="1" applyBorder="1" applyAlignment="1">
      <alignment horizontal="center" vertical="center" wrapText="1"/>
    </xf>
    <xf numFmtId="0" fontId="14" fillId="9" borderId="16" xfId="0" applyFont="1" applyFill="1" applyBorder="1" applyAlignment="1">
      <alignment horizontal="center" vertical="center" wrapText="1"/>
    </xf>
    <xf numFmtId="9" fontId="10" fillId="0" borderId="16" xfId="2" applyFont="1" applyFill="1" applyBorder="1" applyAlignment="1">
      <alignment vertical="center" wrapText="1"/>
    </xf>
    <xf numFmtId="0" fontId="29" fillId="9" borderId="34" xfId="0" applyNumberFormat="1" applyFont="1" applyFill="1" applyBorder="1" applyAlignment="1">
      <alignment horizontal="center" vertical="center" wrapText="1"/>
    </xf>
    <xf numFmtId="9" fontId="11" fillId="20" borderId="16" xfId="2" applyFont="1" applyFill="1" applyBorder="1" applyAlignment="1">
      <alignment horizontal="center" vertical="center" wrapText="1"/>
    </xf>
    <xf numFmtId="9" fontId="11" fillId="20" borderId="16" xfId="0" applyNumberFormat="1" applyFont="1" applyFill="1" applyBorder="1" applyAlignment="1">
      <alignment horizontal="center" vertical="center" wrapText="1"/>
    </xf>
    <xf numFmtId="1" fontId="11" fillId="9" borderId="16" xfId="0" applyNumberFormat="1" applyFont="1" applyFill="1" applyBorder="1" applyAlignment="1">
      <alignment horizontal="center" vertical="center" wrapText="1"/>
    </xf>
    <xf numFmtId="3" fontId="40" fillId="0" borderId="16" xfId="0" applyNumberFormat="1" applyFont="1" applyFill="1" applyBorder="1" applyAlignment="1">
      <alignment vertical="center" wrapText="1"/>
    </xf>
    <xf numFmtId="1" fontId="11" fillId="9" borderId="34" xfId="0" applyNumberFormat="1" applyFont="1" applyFill="1" applyBorder="1" applyAlignment="1">
      <alignment horizontal="center" vertical="center" wrapText="1"/>
    </xf>
    <xf numFmtId="0" fontId="14" fillId="9" borderId="34" xfId="0" applyFont="1" applyFill="1" applyBorder="1" applyAlignment="1">
      <alignment horizontal="center" vertical="center" wrapText="1"/>
    </xf>
    <xf numFmtId="1" fontId="11" fillId="10" borderId="34" xfId="2" applyNumberFormat="1" applyFont="1" applyFill="1" applyBorder="1" applyAlignment="1">
      <alignment horizontal="center" vertical="center" wrapText="1"/>
    </xf>
    <xf numFmtId="9" fontId="11" fillId="10" borderId="34" xfId="0" applyNumberFormat="1" applyFont="1" applyFill="1" applyBorder="1" applyAlignment="1">
      <alignment horizontal="center" vertical="center" wrapText="1"/>
    </xf>
    <xf numFmtId="0" fontId="21" fillId="0" borderId="16" xfId="0" applyFont="1" applyFill="1" applyBorder="1" applyAlignment="1">
      <alignment vertical="center" textRotation="90" wrapText="1"/>
    </xf>
    <xf numFmtId="0" fontId="29" fillId="7" borderId="23" xfId="0" applyFont="1" applyFill="1" applyBorder="1" applyAlignment="1">
      <alignment horizontal="justify" vertical="top" wrapText="1"/>
    </xf>
    <xf numFmtId="169" fontId="11" fillId="17" borderId="27" xfId="0" applyNumberFormat="1" applyFont="1" applyFill="1" applyBorder="1" applyAlignment="1">
      <alignment horizontal="center" vertical="center" wrapText="1"/>
    </xf>
    <xf numFmtId="169" fontId="11" fillId="10" borderId="27" xfId="0" applyNumberFormat="1" applyFont="1" applyFill="1" applyBorder="1" applyAlignment="1">
      <alignment horizontal="center" vertical="center" wrapText="1"/>
    </xf>
    <xf numFmtId="0" fontId="29" fillId="7" borderId="17" xfId="0" applyFont="1" applyFill="1" applyBorder="1" applyAlignment="1">
      <alignment horizontal="justify" vertical="top" wrapText="1"/>
    </xf>
    <xf numFmtId="3" fontId="11" fillId="0" borderId="44" xfId="0" applyNumberFormat="1" applyFont="1" applyFill="1" applyBorder="1" applyAlignment="1">
      <alignment vertical="center" wrapText="1"/>
    </xf>
    <xf numFmtId="169" fontId="11" fillId="17" borderId="16" xfId="0" applyNumberFormat="1" applyFont="1" applyFill="1" applyBorder="1" applyAlignment="1">
      <alignment horizontal="center" vertical="center" wrapText="1"/>
    </xf>
    <xf numFmtId="9" fontId="21" fillId="17" borderId="12" xfId="2" applyNumberFormat="1" applyFont="1" applyFill="1" applyBorder="1" applyAlignment="1">
      <alignment horizontal="center" vertical="center" wrapText="1"/>
    </xf>
    <xf numFmtId="0" fontId="41" fillId="9" borderId="15" xfId="0" applyFont="1" applyFill="1" applyBorder="1" applyAlignment="1">
      <alignment horizontal="center" vertical="center" wrapText="1"/>
    </xf>
    <xf numFmtId="0" fontId="41" fillId="9" borderId="12" xfId="0" applyFont="1" applyFill="1" applyBorder="1" applyAlignment="1">
      <alignment horizontal="center" vertical="center" wrapText="1"/>
    </xf>
    <xf numFmtId="0" fontId="41" fillId="10" borderId="15" xfId="0" applyFont="1" applyFill="1" applyBorder="1" applyAlignment="1">
      <alignment horizontal="center" vertical="center" wrapText="1"/>
    </xf>
    <xf numFmtId="9" fontId="21" fillId="7" borderId="15" xfId="0" applyNumberFormat="1" applyFont="1" applyFill="1" applyBorder="1" applyAlignment="1">
      <alignment horizontal="center" vertical="center" wrapText="1"/>
    </xf>
    <xf numFmtId="170" fontId="11" fillId="10" borderId="12" xfId="0" applyNumberFormat="1" applyFont="1" applyFill="1" applyBorder="1" applyAlignment="1">
      <alignment horizontal="center" vertical="center" wrapText="1"/>
    </xf>
    <xf numFmtId="4" fontId="10" fillId="7" borderId="15" xfId="0" applyNumberFormat="1" applyFont="1" applyFill="1" applyBorder="1" applyAlignment="1">
      <alignment horizontal="center" vertical="center" wrapText="1"/>
    </xf>
    <xf numFmtId="4" fontId="10" fillId="7" borderId="12" xfId="0" applyNumberFormat="1" applyFont="1" applyFill="1" applyBorder="1" applyAlignment="1">
      <alignment horizontal="center" vertical="center" wrapText="1"/>
    </xf>
    <xf numFmtId="9" fontId="10" fillId="7" borderId="15" xfId="2" applyFont="1" applyFill="1" applyBorder="1" applyAlignment="1">
      <alignment horizontal="center" vertical="center" wrapText="1"/>
    </xf>
    <xf numFmtId="9" fontId="10" fillId="7" borderId="12" xfId="2" applyFont="1" applyFill="1" applyBorder="1" applyAlignment="1">
      <alignment horizontal="center" vertical="center" wrapText="1"/>
    </xf>
    <xf numFmtId="3" fontId="10" fillId="7" borderId="7" xfId="0" applyNumberFormat="1" applyFont="1" applyFill="1" applyBorder="1" applyAlignment="1">
      <alignment vertical="center" wrapText="1"/>
    </xf>
    <xf numFmtId="0" fontId="29" fillId="22" borderId="23" xfId="5" applyFont="1" applyFill="1" applyBorder="1" applyAlignment="1">
      <alignment horizontal="justify" vertical="top" wrapText="1"/>
    </xf>
    <xf numFmtId="0" fontId="29" fillId="22" borderId="17" xfId="5" applyFont="1" applyFill="1" applyBorder="1" applyAlignment="1">
      <alignment horizontal="justify" vertical="top" wrapText="1"/>
    </xf>
    <xf numFmtId="0" fontId="29" fillId="22" borderId="23" xfId="0" applyFont="1" applyFill="1" applyBorder="1" applyAlignment="1">
      <alignment horizontal="justify" vertical="top" wrapText="1"/>
    </xf>
    <xf numFmtId="0" fontId="29" fillId="22" borderId="17" xfId="0" applyFont="1" applyFill="1" applyBorder="1" applyAlignment="1">
      <alignment horizontal="justify" vertical="top" wrapText="1"/>
    </xf>
    <xf numFmtId="0" fontId="11" fillId="22" borderId="25" xfId="5" applyFont="1" applyFill="1" applyBorder="1" applyAlignment="1">
      <alignment horizontal="justify" vertical="top"/>
    </xf>
    <xf numFmtId="0" fontId="29" fillId="22" borderId="25" xfId="5" applyFont="1" applyFill="1" applyBorder="1" applyAlignment="1">
      <alignment horizontal="justify" vertical="top" wrapText="1"/>
    </xf>
    <xf numFmtId="171" fontId="20" fillId="14" borderId="16" xfId="3" applyNumberFormat="1" applyFont="1" applyFill="1" applyBorder="1" applyProtection="1"/>
    <xf numFmtId="171" fontId="20" fillId="7" borderId="16" xfId="3" applyNumberFormat="1" applyFont="1" applyFill="1" applyBorder="1" applyProtection="1"/>
    <xf numFmtId="171" fontId="18" fillId="0" borderId="16" xfId="3" applyNumberFormat="1" applyFont="1" applyFill="1" applyBorder="1" applyProtection="1">
      <protection locked="0"/>
    </xf>
    <xf numFmtId="171" fontId="17" fillId="0" borderId="16" xfId="3" applyNumberFormat="1" applyFont="1" applyFill="1" applyBorder="1" applyProtection="1"/>
    <xf numFmtId="171" fontId="17" fillId="0" borderId="16" xfId="3" applyNumberFormat="1" applyFont="1" applyFill="1" applyBorder="1" applyProtection="1">
      <protection locked="0"/>
    </xf>
    <xf numFmtId="171" fontId="18" fillId="0" borderId="16" xfId="3" applyNumberFormat="1" applyFont="1" applyFill="1" applyBorder="1" applyAlignment="1" applyProtection="1">
      <alignment horizontal="center" vertical="center"/>
      <protection locked="0"/>
    </xf>
    <xf numFmtId="171" fontId="17" fillId="0" borderId="16" xfId="3" applyNumberFormat="1" applyFont="1" applyFill="1" applyBorder="1" applyAlignment="1" applyProtection="1">
      <alignment horizontal="right"/>
      <protection locked="0"/>
    </xf>
    <xf numFmtId="171" fontId="20" fillId="23" borderId="16" xfId="3" applyNumberFormat="1" applyFont="1" applyFill="1" applyBorder="1" applyProtection="1"/>
    <xf numFmtId="171" fontId="20" fillId="0" borderId="16" xfId="3" applyNumberFormat="1" applyFont="1" applyBorder="1" applyProtection="1"/>
    <xf numFmtId="43" fontId="18" fillId="0" borderId="16" xfId="3" applyFont="1" applyFill="1" applyBorder="1" applyProtection="1">
      <protection locked="0"/>
    </xf>
    <xf numFmtId="171" fontId="48" fillId="15" borderId="16" xfId="3" applyNumberFormat="1" applyFont="1" applyFill="1" applyBorder="1" applyProtection="1">
      <protection locked="0"/>
    </xf>
    <xf numFmtId="1" fontId="43" fillId="15" borderId="16" xfId="0" applyNumberFormat="1" applyFont="1" applyFill="1" applyBorder="1" applyAlignment="1" applyProtection="1">
      <alignment horizontal="left"/>
    </xf>
    <xf numFmtId="1" fontId="47" fillId="15" borderId="16" xfId="0" applyNumberFormat="1" applyFont="1" applyFill="1" applyBorder="1" applyProtection="1"/>
    <xf numFmtId="0" fontId="16" fillId="0" borderId="10" xfId="0" applyFont="1" applyBorder="1" applyProtection="1"/>
    <xf numFmtId="0" fontId="0" fillId="0" borderId="11" xfId="0" applyBorder="1" applyProtection="1"/>
    <xf numFmtId="17" fontId="0" fillId="0" borderId="11" xfId="0" applyNumberFormat="1" applyBorder="1" applyProtection="1"/>
    <xf numFmtId="0" fontId="22" fillId="0" borderId="64" xfId="0" applyFont="1" applyBorder="1" applyAlignment="1" applyProtection="1">
      <alignment horizontal="center" vertical="center" wrapText="1"/>
    </xf>
    <xf numFmtId="0" fontId="22" fillId="0" borderId="65" xfId="0" applyFont="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22" fillId="0" borderId="57" xfId="0" applyFont="1" applyBorder="1" applyAlignment="1" applyProtection="1">
      <alignment horizontal="center" vertical="center" wrapText="1"/>
    </xf>
    <xf numFmtId="0" fontId="17" fillId="0" borderId="14" xfId="0" applyFont="1" applyFill="1" applyBorder="1" applyProtection="1"/>
    <xf numFmtId="0" fontId="17" fillId="0" borderId="38" xfId="0" applyFont="1" applyFill="1" applyBorder="1" applyProtection="1"/>
    <xf numFmtId="0" fontId="18" fillId="0" borderId="40" xfId="0" applyFont="1" applyFill="1" applyBorder="1" applyProtection="1"/>
    <xf numFmtId="0" fontId="18" fillId="0" borderId="43" xfId="0" applyFont="1" applyFill="1" applyBorder="1" applyProtection="1"/>
    <xf numFmtId="0" fontId="17" fillId="0" borderId="16" xfId="0" applyFont="1" applyFill="1" applyBorder="1" applyProtection="1"/>
    <xf numFmtId="0" fontId="17" fillId="0" borderId="40" xfId="0" applyFont="1" applyFill="1" applyBorder="1" applyProtection="1"/>
    <xf numFmtId="0" fontId="17" fillId="0" borderId="45" xfId="0" applyFont="1" applyFill="1" applyBorder="1" applyProtection="1"/>
    <xf numFmtId="0" fontId="18" fillId="0" borderId="0" xfId="0" applyFont="1" applyBorder="1" applyProtection="1"/>
    <xf numFmtId="43" fontId="18" fillId="0" borderId="0" xfId="3" applyFont="1" applyBorder="1" applyProtection="1"/>
    <xf numFmtId="43" fontId="18" fillId="0" borderId="0" xfId="3" applyFont="1" applyFill="1" applyBorder="1" applyProtection="1"/>
    <xf numFmtId="43" fontId="48" fillId="0" borderId="16" xfId="3" applyFont="1" applyFill="1" applyBorder="1" applyAlignment="1" applyProtection="1"/>
    <xf numFmtId="43" fontId="48" fillId="0" borderId="17" xfId="3" applyFont="1" applyFill="1" applyBorder="1" applyAlignment="1" applyProtection="1"/>
    <xf numFmtId="43" fontId="48" fillId="0" borderId="40" xfId="3" applyFont="1" applyFill="1" applyBorder="1" applyProtection="1"/>
    <xf numFmtId="43" fontId="48" fillId="0" borderId="16" xfId="3" applyFont="1" applyFill="1" applyBorder="1" applyProtection="1"/>
    <xf numFmtId="43" fontId="48" fillId="0" borderId="34" xfId="3" applyFont="1" applyFill="1" applyBorder="1" applyAlignment="1" applyProtection="1"/>
    <xf numFmtId="43" fontId="48" fillId="0" borderId="20" xfId="3" applyFont="1" applyFill="1" applyBorder="1" applyAlignment="1" applyProtection="1"/>
    <xf numFmtId="43" fontId="48" fillId="0" borderId="54" xfId="3" applyFont="1" applyFill="1" applyBorder="1" applyProtection="1"/>
    <xf numFmtId="43" fontId="48" fillId="0" borderId="34" xfId="3" applyFont="1" applyFill="1" applyBorder="1" applyProtection="1"/>
    <xf numFmtId="43" fontId="6" fillId="0" borderId="0" xfId="3" applyFont="1"/>
    <xf numFmtId="43" fontId="6" fillId="0" borderId="0" xfId="4" applyNumberFormat="1"/>
    <xf numFmtId="43" fontId="6" fillId="0" borderId="0" xfId="3" applyFont="1" applyAlignment="1">
      <alignment vertical="center"/>
    </xf>
    <xf numFmtId="4" fontId="24" fillId="0" borderId="3" xfId="0" applyNumberFormat="1" applyFont="1" applyFill="1" applyBorder="1" applyAlignment="1">
      <alignment horizontal="right" vertical="center" wrapText="1"/>
    </xf>
    <xf numFmtId="4" fontId="24" fillId="0" borderId="12" xfId="0" applyNumberFormat="1" applyFont="1" applyFill="1" applyBorder="1" applyAlignment="1">
      <alignment horizontal="right" vertical="center" wrapText="1"/>
    </xf>
    <xf numFmtId="9" fontId="24" fillId="0" borderId="12" xfId="2" applyFont="1" applyFill="1" applyBorder="1" applyAlignment="1">
      <alignment horizontal="center" vertical="center" wrapText="1"/>
    </xf>
    <xf numFmtId="166" fontId="49" fillId="0" borderId="12" xfId="3" applyNumberFormat="1" applyFont="1" applyFill="1" applyBorder="1" applyAlignment="1" applyProtection="1">
      <alignment horizontal="right" vertical="center" wrapText="1"/>
      <protection locked="0"/>
    </xf>
    <xf numFmtId="166" fontId="49" fillId="0" borderId="11" xfId="3" applyNumberFormat="1" applyFont="1" applyFill="1" applyBorder="1" applyAlignment="1" applyProtection="1">
      <alignment horizontal="right" vertical="center" wrapText="1"/>
      <protection locked="0"/>
    </xf>
    <xf numFmtId="4" fontId="49" fillId="0" borderId="11" xfId="0" applyNumberFormat="1" applyFont="1" applyFill="1" applyBorder="1" applyAlignment="1">
      <alignment horizontal="right" vertical="center" wrapText="1"/>
    </xf>
    <xf numFmtId="4" fontId="49" fillId="0" borderId="12" xfId="0" applyNumberFormat="1" applyFont="1" applyFill="1" applyBorder="1" applyAlignment="1">
      <alignment horizontal="right" vertical="center" wrapText="1"/>
    </xf>
    <xf numFmtId="9" fontId="49" fillId="0" borderId="11" xfId="2" applyFont="1" applyFill="1" applyBorder="1" applyAlignment="1">
      <alignment horizontal="center" vertical="center" wrapText="1"/>
    </xf>
    <xf numFmtId="9" fontId="49" fillId="0" borderId="12" xfId="2" applyNumberFormat="1" applyFont="1" applyFill="1" applyBorder="1" applyAlignment="1">
      <alignment horizontal="center" vertical="center" wrapText="1"/>
    </xf>
    <xf numFmtId="9" fontId="24" fillId="0" borderId="3" xfId="2" applyNumberFormat="1" applyFont="1" applyFill="1" applyBorder="1" applyAlignment="1">
      <alignment horizontal="center" vertical="center" wrapText="1"/>
    </xf>
    <xf numFmtId="9" fontId="6" fillId="0" borderId="0" xfId="2" applyFont="1" applyAlignment="1">
      <alignment vertical="center"/>
    </xf>
    <xf numFmtId="0" fontId="6" fillId="0" borderId="16" xfId="4" applyBorder="1"/>
    <xf numFmtId="1" fontId="6" fillId="0" borderId="16" xfId="4" applyNumberFormat="1" applyBorder="1"/>
    <xf numFmtId="0" fontId="6" fillId="0" borderId="16" xfId="4" applyBorder="1" applyAlignment="1">
      <alignment vertical="center"/>
    </xf>
    <xf numFmtId="164" fontId="6" fillId="0" borderId="16" xfId="4" applyNumberFormat="1" applyBorder="1" applyAlignment="1">
      <alignment vertical="center"/>
    </xf>
    <xf numFmtId="0" fontId="1" fillId="0" borderId="32" xfId="1" applyBorder="1" applyAlignment="1">
      <alignment vertical="center"/>
    </xf>
    <xf numFmtId="9" fontId="14" fillId="16" borderId="27" xfId="2" applyFont="1" applyFill="1" applyBorder="1" applyAlignment="1">
      <alignment horizontal="center" vertical="center" wrapText="1"/>
    </xf>
    <xf numFmtId="9" fontId="14" fillId="16" borderId="16" xfId="2" applyFont="1" applyFill="1" applyBorder="1" applyAlignment="1">
      <alignment horizontal="center" vertical="center" wrapText="1"/>
    </xf>
    <xf numFmtId="0" fontId="11" fillId="18" borderId="25" xfId="5" applyFont="1" applyFill="1" applyBorder="1" applyAlignment="1">
      <alignment horizontal="justify" vertical="top" wrapText="1"/>
    </xf>
    <xf numFmtId="0" fontId="11" fillId="9" borderId="16" xfId="0" applyNumberFormat="1" applyFont="1" applyFill="1" applyBorder="1" applyAlignment="1">
      <alignment horizontal="center" vertical="center" wrapText="1"/>
    </xf>
    <xf numFmtId="43" fontId="49" fillId="0" borderId="15" xfId="3" applyFont="1" applyFill="1" applyBorder="1" applyAlignment="1" applyProtection="1">
      <alignment horizontal="center" vertical="center" wrapText="1"/>
      <protection locked="0"/>
    </xf>
    <xf numFmtId="4" fontId="24" fillId="0" borderId="3" xfId="0" applyNumberFormat="1" applyFont="1" applyFill="1" applyBorder="1" applyAlignment="1">
      <alignment horizontal="center" vertical="center" wrapText="1"/>
    </xf>
    <xf numFmtId="4" fontId="49" fillId="0" borderId="12" xfId="1" applyNumberFormat="1" applyFont="1" applyFill="1" applyBorder="1" applyAlignment="1">
      <alignment horizontal="right" vertical="center" wrapText="1"/>
    </xf>
    <xf numFmtId="4" fontId="49" fillId="0" borderId="15" xfId="0" applyNumberFormat="1" applyFont="1" applyFill="1" applyBorder="1" applyAlignment="1">
      <alignment horizontal="right" vertical="center" wrapText="1"/>
    </xf>
    <xf numFmtId="3" fontId="24" fillId="0" borderId="56" xfId="0" applyNumberFormat="1" applyFont="1" applyFill="1" applyBorder="1" applyAlignment="1">
      <alignment vertical="center" wrapText="1"/>
    </xf>
    <xf numFmtId="43" fontId="49" fillId="0" borderId="15" xfId="3" applyFont="1" applyFill="1" applyBorder="1" applyAlignment="1" applyProtection="1">
      <alignment wrapText="1"/>
      <protection locked="0"/>
    </xf>
    <xf numFmtId="43" fontId="49" fillId="0" borderId="12" xfId="3" applyFont="1" applyFill="1" applyBorder="1" applyAlignment="1" applyProtection="1">
      <alignment horizontal="center" vertical="center" wrapText="1"/>
      <protection locked="0"/>
    </xf>
    <xf numFmtId="3" fontId="24" fillId="0" borderId="56" xfId="0" applyNumberFormat="1" applyFont="1" applyFill="1" applyBorder="1" applyAlignment="1">
      <alignment horizontal="center" vertical="center" wrapText="1"/>
    </xf>
    <xf numFmtId="4" fontId="24" fillId="0" borderId="12" xfId="0" applyNumberFormat="1" applyFont="1" applyFill="1" applyBorder="1" applyAlignment="1">
      <alignment vertical="center" wrapText="1"/>
    </xf>
    <xf numFmtId="4" fontId="49" fillId="0" borderId="27" xfId="0" applyNumberFormat="1" applyFont="1" applyFill="1" applyBorder="1" applyAlignment="1">
      <alignment vertical="center" wrapText="1"/>
    </xf>
    <xf numFmtId="9" fontId="24" fillId="0" borderId="15" xfId="2" applyNumberFormat="1" applyFont="1" applyFill="1" applyBorder="1" applyAlignment="1">
      <alignment horizontal="center" vertical="center" wrapText="1"/>
    </xf>
    <xf numFmtId="9" fontId="49" fillId="0" borderId="12" xfId="2" applyFont="1" applyFill="1" applyBorder="1" applyAlignment="1">
      <alignment horizontal="center" vertical="center" wrapText="1"/>
    </xf>
    <xf numFmtId="3" fontId="24" fillId="0" borderId="7" xfId="0" applyNumberFormat="1" applyFont="1" applyFill="1" applyBorder="1" applyAlignment="1">
      <alignment vertical="center" wrapText="1"/>
    </xf>
    <xf numFmtId="9" fontId="24" fillId="0" borderId="15" xfId="2" applyFont="1" applyFill="1" applyBorder="1" applyAlignment="1">
      <alignment horizontal="center" vertical="center" wrapText="1"/>
    </xf>
    <xf numFmtId="4" fontId="24" fillId="0" borderId="60" xfId="0" applyNumberFormat="1" applyFont="1" applyFill="1" applyBorder="1" applyAlignment="1">
      <alignment horizontal="right" vertical="center" wrapText="1"/>
    </xf>
    <xf numFmtId="9" fontId="24" fillId="0" borderId="58" xfId="2" applyFont="1" applyFill="1" applyBorder="1" applyAlignment="1">
      <alignment horizontal="center" vertical="center" wrapText="1"/>
    </xf>
    <xf numFmtId="3" fontId="49" fillId="0" borderId="7" xfId="0" applyNumberFormat="1" applyFont="1" applyFill="1" applyBorder="1" applyAlignment="1">
      <alignment vertical="center" wrapText="1"/>
    </xf>
    <xf numFmtId="43" fontId="49" fillId="0" borderId="11" xfId="3" applyFont="1" applyFill="1" applyBorder="1" applyAlignment="1" applyProtection="1">
      <alignment horizontal="right" vertical="center" wrapText="1"/>
      <protection locked="0"/>
    </xf>
    <xf numFmtId="9" fontId="49" fillId="0" borderId="15" xfId="2" applyNumberFormat="1" applyFont="1" applyFill="1" applyBorder="1" applyAlignment="1">
      <alignment horizontal="center" vertical="center" wrapText="1"/>
    </xf>
    <xf numFmtId="9" fontId="49" fillId="0" borderId="15" xfId="2" applyFont="1" applyFill="1" applyBorder="1" applyAlignment="1">
      <alignment horizontal="center" vertical="center" wrapText="1"/>
    </xf>
    <xf numFmtId="3" fontId="49" fillId="0" borderId="8" xfId="0" applyNumberFormat="1" applyFont="1" applyFill="1" applyBorder="1" applyAlignment="1">
      <alignment vertical="center" wrapText="1"/>
    </xf>
    <xf numFmtId="4" fontId="24" fillId="0" borderId="15" xfId="0" applyNumberFormat="1" applyFont="1" applyFill="1" applyBorder="1" applyAlignment="1">
      <alignment vertical="center" wrapText="1"/>
    </xf>
    <xf numFmtId="4" fontId="24" fillId="0" borderId="15" xfId="0" applyNumberFormat="1" applyFont="1" applyFill="1" applyBorder="1" applyAlignment="1">
      <alignment horizontal="right" vertical="center" wrapText="1"/>
    </xf>
    <xf numFmtId="43" fontId="49" fillId="0" borderId="27" xfId="3" applyFont="1" applyFill="1" applyBorder="1" applyAlignment="1" applyProtection="1">
      <alignment vertical="center" wrapText="1"/>
      <protection locked="0"/>
    </xf>
    <xf numFmtId="9" fontId="49" fillId="0" borderId="27" xfId="2" applyFont="1" applyFill="1" applyBorder="1" applyAlignment="1">
      <alignment horizontal="center" vertical="center" wrapText="1"/>
    </xf>
    <xf numFmtId="4" fontId="49" fillId="0" borderId="27" xfId="0" applyNumberFormat="1" applyFont="1" applyFill="1" applyBorder="1" applyAlignment="1">
      <alignment horizontal="right" vertical="center" wrapText="1"/>
    </xf>
    <xf numFmtId="3" fontId="49" fillId="0" borderId="6" xfId="0" applyNumberFormat="1" applyFont="1" applyFill="1" applyBorder="1" applyAlignment="1">
      <alignment vertical="center" wrapText="1"/>
    </xf>
    <xf numFmtId="9" fontId="49" fillId="0" borderId="49" xfId="2" applyFont="1" applyFill="1" applyBorder="1" applyAlignment="1">
      <alignment horizontal="center" vertical="center" wrapText="1"/>
    </xf>
    <xf numFmtId="171" fontId="18" fillId="0" borderId="16" xfId="3" applyNumberFormat="1" applyFont="1" applyFill="1" applyBorder="1" applyAlignment="1" applyProtection="1">
      <alignment horizontal="right"/>
      <protection locked="0"/>
    </xf>
    <xf numFmtId="0" fontId="17" fillId="4" borderId="14" xfId="0" applyFont="1" applyFill="1" applyBorder="1" applyProtection="1"/>
    <xf numFmtId="9" fontId="11" fillId="16" borderId="56" xfId="2" applyNumberFormat="1" applyFont="1" applyFill="1" applyBorder="1" applyAlignment="1">
      <alignment horizontal="center" vertical="center" wrapText="1"/>
    </xf>
    <xf numFmtId="0" fontId="10" fillId="9" borderId="12" xfId="0" applyFont="1" applyFill="1" applyBorder="1" applyAlignment="1">
      <alignment horizontal="center" vertical="center" wrapText="1"/>
    </xf>
    <xf numFmtId="43" fontId="6" fillId="0" borderId="0" xfId="3" applyFont="1" applyFill="1"/>
    <xf numFmtId="0" fontId="6" fillId="0" borderId="0" xfId="4" applyFill="1"/>
    <xf numFmtId="164" fontId="6" fillId="0" borderId="16" xfId="3" applyNumberFormat="1" applyFont="1" applyBorder="1" applyAlignment="1">
      <alignment vertical="center"/>
    </xf>
    <xf numFmtId="165" fontId="10" fillId="17" borderId="12" xfId="0" applyNumberFormat="1" applyFont="1" applyFill="1" applyBorder="1" applyAlignment="1">
      <alignment horizontal="center" vertical="center" wrapText="1"/>
    </xf>
    <xf numFmtId="3" fontId="11" fillId="17" borderId="12" xfId="0" applyNumberFormat="1" applyFont="1" applyFill="1" applyBorder="1" applyAlignment="1">
      <alignment horizontal="center" vertical="center" wrapText="1"/>
    </xf>
    <xf numFmtId="9" fontId="10" fillId="17" borderId="2" xfId="0" applyNumberFormat="1" applyFont="1" applyFill="1" applyBorder="1" applyAlignment="1">
      <alignment horizontal="center" vertical="center" wrapText="1"/>
    </xf>
    <xf numFmtId="10" fontId="10" fillId="17" borderId="3" xfId="0" applyNumberFormat="1" applyFont="1" applyFill="1" applyBorder="1" applyAlignment="1">
      <alignment horizontal="center" vertical="center" wrapText="1"/>
    </xf>
    <xf numFmtId="10" fontId="10" fillId="17" borderId="12" xfId="0" applyNumberFormat="1" applyFont="1" applyFill="1" applyBorder="1" applyAlignment="1">
      <alignment horizontal="center" vertical="center" wrapText="1"/>
    </xf>
    <xf numFmtId="9" fontId="10" fillId="2" borderId="11" xfId="0" applyNumberFormat="1" applyFont="1" applyFill="1" applyBorder="1" applyAlignment="1">
      <alignment horizontal="center" vertical="center" wrapText="1"/>
    </xf>
    <xf numFmtId="9" fontId="4" fillId="0" borderId="0" xfId="4" applyNumberFormat="1" applyFont="1" applyFill="1" applyAlignment="1">
      <alignment vertical="center" wrapText="1"/>
    </xf>
    <xf numFmtId="0" fontId="14" fillId="9" borderId="27" xfId="0" applyFont="1" applyFill="1" applyBorder="1" applyAlignment="1">
      <alignment horizontal="center" vertical="center" wrapText="1"/>
    </xf>
    <xf numFmtId="3" fontId="19" fillId="9" borderId="56" xfId="0" applyNumberFormat="1" applyFont="1" applyFill="1" applyBorder="1" applyAlignment="1">
      <alignment horizontal="center" vertical="center" wrapText="1"/>
    </xf>
    <xf numFmtId="9" fontId="4" fillId="0" borderId="0" xfId="2" applyFont="1" applyFill="1" applyAlignment="1">
      <alignment vertical="center" wrapText="1"/>
    </xf>
    <xf numFmtId="0" fontId="11" fillId="17" borderId="56" xfId="0" applyFont="1" applyFill="1" applyBorder="1" applyAlignment="1">
      <alignment horizontal="center" vertical="center" wrapText="1"/>
    </xf>
    <xf numFmtId="9" fontId="11" fillId="17" borderId="56" xfId="2" applyFont="1" applyFill="1" applyBorder="1" applyAlignment="1">
      <alignment horizontal="center" vertical="center" wrapText="1"/>
    </xf>
    <xf numFmtId="1" fontId="11" fillId="16" borderId="16" xfId="0" applyNumberFormat="1" applyFont="1" applyFill="1" applyBorder="1" applyAlignment="1">
      <alignment horizontal="center" vertical="center" wrapText="1"/>
    </xf>
    <xf numFmtId="3" fontId="14" fillId="9" borderId="23" xfId="0" applyNumberFormat="1" applyFont="1" applyFill="1" applyBorder="1" applyAlignment="1">
      <alignment horizontal="center" vertical="center" wrapText="1"/>
    </xf>
    <xf numFmtId="3" fontId="14" fillId="17" borderId="16" xfId="0" applyNumberFormat="1" applyFont="1" applyFill="1" applyBorder="1" applyAlignment="1">
      <alignment horizontal="center" vertical="center" wrapText="1"/>
    </xf>
    <xf numFmtId="3" fontId="14" fillId="17" borderId="34" xfId="0" applyNumberFormat="1" applyFont="1" applyFill="1" applyBorder="1" applyAlignment="1">
      <alignment horizontal="center" vertical="center" wrapText="1"/>
    </xf>
    <xf numFmtId="0" fontId="14" fillId="9" borderId="34" xfId="0" applyNumberFormat="1" applyFont="1" applyFill="1" applyBorder="1" applyAlignment="1">
      <alignment horizontal="justify" vertical="top" wrapText="1"/>
    </xf>
    <xf numFmtId="9" fontId="10" fillId="17" borderId="11" xfId="0" applyNumberFormat="1" applyFont="1" applyFill="1" applyBorder="1" applyAlignment="1">
      <alignment horizontal="center" vertical="center" wrapText="1"/>
    </xf>
    <xf numFmtId="9" fontId="11" fillId="17" borderId="27" xfId="0" applyNumberFormat="1" applyFont="1" applyFill="1" applyBorder="1" applyAlignment="1">
      <alignment vertical="center" wrapText="1"/>
    </xf>
    <xf numFmtId="9" fontId="14" fillId="17" borderId="27" xfId="0" applyNumberFormat="1" applyFont="1" applyFill="1" applyBorder="1" applyAlignment="1">
      <alignment horizontal="center" vertical="center" wrapText="1"/>
    </xf>
    <xf numFmtId="10" fontId="11" fillId="17" borderId="16" xfId="0" applyNumberFormat="1" applyFont="1" applyFill="1" applyBorder="1" applyAlignment="1">
      <alignment horizontal="center" vertical="center" wrapText="1"/>
    </xf>
    <xf numFmtId="10" fontId="30" fillId="17" borderId="16" xfId="0" applyNumberFormat="1" applyFont="1" applyFill="1" applyBorder="1" applyAlignment="1">
      <alignment horizontal="center" vertical="center" wrapText="1"/>
    </xf>
    <xf numFmtId="9" fontId="30" fillId="17" borderId="16" xfId="0" applyNumberFormat="1" applyFont="1" applyFill="1" applyBorder="1" applyAlignment="1">
      <alignment horizontal="center" vertical="center" wrapText="1"/>
    </xf>
    <xf numFmtId="9" fontId="30" fillId="17" borderId="34" xfId="0" applyNumberFormat="1" applyFont="1" applyFill="1" applyBorder="1" applyAlignment="1">
      <alignment horizontal="center" vertical="center" wrapText="1"/>
    </xf>
    <xf numFmtId="9" fontId="11" fillId="26" borderId="56" xfId="2" applyFont="1" applyFill="1" applyBorder="1" applyAlignment="1">
      <alignment horizontal="center" vertical="center" wrapText="1"/>
    </xf>
    <xf numFmtId="0" fontId="20" fillId="0" borderId="16" xfId="0" applyFont="1" applyBorder="1" applyAlignment="1" applyProtection="1">
      <alignment horizontal="center" vertical="top"/>
    </xf>
    <xf numFmtId="1" fontId="43" fillId="13" borderId="16" xfId="0" applyNumberFormat="1" applyFont="1" applyFill="1" applyBorder="1" applyAlignment="1" applyProtection="1">
      <alignment horizontal="left"/>
    </xf>
    <xf numFmtId="0" fontId="20" fillId="13" borderId="16" xfId="0" applyFont="1" applyFill="1" applyBorder="1" applyProtection="1"/>
    <xf numFmtId="171" fontId="20" fillId="13" borderId="16" xfId="3" applyNumberFormat="1" applyFont="1" applyFill="1" applyBorder="1" applyAlignment="1" applyProtection="1">
      <alignment horizontal="right"/>
    </xf>
    <xf numFmtId="171" fontId="20" fillId="13" borderId="16" xfId="3" applyNumberFormat="1" applyFont="1" applyFill="1" applyBorder="1" applyProtection="1"/>
    <xf numFmtId="1" fontId="43" fillId="14" borderId="16" xfId="0" applyNumberFormat="1" applyFont="1" applyFill="1" applyBorder="1" applyAlignment="1" applyProtection="1">
      <alignment horizontal="left"/>
    </xf>
    <xf numFmtId="0" fontId="20" fillId="14" borderId="16" xfId="0" applyFont="1" applyFill="1" applyBorder="1" applyProtection="1"/>
    <xf numFmtId="171" fontId="20" fillId="14" borderId="16" xfId="3" applyNumberFormat="1" applyFont="1" applyFill="1" applyBorder="1" applyAlignment="1" applyProtection="1">
      <alignment horizontal="right"/>
    </xf>
    <xf numFmtId="1" fontId="43" fillId="7" borderId="16" xfId="0" applyNumberFormat="1" applyFont="1" applyFill="1" applyBorder="1" applyAlignment="1" applyProtection="1">
      <alignment horizontal="left"/>
    </xf>
    <xf numFmtId="0" fontId="20" fillId="7" borderId="16" xfId="0" applyFont="1" applyFill="1" applyBorder="1" applyProtection="1"/>
    <xf numFmtId="171" fontId="20" fillId="7" borderId="16" xfId="3" applyNumberFormat="1" applyFont="1" applyFill="1" applyBorder="1" applyAlignment="1" applyProtection="1">
      <alignment horizontal="right"/>
    </xf>
    <xf numFmtId="0" fontId="44" fillId="0" borderId="16" xfId="0" applyFont="1" applyBorder="1" applyAlignment="1">
      <alignment horizontal="left"/>
    </xf>
    <xf numFmtId="0" fontId="18" fillId="0" borderId="16" xfId="0" applyFont="1" applyFill="1" applyBorder="1" applyProtection="1"/>
    <xf numFmtId="1" fontId="43" fillId="0" borderId="16" xfId="4" applyNumberFormat="1" applyFont="1" applyBorder="1" applyAlignment="1" applyProtection="1">
      <alignment horizontal="left"/>
    </xf>
    <xf numFmtId="0" fontId="18" fillId="22" borderId="16" xfId="0" applyFont="1" applyFill="1" applyBorder="1" applyProtection="1"/>
    <xf numFmtId="4" fontId="51" fillId="0" borderId="16" xfId="0" applyNumberFormat="1" applyFont="1" applyBorder="1" applyAlignment="1">
      <alignment horizontal="right" vertical="center"/>
    </xf>
    <xf numFmtId="1" fontId="43" fillId="7" borderId="16" xfId="4" applyNumberFormat="1" applyFont="1" applyFill="1" applyBorder="1" applyAlignment="1" applyProtection="1">
      <alignment horizontal="left"/>
    </xf>
    <xf numFmtId="0" fontId="18" fillId="0" borderId="16" xfId="0" applyFont="1" applyFill="1" applyBorder="1" applyAlignment="1" applyProtection="1">
      <alignment wrapText="1"/>
    </xf>
    <xf numFmtId="171" fontId="17" fillId="0" borderId="16" xfId="3" applyNumberFormat="1" applyFont="1" applyFill="1" applyBorder="1" applyAlignment="1" applyProtection="1">
      <alignment horizontal="right"/>
    </xf>
    <xf numFmtId="1" fontId="43" fillId="0" borderId="16" xfId="4" applyNumberFormat="1" applyFont="1" applyBorder="1" applyAlignment="1" applyProtection="1">
      <alignment horizontal="left" vertical="center"/>
    </xf>
    <xf numFmtId="0" fontId="18" fillId="22" borderId="16" xfId="0" applyFont="1" applyFill="1" applyBorder="1" applyAlignment="1" applyProtection="1">
      <alignment horizontal="justify" vertical="top" wrapText="1"/>
    </xf>
    <xf numFmtId="4" fontId="51" fillId="0" borderId="16" xfId="0" applyNumberFormat="1" applyFont="1" applyBorder="1" applyAlignment="1">
      <alignment horizontal="right" vertical="center" wrapText="1"/>
    </xf>
    <xf numFmtId="0" fontId="18" fillId="0" borderId="16" xfId="0" applyFont="1" applyFill="1" applyBorder="1" applyAlignment="1" applyProtection="1">
      <alignment horizontal="justify" vertical="top" wrapText="1"/>
    </xf>
    <xf numFmtId="171" fontId="18" fillId="0" borderId="16" xfId="3" applyNumberFormat="1" applyFont="1" applyFill="1" applyBorder="1" applyAlignment="1" applyProtection="1">
      <alignment horizontal="right" vertical="center"/>
      <protection locked="0"/>
    </xf>
    <xf numFmtId="0" fontId="18" fillId="22" borderId="16" xfId="0" applyFont="1" applyFill="1" applyBorder="1" applyAlignment="1" applyProtection="1">
      <alignment wrapText="1"/>
    </xf>
    <xf numFmtId="1" fontId="43" fillId="23" borderId="16" xfId="4" applyNumberFormat="1" applyFont="1" applyFill="1" applyBorder="1" applyAlignment="1" applyProtection="1">
      <alignment horizontal="left"/>
    </xf>
    <xf numFmtId="0" fontId="20" fillId="23" borderId="16" xfId="0" applyFont="1" applyFill="1" applyBorder="1" applyProtection="1"/>
    <xf numFmtId="171" fontId="20" fillId="23" borderId="16" xfId="3" applyNumberFormat="1" applyFont="1" applyFill="1" applyBorder="1" applyAlignment="1" applyProtection="1">
      <alignment horizontal="right"/>
    </xf>
    <xf numFmtId="1" fontId="45" fillId="0" borderId="16" xfId="4" applyNumberFormat="1" applyFont="1" applyBorder="1" applyAlignment="1" applyProtection="1">
      <alignment horizontal="left"/>
    </xf>
    <xf numFmtId="0" fontId="20" fillId="0" borderId="16" xfId="0" applyFont="1" applyBorder="1" applyProtection="1"/>
    <xf numFmtId="1" fontId="43" fillId="21" borderId="16" xfId="4" applyNumberFormat="1" applyFont="1" applyFill="1" applyBorder="1" applyAlignment="1" applyProtection="1">
      <alignment horizontal="left"/>
    </xf>
    <xf numFmtId="0" fontId="20" fillId="21" borderId="16" xfId="0" applyFont="1" applyFill="1" applyBorder="1" applyProtection="1"/>
    <xf numFmtId="171" fontId="20" fillId="21" borderId="16" xfId="3" applyNumberFormat="1" applyFont="1" applyFill="1" applyBorder="1" applyAlignment="1" applyProtection="1">
      <alignment horizontal="right"/>
      <protection locked="0"/>
    </xf>
    <xf numFmtId="1" fontId="43" fillId="0" borderId="16" xfId="4" applyNumberFormat="1" applyFont="1" applyFill="1" applyBorder="1" applyAlignment="1" applyProtection="1">
      <alignment horizontal="left"/>
    </xf>
    <xf numFmtId="0" fontId="48" fillId="22" borderId="16" xfId="0" applyFont="1" applyFill="1" applyBorder="1" applyProtection="1"/>
    <xf numFmtId="171" fontId="20" fillId="0" borderId="16" xfId="3" applyNumberFormat="1" applyFont="1" applyFill="1" applyBorder="1" applyAlignment="1" applyProtection="1">
      <alignment horizontal="right"/>
      <protection locked="0"/>
    </xf>
    <xf numFmtId="1" fontId="42" fillId="0" borderId="16" xfId="4" applyNumberFormat="1" applyFont="1" applyBorder="1" applyAlignment="1" applyProtection="1">
      <alignment horizontal="left"/>
    </xf>
    <xf numFmtId="1" fontId="43" fillId="24" borderId="16" xfId="4" applyNumberFormat="1" applyFont="1" applyFill="1" applyBorder="1" applyAlignment="1" applyProtection="1">
      <alignment horizontal="left"/>
    </xf>
    <xf numFmtId="0" fontId="20" fillId="24" borderId="16" xfId="0" applyFont="1" applyFill="1" applyBorder="1" applyProtection="1"/>
    <xf numFmtId="43" fontId="46" fillId="24" borderId="16" xfId="3" applyFont="1" applyFill="1" applyBorder="1" applyProtection="1">
      <protection locked="0"/>
    </xf>
    <xf numFmtId="1" fontId="43" fillId="15" borderId="16" xfId="4" applyNumberFormat="1" applyFont="1" applyFill="1" applyBorder="1" applyAlignment="1" applyProtection="1">
      <alignment horizontal="left"/>
    </xf>
    <xf numFmtId="43" fontId="20" fillId="0" borderId="16" xfId="3" applyFont="1" applyBorder="1" applyProtection="1">
      <protection locked="0"/>
    </xf>
    <xf numFmtId="1" fontId="43" fillId="13" borderId="16" xfId="4" applyNumberFormat="1" applyFont="1" applyFill="1" applyBorder="1" applyAlignment="1" applyProtection="1">
      <alignment horizontal="left"/>
    </xf>
    <xf numFmtId="1" fontId="20" fillId="13" borderId="16" xfId="0" applyNumberFormat="1" applyFont="1" applyFill="1" applyBorder="1" applyProtection="1"/>
    <xf numFmtId="1" fontId="47" fillId="22" borderId="16" xfId="0" applyNumberFormat="1" applyFont="1" applyFill="1" applyBorder="1" applyProtection="1"/>
    <xf numFmtId="166" fontId="48" fillId="3" borderId="16" xfId="3" applyNumberFormat="1" applyFont="1" applyFill="1" applyBorder="1" applyProtection="1"/>
    <xf numFmtId="4" fontId="51" fillId="27" borderId="16" xfId="0" applyNumberFormat="1" applyFont="1" applyFill="1" applyBorder="1" applyAlignment="1">
      <alignment horizontal="right" vertical="center"/>
    </xf>
    <xf numFmtId="171" fontId="47" fillId="15" borderId="16" xfId="3" applyNumberFormat="1" applyFont="1" applyFill="1" applyBorder="1" applyProtection="1">
      <protection locked="0"/>
    </xf>
    <xf numFmtId="1" fontId="43" fillId="28" borderId="16" xfId="0" applyNumberFormat="1" applyFont="1" applyFill="1" applyBorder="1" applyAlignment="1" applyProtection="1">
      <alignment horizontal="left"/>
    </xf>
    <xf numFmtId="1" fontId="52" fillId="28" borderId="16" xfId="0" applyNumberFormat="1" applyFont="1" applyFill="1" applyBorder="1" applyProtection="1"/>
    <xf numFmtId="171" fontId="46" fillId="28" borderId="16" xfId="3" applyNumberFormat="1" applyFont="1" applyFill="1" applyBorder="1" applyAlignment="1" applyProtection="1">
      <alignment horizontal="right"/>
      <protection locked="0"/>
    </xf>
    <xf numFmtId="1" fontId="17" fillId="13" borderId="16" xfId="0" applyNumberFormat="1" applyFont="1" applyFill="1" applyBorder="1" applyProtection="1"/>
    <xf numFmtId="0" fontId="17" fillId="0" borderId="16" xfId="0" applyFont="1" applyBorder="1" applyAlignment="1" applyProtection="1">
      <alignment horizontal="center" vertical="top" wrapText="1"/>
    </xf>
    <xf numFmtId="0" fontId="17" fillId="0" borderId="16" xfId="0" applyFont="1" applyBorder="1" applyAlignment="1" applyProtection="1">
      <alignment horizontal="center" vertical="center"/>
    </xf>
    <xf numFmtId="0" fontId="42" fillId="0" borderId="16" xfId="0" applyFont="1" applyBorder="1" applyAlignment="1" applyProtection="1">
      <alignment horizontal="center" vertical="center" wrapText="1"/>
    </xf>
    <xf numFmtId="0" fontId="48" fillId="22" borderId="16" xfId="0" applyFont="1" applyFill="1" applyBorder="1" applyAlignment="1" applyProtection="1">
      <alignment horizontal="justify" vertical="top" wrapText="1"/>
    </xf>
    <xf numFmtId="43" fontId="6" fillId="0" borderId="16" xfId="3" applyFont="1" applyBorder="1"/>
    <xf numFmtId="9" fontId="6" fillId="0" borderId="16" xfId="2" applyFont="1" applyBorder="1" applyAlignment="1">
      <alignment horizontal="center" vertical="center"/>
    </xf>
    <xf numFmtId="0" fontId="16" fillId="0" borderId="16" xfId="4" applyFont="1" applyBorder="1" applyAlignment="1">
      <alignment horizontal="center"/>
    </xf>
    <xf numFmtId="10" fontId="16" fillId="0" borderId="16" xfId="4" applyNumberFormat="1" applyFont="1" applyBorder="1" applyAlignment="1">
      <alignment horizontal="center"/>
    </xf>
    <xf numFmtId="43" fontId="48" fillId="0" borderId="50" xfId="3" applyFont="1" applyFill="1" applyBorder="1" applyProtection="1">
      <protection locked="0"/>
    </xf>
    <xf numFmtId="171" fontId="48" fillId="0" borderId="66" xfId="3" applyNumberFormat="1" applyFont="1" applyFill="1" applyBorder="1" applyProtection="1">
      <protection locked="0"/>
    </xf>
    <xf numFmtId="4" fontId="53" fillId="0" borderId="12" xfId="0" applyNumberFormat="1" applyFont="1" applyBorder="1"/>
    <xf numFmtId="43" fontId="48" fillId="0" borderId="40" xfId="3" applyFont="1" applyFill="1" applyBorder="1" applyProtection="1">
      <protection locked="0"/>
    </xf>
    <xf numFmtId="43" fontId="48" fillId="0" borderId="16" xfId="3" applyFont="1" applyFill="1" applyBorder="1" applyProtection="1">
      <protection locked="0"/>
    </xf>
    <xf numFmtId="43" fontId="46" fillId="0" borderId="56" xfId="3" applyFont="1" applyFill="1" applyBorder="1" applyProtection="1"/>
    <xf numFmtId="43" fontId="46" fillId="0" borderId="27" xfId="3" applyFont="1" applyFill="1" applyBorder="1" applyProtection="1"/>
    <xf numFmtId="43" fontId="46" fillId="0" borderId="16" xfId="3" applyFont="1" applyFill="1" applyBorder="1" applyProtection="1"/>
    <xf numFmtId="43" fontId="48" fillId="0" borderId="33" xfId="3" applyFont="1" applyFill="1" applyBorder="1" applyProtection="1">
      <protection locked="0"/>
    </xf>
    <xf numFmtId="43" fontId="46" fillId="0" borderId="50" xfId="3" applyFont="1" applyFill="1" applyBorder="1" applyProtection="1"/>
    <xf numFmtId="43" fontId="46" fillId="0" borderId="52" xfId="3" applyFont="1" applyFill="1" applyBorder="1" applyProtection="1"/>
    <xf numFmtId="43" fontId="46" fillId="0" borderId="32" xfId="3" applyFont="1" applyFill="1" applyBorder="1" applyProtection="1"/>
    <xf numFmtId="43" fontId="48" fillId="0" borderId="32" xfId="3" applyFont="1" applyFill="1" applyBorder="1" applyProtection="1"/>
    <xf numFmtId="43" fontId="48" fillId="0" borderId="33" xfId="3" applyFont="1" applyFill="1" applyBorder="1" applyProtection="1"/>
    <xf numFmtId="43" fontId="46" fillId="4" borderId="50" xfId="3" applyFont="1" applyFill="1" applyBorder="1" applyProtection="1"/>
    <xf numFmtId="43" fontId="46" fillId="4" borderId="50" xfId="3" applyFont="1" applyFill="1" applyBorder="1" applyAlignment="1" applyProtection="1"/>
    <xf numFmtId="43" fontId="46" fillId="4" borderId="12" xfId="3" applyFont="1" applyFill="1" applyBorder="1" applyAlignment="1" applyProtection="1"/>
    <xf numFmtId="43" fontId="46" fillId="4" borderId="49" xfId="3" applyFont="1" applyFill="1" applyBorder="1" applyAlignment="1" applyProtection="1"/>
    <xf numFmtId="43" fontId="46" fillId="25" borderId="29" xfId="3" applyFont="1" applyFill="1" applyBorder="1" applyAlignment="1" applyProtection="1">
      <alignment wrapText="1"/>
      <protection locked="0"/>
    </xf>
    <xf numFmtId="43" fontId="46" fillId="25" borderId="30" xfId="3" applyFont="1" applyFill="1" applyBorder="1" applyAlignment="1" applyProtection="1">
      <alignment wrapText="1"/>
      <protection locked="0"/>
    </xf>
    <xf numFmtId="43" fontId="46" fillId="25" borderId="39" xfId="3" applyFont="1" applyFill="1" applyBorder="1" applyAlignment="1" applyProtection="1">
      <alignment wrapText="1"/>
      <protection locked="0"/>
    </xf>
    <xf numFmtId="43" fontId="46" fillId="25" borderId="60" xfId="3" applyFont="1" applyFill="1" applyBorder="1" applyAlignment="1" applyProtection="1">
      <alignment wrapText="1"/>
      <protection locked="0"/>
    </xf>
    <xf numFmtId="43" fontId="46" fillId="25" borderId="29" xfId="3" applyFont="1" applyFill="1" applyBorder="1" applyAlignment="1" applyProtection="1"/>
    <xf numFmtId="43" fontId="48" fillId="0" borderId="9" xfId="3" applyFont="1" applyFill="1" applyBorder="1" applyAlignment="1" applyProtection="1">
      <alignment horizontal="right" vertical="center" wrapText="1"/>
      <protection locked="0"/>
    </xf>
    <xf numFmtId="43" fontId="48" fillId="0" borderId="16" xfId="3" applyFont="1" applyFill="1" applyBorder="1" applyAlignment="1" applyProtection="1">
      <alignment horizontal="right" vertical="center" wrapText="1"/>
      <protection locked="0"/>
    </xf>
    <xf numFmtId="43" fontId="48" fillId="0" borderId="56" xfId="3" applyFont="1" applyFill="1" applyBorder="1" applyAlignment="1" applyProtection="1">
      <alignment horizontal="right" vertical="center" wrapText="1"/>
      <protection locked="0"/>
    </xf>
    <xf numFmtId="43" fontId="48" fillId="0" borderId="16" xfId="3" applyFont="1" applyFill="1" applyBorder="1" applyAlignment="1" applyProtection="1">
      <alignment horizontal="right" vertical="center"/>
    </xf>
    <xf numFmtId="43" fontId="48" fillId="0" borderId="17" xfId="3" applyFont="1" applyFill="1" applyBorder="1" applyAlignment="1" applyProtection="1">
      <alignment wrapText="1"/>
      <protection locked="0"/>
    </xf>
    <xf numFmtId="43" fontId="48" fillId="0" borderId="40" xfId="3" applyFont="1" applyFill="1" applyBorder="1" applyAlignment="1" applyProtection="1">
      <alignment wrapText="1"/>
      <protection locked="0"/>
    </xf>
    <xf numFmtId="43" fontId="48" fillId="0" borderId="16" xfId="3" applyFont="1" applyFill="1" applyBorder="1" applyAlignment="1" applyProtection="1">
      <alignment wrapText="1"/>
      <protection locked="0"/>
    </xf>
    <xf numFmtId="43" fontId="46" fillId="25" borderId="16" xfId="3" applyFont="1" applyFill="1" applyBorder="1" applyAlignment="1" applyProtection="1">
      <alignment wrapText="1"/>
      <protection locked="0"/>
    </xf>
    <xf numFmtId="43" fontId="46" fillId="25" borderId="17" xfId="3" applyFont="1" applyFill="1" applyBorder="1" applyAlignment="1" applyProtection="1">
      <alignment wrapText="1"/>
      <protection locked="0"/>
    </xf>
    <xf numFmtId="43" fontId="46" fillId="25" borderId="40" xfId="3" applyFont="1" applyFill="1" applyBorder="1" applyAlignment="1" applyProtection="1">
      <alignment wrapText="1"/>
      <protection locked="0"/>
    </xf>
    <xf numFmtId="43" fontId="46" fillId="25" borderId="16" xfId="3" applyFont="1" applyFill="1" applyBorder="1" applyAlignment="1" applyProtection="1"/>
    <xf numFmtId="43" fontId="48" fillId="0" borderId="16" xfId="3" applyFont="1" applyFill="1" applyBorder="1" applyAlignment="1" applyProtection="1">
      <alignment horizontal="center" vertical="center" wrapText="1"/>
      <protection locked="0"/>
    </xf>
    <xf numFmtId="43" fontId="48" fillId="0" borderId="17" xfId="3" applyFont="1" applyFill="1" applyBorder="1" applyAlignment="1" applyProtection="1">
      <alignment horizontal="center" vertical="center" wrapText="1"/>
      <protection locked="0"/>
    </xf>
    <xf numFmtId="43" fontId="48" fillId="0" borderId="16" xfId="3" applyFont="1" applyFill="1" applyBorder="1" applyAlignment="1" applyProtection="1">
      <alignment vertical="center" wrapText="1"/>
      <protection locked="0"/>
    </xf>
    <xf numFmtId="43" fontId="46" fillId="25" borderId="34" xfId="3" applyFont="1" applyFill="1" applyBorder="1" applyAlignment="1" applyProtection="1">
      <alignment horizontal="center" vertical="center" wrapText="1"/>
      <protection locked="0"/>
    </xf>
    <xf numFmtId="43" fontId="46" fillId="25" borderId="16" xfId="3" applyFont="1" applyFill="1" applyBorder="1" applyAlignment="1" applyProtection="1">
      <alignment horizontal="center" vertical="center" wrapText="1"/>
      <protection locked="0"/>
    </xf>
    <xf numFmtId="43" fontId="46" fillId="25" borderId="17" xfId="3" applyFont="1" applyFill="1" applyBorder="1" applyAlignment="1" applyProtection="1">
      <alignment horizontal="center" vertical="center" wrapText="1"/>
      <protection locked="0"/>
    </xf>
    <xf numFmtId="43" fontId="46" fillId="25" borderId="16" xfId="3" applyFont="1" applyFill="1" applyBorder="1" applyAlignment="1" applyProtection="1">
      <alignment horizontal="center" vertical="center"/>
    </xf>
    <xf numFmtId="43" fontId="48" fillId="0" borderId="40" xfId="3" applyFont="1" applyFill="1" applyBorder="1" applyAlignment="1" applyProtection="1">
      <alignment vertical="center" wrapText="1"/>
      <protection locked="0"/>
    </xf>
    <xf numFmtId="43" fontId="48" fillId="0" borderId="16" xfId="3" applyFont="1" applyFill="1" applyBorder="1" applyAlignment="1" applyProtection="1">
      <alignment vertical="center"/>
    </xf>
    <xf numFmtId="43" fontId="48" fillId="0" borderId="34" xfId="3" applyFont="1" applyFill="1" applyBorder="1" applyAlignment="1" applyProtection="1">
      <alignment wrapText="1"/>
      <protection locked="0"/>
    </xf>
    <xf numFmtId="43" fontId="46" fillId="25" borderId="34" xfId="3" applyFont="1" applyFill="1" applyBorder="1" applyAlignment="1" applyProtection="1">
      <alignment wrapText="1"/>
      <protection locked="0"/>
    </xf>
    <xf numFmtId="43" fontId="48" fillId="0" borderId="56" xfId="3" applyFont="1" applyFill="1" applyBorder="1" applyAlignment="1" applyProtection="1">
      <alignment wrapText="1"/>
      <protection locked="0"/>
    </xf>
    <xf numFmtId="43" fontId="48" fillId="0" borderId="9" xfId="3" applyFont="1" applyFill="1" applyBorder="1" applyAlignment="1" applyProtection="1">
      <alignment wrapText="1"/>
      <protection locked="0"/>
    </xf>
    <xf numFmtId="43" fontId="46" fillId="25" borderId="56" xfId="3" applyFont="1" applyFill="1" applyBorder="1" applyAlignment="1" applyProtection="1">
      <alignment wrapText="1"/>
      <protection locked="0"/>
    </xf>
    <xf numFmtId="43" fontId="46" fillId="25" borderId="31" xfId="3" applyFont="1" applyFill="1" applyBorder="1" applyAlignment="1" applyProtection="1">
      <alignment wrapText="1"/>
      <protection locked="0"/>
    </xf>
    <xf numFmtId="43" fontId="46" fillId="25" borderId="27" xfId="3" applyFont="1" applyFill="1" applyBorder="1" applyAlignment="1" applyProtection="1"/>
    <xf numFmtId="43" fontId="48" fillId="0" borderId="38" xfId="3" applyFont="1" applyFill="1" applyBorder="1" applyAlignment="1" applyProtection="1">
      <alignment wrapText="1"/>
      <protection locked="0"/>
    </xf>
    <xf numFmtId="43" fontId="48" fillId="0" borderId="27" xfId="3" applyFont="1" applyFill="1" applyBorder="1" applyAlignment="1" applyProtection="1">
      <alignment wrapText="1"/>
      <protection locked="0"/>
    </xf>
    <xf numFmtId="43" fontId="48" fillId="0" borderId="27" xfId="3" applyFont="1" applyFill="1" applyBorder="1" applyAlignment="1" applyProtection="1"/>
    <xf numFmtId="43" fontId="48" fillId="0" borderId="34" xfId="3" applyFont="1" applyFill="1" applyBorder="1" applyAlignment="1" applyProtection="1">
      <alignment horizontal="center" vertical="center" wrapText="1"/>
      <protection locked="0"/>
    </xf>
    <xf numFmtId="43" fontId="48" fillId="0" borderId="27" xfId="3" applyFont="1" applyFill="1" applyBorder="1" applyAlignment="1" applyProtection="1">
      <alignment horizontal="center" vertical="center" wrapText="1"/>
      <protection locked="0"/>
    </xf>
    <xf numFmtId="43" fontId="48" fillId="0" borderId="23" xfId="3" applyFont="1" applyFill="1" applyBorder="1" applyAlignment="1" applyProtection="1">
      <alignment horizontal="center" vertical="center" wrapText="1"/>
      <protection locked="0"/>
    </xf>
    <xf numFmtId="43" fontId="48" fillId="0" borderId="52" xfId="3" applyFont="1" applyFill="1" applyBorder="1" applyAlignment="1" applyProtection="1"/>
    <xf numFmtId="43" fontId="46" fillId="0" borderId="51" xfId="3" applyFont="1" applyFill="1" applyBorder="1" applyAlignment="1" applyProtection="1"/>
    <xf numFmtId="43" fontId="48" fillId="0" borderId="55" xfId="3" applyFont="1" applyFill="1" applyBorder="1" applyAlignment="1" applyProtection="1"/>
    <xf numFmtId="43" fontId="54" fillId="0" borderId="15" xfId="3" applyFont="1" applyBorder="1" applyProtection="1"/>
    <xf numFmtId="43" fontId="54" fillId="0" borderId="12" xfId="3" applyFont="1" applyBorder="1" applyProtection="1"/>
    <xf numFmtId="43" fontId="54" fillId="0" borderId="7" xfId="3" applyFont="1" applyBorder="1" applyProtection="1"/>
    <xf numFmtId="43" fontId="48" fillId="0" borderId="15" xfId="3" applyFont="1" applyFill="1" applyBorder="1" applyAlignment="1" applyProtection="1"/>
    <xf numFmtId="43" fontId="48" fillId="0" borderId="51" xfId="3" applyFont="1" applyFill="1" applyBorder="1" applyAlignment="1" applyProtection="1"/>
    <xf numFmtId="43" fontId="46" fillId="4" borderId="68" xfId="3" applyFont="1" applyFill="1" applyBorder="1" applyProtection="1"/>
    <xf numFmtId="43" fontId="46" fillId="4" borderId="62" xfId="3" applyFont="1" applyFill="1" applyBorder="1" applyProtection="1"/>
    <xf numFmtId="43" fontId="46" fillId="4" borderId="13" xfId="3" applyFont="1" applyFill="1" applyBorder="1" applyProtection="1"/>
    <xf numFmtId="43" fontId="46" fillId="4" borderId="12" xfId="3" applyFont="1" applyFill="1" applyBorder="1" applyProtection="1"/>
    <xf numFmtId="43" fontId="48" fillId="0" borderId="17" xfId="3" applyFont="1" applyFill="1" applyBorder="1" applyProtection="1">
      <protection locked="0"/>
    </xf>
    <xf numFmtId="43" fontId="46" fillId="0" borderId="23" xfId="3" applyFont="1" applyFill="1" applyBorder="1" applyProtection="1"/>
    <xf numFmtId="43" fontId="46" fillId="0" borderId="28" xfId="3" applyFont="1" applyFill="1" applyBorder="1" applyProtection="1"/>
    <xf numFmtId="43" fontId="46" fillId="0" borderId="24" xfId="3" applyFont="1" applyFill="1" applyBorder="1" applyProtection="1"/>
    <xf numFmtId="43" fontId="46" fillId="0" borderId="17" xfId="3" applyFont="1" applyFill="1" applyBorder="1" applyProtection="1"/>
    <xf numFmtId="43" fontId="46" fillId="0" borderId="38" xfId="3" applyFont="1" applyFill="1" applyBorder="1" applyProtection="1"/>
    <xf numFmtId="43" fontId="46" fillId="0" borderId="40" xfId="3" applyFont="1" applyFill="1" applyBorder="1" applyProtection="1"/>
    <xf numFmtId="43" fontId="48" fillId="0" borderId="0" xfId="3" applyFont="1" applyFill="1"/>
    <xf numFmtId="43" fontId="48" fillId="0" borderId="17" xfId="3" applyFont="1" applyFill="1" applyBorder="1"/>
    <xf numFmtId="43" fontId="48" fillId="0" borderId="31" xfId="3" applyFont="1" applyFill="1" applyBorder="1" applyProtection="1">
      <protection locked="0"/>
    </xf>
    <xf numFmtId="43" fontId="48" fillId="0" borderId="67" xfId="3" applyFont="1" applyFill="1" applyBorder="1" applyProtection="1">
      <protection locked="0"/>
    </xf>
    <xf numFmtId="43" fontId="48" fillId="0" borderId="35" xfId="3" applyFont="1" applyFill="1" applyBorder="1" applyProtection="1">
      <protection locked="0"/>
    </xf>
    <xf numFmtId="43" fontId="48" fillId="0" borderId="53" xfId="3" applyFont="1" applyFill="1" applyBorder="1" applyProtection="1">
      <protection locked="0"/>
    </xf>
    <xf numFmtId="43" fontId="46" fillId="4" borderId="66" xfId="3" applyFont="1" applyFill="1" applyBorder="1" applyProtection="1"/>
    <xf numFmtId="43" fontId="46" fillId="4" borderId="49" xfId="3" applyFont="1" applyFill="1" applyBorder="1" applyProtection="1"/>
    <xf numFmtId="0" fontId="46" fillId="4" borderId="14" xfId="0" applyFont="1" applyFill="1" applyBorder="1" applyAlignment="1" applyProtection="1">
      <alignment horizontal="left"/>
    </xf>
    <xf numFmtId="0" fontId="46" fillId="25" borderId="37" xfId="0" applyFont="1" applyFill="1" applyBorder="1" applyAlignment="1" applyProtection="1">
      <alignment horizontal="left" wrapText="1"/>
      <protection locked="0"/>
    </xf>
    <xf numFmtId="0" fontId="48" fillId="0" borderId="40" xfId="0" applyFont="1" applyFill="1" applyBorder="1" applyAlignment="1" applyProtection="1">
      <alignment horizontal="left" vertical="center" wrapText="1"/>
      <protection locked="0"/>
    </xf>
    <xf numFmtId="0" fontId="48" fillId="0" borderId="40" xfId="0" applyFont="1" applyFill="1" applyBorder="1" applyAlignment="1" applyProtection="1">
      <alignment horizontal="left" wrapText="1"/>
      <protection locked="0"/>
    </xf>
    <xf numFmtId="0" fontId="48" fillId="0" borderId="40" xfId="0" applyFont="1" applyFill="1" applyBorder="1" applyAlignment="1" applyProtection="1">
      <alignment horizontal="left"/>
      <protection locked="0"/>
    </xf>
    <xf numFmtId="0" fontId="46" fillId="25" borderId="40" xfId="0" applyFont="1" applyFill="1" applyBorder="1" applyAlignment="1" applyProtection="1">
      <alignment horizontal="left" wrapText="1"/>
      <protection locked="0"/>
    </xf>
    <xf numFmtId="0" fontId="46" fillId="25" borderId="16" xfId="0" applyFont="1" applyFill="1" applyBorder="1" applyAlignment="1" applyProtection="1">
      <alignment horizontal="left" wrapText="1"/>
      <protection locked="0"/>
    </xf>
    <xf numFmtId="0" fontId="48" fillId="0" borderId="16" xfId="0" applyFont="1" applyFill="1" applyBorder="1" applyAlignment="1" applyProtection="1">
      <alignment horizontal="left" wrapText="1"/>
      <protection locked="0"/>
    </xf>
    <xf numFmtId="0" fontId="48" fillId="0" borderId="16" xfId="0" applyFont="1" applyFill="1" applyBorder="1" applyAlignment="1" applyProtection="1">
      <alignment horizontal="left" vertical="center" wrapText="1"/>
      <protection locked="0"/>
    </xf>
    <xf numFmtId="0" fontId="48" fillId="0" borderId="34" xfId="0" applyFont="1" applyFill="1" applyBorder="1" applyAlignment="1" applyProtection="1">
      <alignment horizontal="left" wrapText="1"/>
      <protection locked="0"/>
    </xf>
    <xf numFmtId="0" fontId="46" fillId="25" borderId="27" xfId="0" applyFont="1" applyFill="1" applyBorder="1" applyAlignment="1" applyProtection="1">
      <alignment horizontal="left" wrapText="1"/>
      <protection locked="0"/>
    </xf>
    <xf numFmtId="0" fontId="48" fillId="0" borderId="27" xfId="0" applyFont="1" applyFill="1" applyBorder="1" applyAlignment="1" applyProtection="1">
      <alignment horizontal="left" wrapText="1"/>
      <protection locked="0"/>
    </xf>
    <xf numFmtId="0" fontId="46" fillId="0" borderId="16" xfId="0" applyFont="1" applyFill="1" applyBorder="1" applyAlignment="1" applyProtection="1">
      <alignment horizontal="left"/>
    </xf>
    <xf numFmtId="0" fontId="46" fillId="0" borderId="34" xfId="0" applyFont="1" applyFill="1" applyBorder="1" applyAlignment="1" applyProtection="1">
      <alignment horizontal="left"/>
    </xf>
    <xf numFmtId="0" fontId="54" fillId="0" borderId="14" xfId="0" applyFont="1" applyBorder="1" applyAlignment="1" applyProtection="1">
      <alignment horizontal="left"/>
    </xf>
    <xf numFmtId="0" fontId="46" fillId="4" borderId="10" xfId="0" applyFont="1" applyFill="1" applyBorder="1" applyAlignment="1" applyProtection="1">
      <alignment horizontal="left"/>
    </xf>
    <xf numFmtId="3" fontId="19" fillId="9" borderId="16" xfId="0" applyNumberFormat="1" applyFont="1" applyFill="1" applyBorder="1" applyAlignment="1">
      <alignment horizontal="justify" vertical="top" wrapText="1"/>
    </xf>
    <xf numFmtId="3" fontId="36" fillId="9" borderId="34" xfId="0" applyNumberFormat="1" applyFont="1" applyFill="1" applyBorder="1" applyAlignment="1">
      <alignment horizontal="justify" vertical="top" wrapText="1"/>
    </xf>
    <xf numFmtId="10" fontId="11" fillId="10" borderId="27" xfId="2" applyNumberFormat="1" applyFont="1" applyFill="1" applyBorder="1" applyAlignment="1">
      <alignment horizontal="center" vertical="center" wrapText="1"/>
    </xf>
    <xf numFmtId="10" fontId="11" fillId="10" borderId="16" xfId="0" applyNumberFormat="1" applyFont="1" applyFill="1" applyBorder="1" applyAlignment="1">
      <alignment horizontal="center" vertical="center" wrapText="1"/>
    </xf>
    <xf numFmtId="4" fontId="51" fillId="0" borderId="16" xfId="0" applyNumberFormat="1" applyFont="1" applyFill="1" applyBorder="1" applyAlignment="1">
      <alignment horizontal="right" vertical="center"/>
    </xf>
    <xf numFmtId="4" fontId="51" fillId="0" borderId="16" xfId="0" applyNumberFormat="1" applyFont="1" applyFill="1" applyBorder="1" applyAlignment="1">
      <alignment horizontal="right" vertical="center" wrapText="1"/>
    </xf>
    <xf numFmtId="171" fontId="48" fillId="0" borderId="16" xfId="3" applyNumberFormat="1" applyFont="1" applyFill="1" applyBorder="1" applyAlignment="1" applyProtection="1">
      <alignment horizontal="right"/>
      <protection locked="0"/>
    </xf>
    <xf numFmtId="171" fontId="18" fillId="22" borderId="16" xfId="3" applyNumberFormat="1" applyFont="1" applyFill="1" applyBorder="1" applyProtection="1">
      <protection locked="0"/>
    </xf>
    <xf numFmtId="171" fontId="18" fillId="22" borderId="16" xfId="3" applyNumberFormat="1" applyFont="1" applyFill="1" applyBorder="1" applyAlignment="1" applyProtection="1">
      <alignment horizontal="center" vertical="center"/>
      <protection locked="0"/>
    </xf>
    <xf numFmtId="171" fontId="18" fillId="22" borderId="16" xfId="3" applyNumberFormat="1" applyFont="1" applyFill="1" applyBorder="1" applyAlignment="1" applyProtection="1">
      <alignment vertical="center"/>
      <protection locked="0"/>
    </xf>
    <xf numFmtId="171" fontId="47" fillId="22" borderId="16" xfId="3" applyNumberFormat="1" applyFont="1" applyFill="1" applyBorder="1" applyProtection="1">
      <protection locked="0"/>
    </xf>
    <xf numFmtId="4" fontId="53" fillId="0" borderId="16" xfId="0" applyNumberFormat="1" applyFont="1" applyFill="1" applyBorder="1" applyAlignment="1">
      <alignment horizontal="right" vertical="center"/>
    </xf>
    <xf numFmtId="166" fontId="48" fillId="0" borderId="56" xfId="3" applyNumberFormat="1" applyFont="1" applyFill="1" applyBorder="1" applyAlignment="1" applyProtection="1">
      <alignment horizontal="right" vertical="center" wrapText="1"/>
      <protection locked="0"/>
    </xf>
    <xf numFmtId="166" fontId="48" fillId="0" borderId="25" xfId="3" applyNumberFormat="1" applyFont="1" applyFill="1" applyBorder="1" applyAlignment="1" applyProtection="1">
      <alignment horizontal="right" vertical="center" wrapText="1"/>
      <protection locked="0"/>
    </xf>
    <xf numFmtId="4" fontId="53" fillId="0" borderId="16" xfId="0" applyNumberFormat="1" applyFont="1" applyFill="1" applyBorder="1" applyAlignment="1">
      <alignment vertical="center"/>
    </xf>
    <xf numFmtId="4" fontId="48" fillId="0" borderId="16" xfId="0" applyNumberFormat="1" applyFont="1" applyFill="1" applyBorder="1" applyAlignment="1">
      <alignment vertical="center"/>
    </xf>
    <xf numFmtId="43" fontId="48" fillId="0" borderId="17" xfId="3" applyFont="1" applyFill="1" applyBorder="1" applyAlignment="1" applyProtection="1">
      <alignment vertical="center" wrapText="1"/>
      <protection locked="0"/>
    </xf>
    <xf numFmtId="4" fontId="53" fillId="0" borderId="16" xfId="0" applyNumberFormat="1" applyFont="1" applyFill="1" applyBorder="1"/>
    <xf numFmtId="43" fontId="53" fillId="0" borderId="16" xfId="3" applyFont="1" applyFill="1" applyBorder="1" applyAlignment="1">
      <alignment horizontal="right" vertical="center"/>
    </xf>
    <xf numFmtId="43" fontId="48" fillId="0" borderId="25" xfId="3" applyFont="1" applyFill="1" applyBorder="1" applyAlignment="1" applyProtection="1">
      <alignment wrapText="1"/>
      <protection locked="0"/>
    </xf>
    <xf numFmtId="9" fontId="6" fillId="0" borderId="0" xfId="2" applyFont="1" applyAlignment="1">
      <alignment horizontal="center" vertical="center"/>
    </xf>
    <xf numFmtId="9" fontId="6" fillId="0" borderId="0" xfId="2" applyFont="1" applyAlignment="1">
      <alignment horizontal="center"/>
    </xf>
    <xf numFmtId="4" fontId="53" fillId="0" borderId="12" xfId="0" applyNumberFormat="1" applyFont="1" applyFill="1" applyBorder="1"/>
    <xf numFmtId="43" fontId="48" fillId="0" borderId="49" xfId="3" applyFont="1" applyFill="1" applyBorder="1" applyProtection="1">
      <protection locked="0"/>
    </xf>
    <xf numFmtId="43" fontId="48" fillId="0" borderId="19" xfId="3" applyFont="1" applyFill="1" applyBorder="1" applyProtection="1">
      <protection locked="0"/>
    </xf>
    <xf numFmtId="43" fontId="48" fillId="0" borderId="27" xfId="3" applyFont="1" applyFill="1" applyBorder="1" applyProtection="1">
      <protection locked="0"/>
    </xf>
    <xf numFmtId="43" fontId="48" fillId="0" borderId="20" xfId="3" applyFont="1" applyFill="1" applyBorder="1" applyProtection="1">
      <protection locked="0"/>
    </xf>
    <xf numFmtId="4" fontId="53" fillId="0" borderId="0" xfId="0" applyNumberFormat="1" applyFont="1" applyFill="1"/>
    <xf numFmtId="9" fontId="14" fillId="17" borderId="16" xfId="0" applyNumberFormat="1" applyFont="1" applyFill="1" applyBorder="1" applyAlignment="1">
      <alignment horizontal="center" vertical="center" wrapText="1"/>
    </xf>
    <xf numFmtId="170" fontId="11" fillId="10" borderId="16" xfId="0" applyNumberFormat="1" applyFont="1" applyFill="1" applyBorder="1" applyAlignment="1">
      <alignment horizontal="center" vertical="center" wrapText="1"/>
    </xf>
    <xf numFmtId="3" fontId="50" fillId="17" borderId="44" xfId="0" applyNumberFormat="1" applyFont="1" applyFill="1" applyBorder="1" applyAlignment="1">
      <alignment vertical="center" wrapText="1"/>
    </xf>
    <xf numFmtId="0" fontId="10" fillId="7"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9" fillId="7" borderId="3" xfId="0" applyFont="1" applyFill="1" applyBorder="1" applyAlignment="1">
      <alignment horizontal="center" vertical="top" wrapText="1"/>
    </xf>
    <xf numFmtId="165" fontId="11" fillId="10" borderId="16" xfId="0" applyNumberFormat="1" applyFont="1" applyFill="1" applyBorder="1" applyAlignment="1">
      <alignment horizontal="center" vertical="center" wrapText="1"/>
    </xf>
    <xf numFmtId="165" fontId="11" fillId="10" borderId="34" xfId="0" applyNumberFormat="1" applyFont="1" applyFill="1" applyBorder="1" applyAlignment="1">
      <alignment horizontal="center" vertical="center" wrapText="1"/>
    </xf>
    <xf numFmtId="9" fontId="11" fillId="10" borderId="11" xfId="2" applyFont="1" applyFill="1" applyBorder="1" applyAlignment="1">
      <alignment horizontal="center" vertical="center" wrapText="1"/>
    </xf>
    <xf numFmtId="172" fontId="11" fillId="10" borderId="27" xfId="2" applyNumberFormat="1" applyFont="1" applyFill="1" applyBorder="1" applyAlignment="1">
      <alignment horizontal="center" vertical="center" wrapText="1"/>
    </xf>
    <xf numFmtId="172" fontId="11" fillId="10" borderId="16" xfId="2" applyNumberFormat="1" applyFont="1" applyFill="1" applyBorder="1" applyAlignment="1">
      <alignment horizontal="center" vertical="center" wrapText="1"/>
    </xf>
    <xf numFmtId="172" fontId="11" fillId="10" borderId="34" xfId="2" applyNumberFormat="1" applyFont="1" applyFill="1" applyBorder="1" applyAlignment="1">
      <alignment horizontal="center" vertical="center" wrapText="1"/>
    </xf>
    <xf numFmtId="10" fontId="11" fillId="10" borderId="12" xfId="0" applyNumberFormat="1" applyFont="1" applyFill="1" applyBorder="1" applyAlignment="1">
      <alignment horizontal="center" vertical="center" wrapText="1"/>
    </xf>
    <xf numFmtId="9" fontId="11" fillId="10" borderId="12" xfId="2" applyFont="1" applyFill="1" applyBorder="1" applyAlignment="1">
      <alignment horizontal="center" vertical="center" wrapText="1"/>
    </xf>
    <xf numFmtId="9" fontId="10" fillId="17" borderId="12" xfId="2" applyFont="1" applyFill="1" applyBorder="1" applyAlignment="1">
      <alignment horizontal="center" vertical="center" wrapText="1"/>
    </xf>
    <xf numFmtId="9" fontId="10" fillId="17" borderId="12" xfId="2" applyNumberFormat="1" applyFont="1" applyFill="1" applyBorder="1" applyAlignment="1">
      <alignment horizontal="center" vertical="center" wrapText="1"/>
    </xf>
    <xf numFmtId="9" fontId="11" fillId="10" borderId="15" xfId="2" applyFont="1" applyFill="1" applyBorder="1" applyAlignment="1">
      <alignment horizontal="center" vertical="center" wrapText="1"/>
    </xf>
    <xf numFmtId="9" fontId="11" fillId="10" borderId="12" xfId="2" applyNumberFormat="1" applyFont="1" applyFill="1" applyBorder="1" applyAlignment="1">
      <alignment horizontal="center" vertical="center" wrapText="1"/>
    </xf>
    <xf numFmtId="168" fontId="11" fillId="10" borderId="56" xfId="2" applyNumberFormat="1" applyFont="1" applyFill="1" applyBorder="1" applyAlignment="1">
      <alignment horizontal="center" vertical="center" wrapText="1"/>
    </xf>
    <xf numFmtId="165" fontId="11" fillId="10" borderId="56" xfId="0" applyNumberFormat="1" applyFont="1" applyFill="1" applyBorder="1" applyAlignment="1">
      <alignment horizontal="center" vertical="center" wrapText="1"/>
    </xf>
    <xf numFmtId="168" fontId="11" fillId="10" borderId="56" xfId="0" applyNumberFormat="1" applyFont="1" applyFill="1" applyBorder="1" applyAlignment="1">
      <alignment horizontal="center" vertical="center" wrapText="1"/>
    </xf>
    <xf numFmtId="9" fontId="10" fillId="10" borderId="12" xfId="2" applyFont="1" applyFill="1" applyBorder="1" applyAlignment="1">
      <alignment horizontal="center" vertical="top" wrapText="1"/>
    </xf>
    <xf numFmtId="9" fontId="10" fillId="10" borderId="12" xfId="2" applyFont="1" applyFill="1" applyBorder="1" applyAlignment="1">
      <alignment horizontal="center" vertical="center" wrapText="1"/>
    </xf>
    <xf numFmtId="168" fontId="11" fillId="10" borderId="16" xfId="0" applyNumberFormat="1" applyFont="1" applyFill="1" applyBorder="1" applyAlignment="1">
      <alignment horizontal="center" vertical="center" wrapText="1"/>
    </xf>
    <xf numFmtId="168" fontId="11" fillId="10" borderId="34" xfId="0" applyNumberFormat="1" applyFont="1" applyFill="1" applyBorder="1" applyAlignment="1">
      <alignment horizontal="center" vertical="center" wrapText="1"/>
    </xf>
    <xf numFmtId="168" fontId="11" fillId="10" borderId="27" xfId="2" applyNumberFormat="1" applyFont="1" applyFill="1" applyBorder="1" applyAlignment="1">
      <alignment horizontal="center" vertical="center" wrapText="1"/>
    </xf>
    <xf numFmtId="168" fontId="11" fillId="10" borderId="16" xfId="2" applyNumberFormat="1" applyFont="1" applyFill="1" applyBorder="1" applyAlignment="1">
      <alignment horizontal="center" vertical="center" wrapText="1"/>
    </xf>
    <xf numFmtId="168" fontId="11" fillId="10" borderId="34" xfId="2" applyNumberFormat="1" applyFont="1" applyFill="1" applyBorder="1" applyAlignment="1">
      <alignment horizontal="center" vertical="center" wrapText="1"/>
    </xf>
    <xf numFmtId="3" fontId="19" fillId="0" borderId="4" xfId="0" applyNumberFormat="1" applyFont="1" applyFill="1" applyBorder="1" applyAlignment="1">
      <alignment vertical="center" wrapText="1"/>
    </xf>
    <xf numFmtId="3" fontId="19" fillId="0" borderId="12" xfId="0" applyNumberFormat="1" applyFont="1" applyFill="1" applyBorder="1" applyAlignment="1">
      <alignment vertical="center" wrapText="1"/>
    </xf>
    <xf numFmtId="3" fontId="19" fillId="0" borderId="1" xfId="0" applyNumberFormat="1" applyFont="1" applyFill="1" applyBorder="1" applyAlignment="1">
      <alignment vertical="center" wrapText="1"/>
    </xf>
    <xf numFmtId="3" fontId="19" fillId="0" borderId="7" xfId="0" applyNumberFormat="1" applyFont="1" applyFill="1" applyBorder="1" applyAlignment="1">
      <alignment vertical="center" wrapText="1"/>
    </xf>
    <xf numFmtId="9" fontId="10" fillId="0" borderId="12" xfId="2" applyFont="1" applyFill="1" applyBorder="1" applyAlignment="1">
      <alignment horizontal="center" vertical="center" wrapText="1"/>
    </xf>
    <xf numFmtId="9" fontId="11" fillId="16" borderId="27" xfId="2" applyNumberFormat="1"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4" fillId="0" borderId="3" xfId="4" applyFont="1" applyFill="1" applyBorder="1" applyAlignment="1">
      <alignment horizontal="left" vertical="top" wrapText="1"/>
    </xf>
    <xf numFmtId="0" fontId="26" fillId="0" borderId="21" xfId="0" applyFont="1" applyFill="1" applyBorder="1" applyAlignment="1">
      <alignment horizontal="center" vertical="center" textRotation="90" wrapText="1"/>
    </xf>
    <xf numFmtId="0" fontId="26" fillId="0" borderId="0" xfId="0" applyFont="1" applyFill="1" applyBorder="1" applyAlignment="1">
      <alignment horizontal="center" vertical="center" textRotation="90" wrapText="1"/>
    </xf>
    <xf numFmtId="0" fontId="26" fillId="0" borderId="11" xfId="0" applyFont="1" applyFill="1" applyBorder="1" applyAlignment="1">
      <alignment horizontal="center" vertical="center" textRotation="90" wrapText="1"/>
    </xf>
    <xf numFmtId="0" fontId="27" fillId="0" borderId="34" xfId="0" applyFont="1" applyFill="1" applyBorder="1" applyAlignment="1">
      <alignment horizontal="center" vertical="center" textRotation="90" wrapText="1"/>
    </xf>
    <xf numFmtId="0" fontId="27" fillId="0" borderId="56" xfId="0" applyFont="1" applyFill="1" applyBorder="1" applyAlignment="1">
      <alignment horizontal="center" vertical="center" textRotation="90" wrapText="1"/>
    </xf>
    <xf numFmtId="0" fontId="27" fillId="0" borderId="27" xfId="0" applyFont="1" applyFill="1" applyBorder="1" applyAlignment="1">
      <alignment horizontal="center" vertical="center" textRotation="90" wrapText="1"/>
    </xf>
    <xf numFmtId="0" fontId="28" fillId="0" borderId="34" xfId="0" applyFont="1" applyBorder="1" applyAlignment="1">
      <alignment horizontal="center" vertical="center" textRotation="90" wrapText="1"/>
    </xf>
    <xf numFmtId="0" fontId="28" fillId="0" borderId="56" xfId="0" applyFont="1" applyBorder="1" applyAlignment="1">
      <alignment horizontal="center" vertical="center" textRotation="90" wrapText="1"/>
    </xf>
    <xf numFmtId="0" fontId="28" fillId="0" borderId="27" xfId="0" applyFont="1" applyBorder="1" applyAlignment="1">
      <alignment horizontal="center" vertical="center" textRotation="90" wrapText="1"/>
    </xf>
    <xf numFmtId="0" fontId="28" fillId="0" borderId="58" xfId="0" applyFont="1" applyBorder="1" applyAlignment="1">
      <alignment horizontal="center" vertical="center" textRotation="90" wrapText="1"/>
    </xf>
    <xf numFmtId="0" fontId="28" fillId="0" borderId="25" xfId="0" applyFont="1" applyBorder="1" applyAlignment="1">
      <alignment horizontal="center" vertical="center" textRotation="90" wrapText="1"/>
    </xf>
    <xf numFmtId="0" fontId="10" fillId="7" borderId="14"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7" xfId="0" applyFont="1" applyFill="1" applyBorder="1" applyAlignment="1">
      <alignment horizontal="left" vertical="center" wrapText="1"/>
    </xf>
    <xf numFmtId="0" fontId="10" fillId="7" borderId="14" xfId="0" applyFont="1" applyFill="1" applyBorder="1" applyAlignment="1">
      <alignment horizontal="justify" vertical="top" wrapText="1"/>
    </xf>
    <xf numFmtId="0" fontId="10" fillId="7" borderId="15" xfId="0" applyFont="1" applyFill="1" applyBorder="1" applyAlignment="1">
      <alignment horizontal="justify" vertical="top" wrapText="1"/>
    </xf>
    <xf numFmtId="0" fontId="10" fillId="7" borderId="7" xfId="0" applyFont="1" applyFill="1" applyBorder="1" applyAlignment="1">
      <alignment horizontal="justify" vertical="top" wrapText="1"/>
    </xf>
    <xf numFmtId="0" fontId="10" fillId="7" borderId="14" xfId="0" applyFont="1" applyFill="1" applyBorder="1" applyAlignment="1">
      <alignment horizontal="left" vertical="top" wrapText="1"/>
    </xf>
    <xf numFmtId="0" fontId="10" fillId="7" borderId="15" xfId="0" applyFont="1" applyFill="1" applyBorder="1" applyAlignment="1">
      <alignment horizontal="left" vertical="top" wrapText="1"/>
    </xf>
    <xf numFmtId="0" fontId="10" fillId="7" borderId="7" xfId="0" applyFont="1" applyFill="1" applyBorder="1" applyAlignment="1">
      <alignment horizontal="left" vertical="top" wrapText="1"/>
    </xf>
    <xf numFmtId="0" fontId="25" fillId="0" borderId="34" xfId="0" applyFont="1" applyFill="1" applyBorder="1" applyAlignment="1">
      <alignment horizontal="center" vertical="center" textRotation="90" wrapText="1"/>
    </xf>
    <xf numFmtId="0" fontId="25" fillId="0" borderId="56" xfId="0" applyFont="1" applyFill="1" applyBorder="1" applyAlignment="1">
      <alignment horizontal="center" vertical="center" textRotation="90" wrapText="1"/>
    </xf>
    <xf numFmtId="0" fontId="25" fillId="0" borderId="27" xfId="0" applyFont="1" applyFill="1" applyBorder="1" applyAlignment="1">
      <alignment horizontal="center" vertical="center" textRotation="90" wrapText="1"/>
    </xf>
    <xf numFmtId="0" fontId="23" fillId="0" borderId="0"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24" fillId="7" borderId="39" xfId="0" applyFont="1" applyFill="1" applyBorder="1" applyAlignment="1">
      <alignment horizontal="center" vertical="center" textRotation="90" wrapText="1"/>
    </xf>
    <xf numFmtId="0" fontId="24" fillId="7" borderId="41" xfId="0" applyFont="1" applyFill="1" applyBorder="1" applyAlignment="1">
      <alignment horizontal="center" vertical="center" textRotation="90" wrapText="1"/>
    </xf>
    <xf numFmtId="0" fontId="24" fillId="7" borderId="46" xfId="0" applyFont="1" applyFill="1" applyBorder="1" applyAlignment="1">
      <alignment horizontal="center" vertical="center" textRotation="90" wrapText="1"/>
    </xf>
    <xf numFmtId="0" fontId="24" fillId="7" borderId="56" xfId="0" applyFont="1" applyFill="1" applyBorder="1" applyAlignment="1">
      <alignment horizontal="center" vertical="center" textRotation="90" wrapText="1"/>
    </xf>
    <xf numFmtId="0" fontId="0" fillId="0" borderId="56" xfId="0" applyBorder="1"/>
    <xf numFmtId="0" fontId="0" fillId="0" borderId="27" xfId="0" applyBorder="1"/>
    <xf numFmtId="0" fontId="24" fillId="7" borderId="27" xfId="0" applyFont="1" applyFill="1" applyBorder="1" applyAlignment="1">
      <alignment horizontal="center" vertical="center" textRotation="90" wrapText="1"/>
    </xf>
    <xf numFmtId="0" fontId="24" fillId="7" borderId="16" xfId="0" applyFont="1" applyFill="1" applyBorder="1" applyAlignment="1">
      <alignment horizontal="center" vertical="center" textRotation="90" wrapText="1"/>
    </xf>
    <xf numFmtId="0" fontId="24" fillId="7" borderId="34" xfId="0" applyFont="1" applyFill="1" applyBorder="1" applyAlignment="1">
      <alignment horizontal="center" vertical="center" textRotation="90" wrapText="1"/>
    </xf>
    <xf numFmtId="0" fontId="24" fillId="7" borderId="23" xfId="0" applyFont="1" applyFill="1" applyBorder="1" applyAlignment="1">
      <alignment horizontal="center" vertical="center" textRotation="90" wrapText="1"/>
    </xf>
    <xf numFmtId="0" fontId="24" fillId="7" borderId="17" xfId="0" applyFont="1" applyFill="1" applyBorder="1" applyAlignment="1">
      <alignment horizontal="center" vertical="center" textRotation="90" wrapText="1"/>
    </xf>
    <xf numFmtId="0" fontId="24" fillId="7" borderId="20" xfId="0" applyFont="1" applyFill="1" applyBorder="1" applyAlignment="1">
      <alignment horizontal="center" vertical="center" textRotation="90" wrapText="1"/>
    </xf>
    <xf numFmtId="0" fontId="5" fillId="6" borderId="9"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9" fillId="7" borderId="15" xfId="0" applyFont="1" applyFill="1" applyBorder="1" applyAlignment="1">
      <alignment horizontal="center" vertical="top" wrapText="1"/>
    </xf>
    <xf numFmtId="0" fontId="9" fillId="7" borderId="3" xfId="0" applyFont="1" applyFill="1" applyBorder="1" applyAlignment="1">
      <alignment horizontal="center" vertical="top"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5" fillId="0" borderId="20" xfId="0" applyFont="1" applyFill="1" applyBorder="1" applyAlignment="1">
      <alignment horizontal="center" vertical="center" textRotation="90" wrapText="1"/>
    </xf>
    <xf numFmtId="0" fontId="26" fillId="0" borderId="34" xfId="0" applyFont="1" applyBorder="1" applyAlignment="1">
      <alignment horizontal="center" vertical="center" textRotation="90" wrapText="1"/>
    </xf>
    <xf numFmtId="0" fontId="26" fillId="0" borderId="56" xfId="0" applyFont="1" applyBorder="1" applyAlignment="1">
      <alignment horizontal="center" vertical="center" textRotation="90" wrapText="1"/>
    </xf>
    <xf numFmtId="0" fontId="26" fillId="0" borderId="27" xfId="0" applyFont="1" applyBorder="1" applyAlignment="1">
      <alignment horizontal="center" vertical="center" textRotation="90" wrapText="1"/>
    </xf>
    <xf numFmtId="0" fontId="27" fillId="0" borderId="20" xfId="0" applyFont="1" applyFill="1" applyBorder="1" applyAlignment="1">
      <alignment horizontal="center" vertical="center" textRotation="90" wrapText="1"/>
    </xf>
    <xf numFmtId="0" fontId="27" fillId="0" borderId="25" xfId="0" applyFont="1" applyFill="1" applyBorder="1" applyAlignment="1">
      <alignment horizontal="center" vertical="center" textRotation="90" wrapText="1"/>
    </xf>
    <xf numFmtId="0" fontId="10" fillId="7" borderId="14" xfId="5" applyFont="1" applyFill="1" applyBorder="1" applyAlignment="1">
      <alignment horizontal="justify" vertical="top" wrapText="1"/>
    </xf>
    <xf numFmtId="0" fontId="10" fillId="7" borderId="15" xfId="5" applyFont="1" applyFill="1" applyBorder="1" applyAlignment="1">
      <alignment horizontal="justify" vertical="top" wrapText="1"/>
    </xf>
    <xf numFmtId="0" fontId="10" fillId="7" borderId="7" xfId="5" applyFont="1" applyFill="1" applyBorder="1" applyAlignment="1">
      <alignment horizontal="justify" vertical="top" wrapText="1"/>
    </xf>
    <xf numFmtId="0" fontId="26" fillId="0" borderId="16" xfId="0" applyFont="1" applyFill="1" applyBorder="1" applyAlignment="1">
      <alignment horizontal="center" vertical="center" textRotation="90" wrapText="1"/>
    </xf>
    <xf numFmtId="0" fontId="26" fillId="0" borderId="19" xfId="0" applyFont="1" applyFill="1" applyBorder="1" applyAlignment="1">
      <alignment horizontal="center" vertical="center" textRotation="90" wrapText="1"/>
    </xf>
    <xf numFmtId="0" fontId="37" fillId="0" borderId="21" xfId="0" applyFont="1" applyFill="1" applyBorder="1" applyAlignment="1">
      <alignment horizontal="center" vertical="center" textRotation="90" wrapText="1"/>
    </xf>
    <xf numFmtId="0" fontId="37" fillId="0" borderId="0" xfId="0" applyFont="1" applyFill="1" applyBorder="1" applyAlignment="1">
      <alignment horizontal="center" vertical="center" textRotation="90" wrapText="1"/>
    </xf>
    <xf numFmtId="0" fontId="37" fillId="0" borderId="26" xfId="0" applyFont="1" applyFill="1" applyBorder="1" applyAlignment="1">
      <alignment horizontal="center" vertical="center" textRotation="90" wrapText="1"/>
    </xf>
    <xf numFmtId="0" fontId="37" fillId="0" borderId="24" xfId="0" applyFont="1" applyFill="1" applyBorder="1" applyAlignment="1">
      <alignment horizontal="center" vertical="center" textRotation="90" wrapText="1"/>
    </xf>
    <xf numFmtId="0" fontId="10" fillId="7" borderId="37" xfId="0" applyFont="1" applyFill="1" applyBorder="1" applyAlignment="1">
      <alignment horizontal="left" vertical="top" wrapText="1"/>
    </xf>
    <xf numFmtId="0" fontId="10" fillId="7" borderId="61" xfId="0" applyFont="1" applyFill="1" applyBorder="1" applyAlignment="1">
      <alignment horizontal="left" vertical="top" wrapText="1"/>
    </xf>
    <xf numFmtId="0" fontId="10" fillId="7" borderId="69" xfId="0" applyFont="1" applyFill="1" applyBorder="1" applyAlignment="1">
      <alignment horizontal="left" vertical="top" wrapText="1"/>
    </xf>
    <xf numFmtId="0" fontId="10" fillId="7" borderId="45" xfId="0" applyFont="1" applyFill="1" applyBorder="1" applyAlignment="1">
      <alignment horizontal="justify" vertical="top" wrapText="1"/>
    </xf>
    <xf numFmtId="0" fontId="10" fillId="7" borderId="47" xfId="0" applyFont="1" applyFill="1" applyBorder="1" applyAlignment="1">
      <alignment horizontal="justify" vertical="top" wrapText="1"/>
    </xf>
    <xf numFmtId="0" fontId="10" fillId="7" borderId="70" xfId="0" applyFont="1" applyFill="1" applyBorder="1" applyAlignment="1">
      <alignment horizontal="justify" vertical="top" wrapText="1"/>
    </xf>
    <xf numFmtId="0" fontId="21" fillId="0" borderId="25" xfId="0" applyFont="1" applyFill="1" applyBorder="1" applyAlignment="1">
      <alignment horizontal="center" vertical="center" textRotation="90" wrapText="1"/>
    </xf>
    <xf numFmtId="0" fontId="21" fillId="0" borderId="23" xfId="0" applyFont="1" applyFill="1" applyBorder="1" applyAlignment="1">
      <alignment horizontal="center" vertical="center" textRotation="90" wrapText="1"/>
    </xf>
    <xf numFmtId="0" fontId="38" fillId="0" borderId="16" xfId="0" applyFont="1" applyFill="1" applyBorder="1" applyAlignment="1">
      <alignment horizontal="center" vertical="center" textRotation="90" wrapText="1"/>
    </xf>
    <xf numFmtId="0" fontId="10" fillId="0" borderId="16" xfId="0" applyFont="1" applyFill="1" applyBorder="1" applyAlignment="1">
      <alignment horizontal="center" vertical="center"/>
    </xf>
    <xf numFmtId="0" fontId="10" fillId="0" borderId="20" xfId="0" applyFont="1" applyFill="1" applyBorder="1" applyAlignment="1">
      <alignment horizontal="center" vertical="center" textRotation="90" wrapText="1"/>
    </xf>
    <xf numFmtId="0" fontId="10" fillId="0" borderId="25" xfId="0" applyFont="1" applyFill="1" applyBorder="1" applyAlignment="1">
      <alignment horizontal="center" vertical="center" textRotation="90" wrapText="1"/>
    </xf>
    <xf numFmtId="0" fontId="10" fillId="0" borderId="56" xfId="0" applyFont="1" applyFill="1" applyBorder="1" applyAlignment="1">
      <alignment horizontal="center" vertical="center" textRotation="90" wrapText="1"/>
    </xf>
    <xf numFmtId="0" fontId="10" fillId="0" borderId="27" xfId="0" applyFont="1" applyFill="1" applyBorder="1" applyAlignment="1">
      <alignment horizontal="center" vertical="center" textRotation="90" wrapText="1"/>
    </xf>
    <xf numFmtId="0" fontId="10" fillId="7" borderId="2" xfId="0" applyFont="1" applyFill="1" applyBorder="1" applyAlignment="1">
      <alignment horizontal="left" vertical="center"/>
    </xf>
    <xf numFmtId="0" fontId="10" fillId="7" borderId="3" xfId="0" applyFont="1" applyFill="1" applyBorder="1" applyAlignment="1">
      <alignment horizontal="left" vertical="center"/>
    </xf>
    <xf numFmtId="0" fontId="41" fillId="7" borderId="14" xfId="0" applyFont="1" applyFill="1" applyBorder="1" applyAlignment="1">
      <alignment horizontal="left" vertical="center" wrapText="1"/>
    </xf>
    <xf numFmtId="0" fontId="41" fillId="7" borderId="15" xfId="0" applyFont="1" applyFill="1" applyBorder="1" applyAlignment="1">
      <alignment horizontal="left" vertical="center" wrapText="1"/>
    </xf>
    <xf numFmtId="0" fontId="41" fillId="7" borderId="7" xfId="0" applyFont="1" applyFill="1" applyBorder="1" applyAlignment="1">
      <alignment horizontal="left" vertical="center" wrapText="1"/>
    </xf>
    <xf numFmtId="0" fontId="4" fillId="5" borderId="0" xfId="4" applyFont="1" applyFill="1" applyAlignment="1">
      <alignment horizontal="center" vertical="center" wrapText="1"/>
    </xf>
    <xf numFmtId="0" fontId="39" fillId="0" borderId="25" xfId="0" applyFont="1" applyBorder="1" applyAlignment="1">
      <alignment horizontal="center" vertical="center" textRotation="90" wrapText="1"/>
    </xf>
    <xf numFmtId="0" fontId="39" fillId="0" borderId="62" xfId="0" applyFont="1" applyBorder="1" applyAlignment="1">
      <alignment horizontal="center" vertical="center" textRotation="90" wrapText="1"/>
    </xf>
    <xf numFmtId="0" fontId="39" fillId="0" borderId="0" xfId="0" applyFont="1" applyBorder="1" applyAlignment="1">
      <alignment horizontal="center" vertical="center" textRotation="90" wrapText="1"/>
    </xf>
    <xf numFmtId="0" fontId="39" fillId="0" borderId="26" xfId="0" applyFont="1" applyBorder="1" applyAlignment="1">
      <alignment horizontal="center" vertical="center" textRotation="90" wrapText="1"/>
    </xf>
    <xf numFmtId="0" fontId="39" fillId="0" borderId="63" xfId="0" applyFont="1" applyBorder="1" applyAlignment="1">
      <alignment horizontal="center" vertical="center" textRotation="90" wrapText="1"/>
    </xf>
    <xf numFmtId="0" fontId="10" fillId="0" borderId="22" xfId="0" applyFont="1" applyFill="1" applyBorder="1" applyAlignment="1">
      <alignment horizontal="center" vertical="center" textRotation="90" wrapText="1"/>
    </xf>
    <xf numFmtId="0" fontId="10" fillId="0" borderId="26" xfId="0" applyFont="1" applyFill="1" applyBorder="1" applyAlignment="1">
      <alignment horizontal="center" vertical="center" textRotation="90" wrapText="1"/>
    </xf>
    <xf numFmtId="0" fontId="10" fillId="7" borderId="17" xfId="0" applyFont="1" applyFill="1" applyBorder="1" applyAlignment="1">
      <alignment horizontal="center" vertical="center" textRotation="90" wrapText="1"/>
    </xf>
    <xf numFmtId="0" fontId="10" fillId="7" borderId="16" xfId="0" applyFont="1" applyFill="1" applyBorder="1" applyAlignment="1">
      <alignment horizontal="center" vertical="center" textRotation="90" wrapText="1"/>
    </xf>
    <xf numFmtId="0" fontId="10" fillId="7" borderId="34" xfId="0" applyFont="1" applyFill="1" applyBorder="1" applyAlignment="1">
      <alignment horizontal="center" vertical="center" textRotation="90" wrapText="1"/>
    </xf>
    <xf numFmtId="0" fontId="10" fillId="7" borderId="2"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10" fillId="7" borderId="60" xfId="0" applyFont="1" applyFill="1" applyBorder="1" applyAlignment="1">
      <alignment horizontal="left" vertical="center" wrapText="1"/>
    </xf>
    <xf numFmtId="2" fontId="10" fillId="23" borderId="14" xfId="0" applyNumberFormat="1" applyFont="1" applyFill="1" applyBorder="1" applyAlignment="1">
      <alignment horizontal="left" vertical="top" wrapText="1"/>
    </xf>
    <xf numFmtId="2" fontId="10" fillId="23" borderId="15" xfId="0" applyNumberFormat="1" applyFont="1" applyFill="1" applyBorder="1" applyAlignment="1">
      <alignment horizontal="left" vertical="top" wrapText="1"/>
    </xf>
    <xf numFmtId="2" fontId="10" fillId="23" borderId="7" xfId="0" applyNumberFormat="1" applyFont="1" applyFill="1" applyBorder="1" applyAlignment="1">
      <alignment horizontal="left" vertical="top" wrapText="1"/>
    </xf>
    <xf numFmtId="0" fontId="10" fillId="7" borderId="14" xfId="0" applyNumberFormat="1" applyFont="1" applyFill="1" applyBorder="1" applyAlignment="1">
      <alignment horizontal="left" vertical="top" wrapText="1"/>
    </xf>
    <xf numFmtId="0" fontId="10" fillId="7" borderId="15" xfId="0" applyNumberFormat="1" applyFont="1" applyFill="1" applyBorder="1" applyAlignment="1">
      <alignment horizontal="left" vertical="top" wrapText="1"/>
    </xf>
    <xf numFmtId="0" fontId="37" fillId="0" borderId="34" xfId="0" applyFont="1" applyFill="1" applyBorder="1" applyAlignment="1">
      <alignment horizontal="center" vertical="center" textRotation="90" wrapText="1"/>
    </xf>
    <xf numFmtId="0" fontId="37" fillId="0" borderId="56" xfId="0" applyFont="1" applyFill="1" applyBorder="1" applyAlignment="1">
      <alignment horizontal="center" vertical="center" textRotation="90" wrapText="1"/>
    </xf>
    <xf numFmtId="0" fontId="37" fillId="0" borderId="27" xfId="0" applyFont="1" applyFill="1" applyBorder="1" applyAlignment="1">
      <alignment horizontal="center" vertical="center" textRotation="90" wrapText="1"/>
    </xf>
    <xf numFmtId="0" fontId="12" fillId="5" borderId="11" xfId="4" applyFont="1" applyFill="1" applyBorder="1" applyAlignment="1">
      <alignment horizontal="center" vertical="center"/>
    </xf>
    <xf numFmtId="0" fontId="12" fillId="7" borderId="2" xfId="4" applyFont="1" applyFill="1" applyBorder="1" applyAlignment="1">
      <alignment horizontal="center" vertical="center" wrapText="1"/>
    </xf>
    <xf numFmtId="0" fontId="12" fillId="7" borderId="48" xfId="4" applyFont="1" applyFill="1" applyBorder="1" applyAlignment="1">
      <alignment horizontal="center" vertical="center" wrapText="1"/>
    </xf>
    <xf numFmtId="0" fontId="12" fillId="7" borderId="14" xfId="4" applyFont="1" applyFill="1" applyBorder="1" applyAlignment="1">
      <alignment horizontal="center" vertical="center" wrapText="1"/>
    </xf>
    <xf numFmtId="0" fontId="12" fillId="7" borderId="7" xfId="4" applyFont="1" applyFill="1" applyBorder="1" applyAlignment="1">
      <alignment horizontal="center" vertical="center" wrapText="1"/>
    </xf>
    <xf numFmtId="0" fontId="16" fillId="0" borderId="0" xfId="0" applyFont="1" applyBorder="1" applyAlignment="1" applyProtection="1">
      <alignment horizontal="center"/>
    </xf>
    <xf numFmtId="0" fontId="16" fillId="0" borderId="0" xfId="0" applyFont="1" applyAlignment="1">
      <alignment horizontal="center"/>
    </xf>
    <xf numFmtId="0" fontId="21" fillId="0" borderId="14" xfId="0" applyFont="1" applyBorder="1" applyAlignment="1" applyProtection="1">
      <alignment horizontal="center" vertical="top" wrapText="1"/>
    </xf>
    <xf numFmtId="0" fontId="21" fillId="0" borderId="15" xfId="0" applyFont="1" applyBorder="1" applyAlignment="1" applyProtection="1">
      <alignment horizontal="center" vertical="top" wrapText="1"/>
    </xf>
    <xf numFmtId="0" fontId="21" fillId="0" borderId="7" xfId="0" applyFont="1" applyBorder="1" applyAlignment="1" applyProtection="1">
      <alignment horizontal="center" vertical="top" wrapText="1"/>
    </xf>
    <xf numFmtId="0" fontId="16" fillId="5" borderId="0" xfId="4" applyFont="1" applyFill="1" applyBorder="1" applyAlignment="1">
      <alignment horizontal="center" vertical="center"/>
    </xf>
    <xf numFmtId="0" fontId="16" fillId="0" borderId="11" xfId="0" applyFont="1" applyBorder="1" applyAlignment="1">
      <alignment horizontal="center"/>
    </xf>
    <xf numFmtId="0" fontId="16" fillId="0" borderId="14" xfId="0" applyFont="1" applyBorder="1" applyAlignment="1" applyProtection="1">
      <alignment horizontal="center"/>
    </xf>
    <xf numFmtId="0" fontId="16" fillId="0" borderId="15" xfId="0" applyFont="1" applyBorder="1" applyAlignment="1" applyProtection="1">
      <alignment horizontal="center"/>
    </xf>
    <xf numFmtId="0" fontId="16" fillId="0" borderId="7" xfId="0" applyFont="1" applyBorder="1" applyAlignment="1" applyProtection="1">
      <alignment horizontal="center"/>
    </xf>
    <xf numFmtId="0" fontId="21" fillId="0" borderId="1" xfId="0" applyFont="1" applyBorder="1" applyAlignment="1" applyProtection="1">
      <alignment horizontal="center" vertical="center" wrapText="1"/>
    </xf>
    <xf numFmtId="0" fontId="21" fillId="0" borderId="5" xfId="0" applyFont="1" applyBorder="1" applyAlignment="1" applyProtection="1">
      <alignment horizontal="center" vertical="center" wrapText="1"/>
    </xf>
  </cellXfs>
  <cellStyles count="6">
    <cellStyle name="Hipervínculo" xfId="1" builtinId="8"/>
    <cellStyle name="Millares" xfId="3" builtinId="3"/>
    <cellStyle name="Normal" xfId="0" builtinId="0"/>
    <cellStyle name="Normal 2" xfId="4"/>
    <cellStyle name="Normal_ANEXO 4. METAS DEL PLAN" xfId="5"/>
    <cellStyle name="Porcentaje" xfId="2" builtinId="5"/>
  </cellStyles>
  <dxfs count="0"/>
  <tableStyles count="0" defaultTableStyle="TableStyleMedium2" defaultPivotStyle="PivotStyleLight16"/>
  <colors>
    <mruColors>
      <color rgb="FFFFFF99"/>
      <color rgb="FFA9D08E"/>
      <color rgb="FFCCFFCC"/>
      <color rgb="FFD4D2D2"/>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5-1 Ingresos'!$H$66</c:f>
              <c:strCache>
                <c:ptCount val="1"/>
                <c:pt idx="0">
                  <c:v>Apropiación</c:v>
                </c:pt>
              </c:strCache>
            </c:strRef>
          </c:tx>
          <c:spPr>
            <a:solidFill>
              <a:schemeClr val="accent1"/>
            </a:solidFill>
            <a:ln>
              <a:noFill/>
            </a:ln>
            <a:effectLst/>
            <a:sp3d/>
          </c:spPr>
          <c:invertIfNegative val="0"/>
          <c:cat>
            <c:strRef>
              <c:f>'Anexo 5-1 Ingresos'!$G$67:$G$71</c:f>
              <c:strCache>
                <c:ptCount val="5"/>
                <c:pt idx="0">
                  <c:v>Ingresos Corrientes</c:v>
                </c:pt>
                <c:pt idx="1">
                  <c:v>Recursos de Capital</c:v>
                </c:pt>
                <c:pt idx="3">
                  <c:v>Aportes de La Nación</c:v>
                </c:pt>
                <c:pt idx="4">
                  <c:v>Total Presupuesto</c:v>
                </c:pt>
              </c:strCache>
            </c:strRef>
          </c:cat>
          <c:val>
            <c:numRef>
              <c:f>'Anexo 5-1 Ingresos'!$H$67:$H$71</c:f>
              <c:numCache>
                <c:formatCode>_(* #,##0.00_);_(* \(#,##0.00\);_(* "-"??_);_(@_)</c:formatCode>
                <c:ptCount val="5"/>
                <c:pt idx="0">
                  <c:v>11972165000</c:v>
                </c:pt>
                <c:pt idx="1">
                  <c:v>12600000</c:v>
                </c:pt>
                <c:pt idx="3">
                  <c:v>5651441279</c:v>
                </c:pt>
                <c:pt idx="4">
                  <c:v>17636206279</c:v>
                </c:pt>
              </c:numCache>
            </c:numRef>
          </c:val>
          <c:extLst xmlns:c16r2="http://schemas.microsoft.com/office/drawing/2015/06/chart">
            <c:ext xmlns:c16="http://schemas.microsoft.com/office/drawing/2014/chart" uri="{C3380CC4-5D6E-409C-BE32-E72D297353CC}">
              <c16:uniqueId val="{00000000-FC74-48DE-A761-460F47B69F78}"/>
            </c:ext>
          </c:extLst>
        </c:ser>
        <c:ser>
          <c:idx val="1"/>
          <c:order val="1"/>
          <c:tx>
            <c:strRef>
              <c:f>'Anexo 5-1 Ingresos'!$I$66</c:f>
              <c:strCache>
                <c:ptCount val="1"/>
                <c:pt idx="0">
                  <c:v>Recaudo</c:v>
                </c:pt>
              </c:strCache>
            </c:strRef>
          </c:tx>
          <c:spPr>
            <a:solidFill>
              <a:schemeClr val="accent2"/>
            </a:solidFill>
            <a:ln>
              <a:noFill/>
            </a:ln>
            <a:effectLst/>
            <a:sp3d/>
          </c:spPr>
          <c:invertIfNegative val="0"/>
          <c:cat>
            <c:strRef>
              <c:f>'Anexo 5-1 Ingresos'!$G$67:$G$71</c:f>
              <c:strCache>
                <c:ptCount val="5"/>
                <c:pt idx="0">
                  <c:v>Ingresos Corrientes</c:v>
                </c:pt>
                <c:pt idx="1">
                  <c:v>Recursos de Capital</c:v>
                </c:pt>
                <c:pt idx="3">
                  <c:v>Aportes de La Nación</c:v>
                </c:pt>
                <c:pt idx="4">
                  <c:v>Total Presupuesto</c:v>
                </c:pt>
              </c:strCache>
            </c:strRef>
          </c:cat>
          <c:val>
            <c:numRef>
              <c:f>'Anexo 5-1 Ingresos'!$I$67:$I$71</c:f>
              <c:numCache>
                <c:formatCode>_(* #,##0.00_);_(* \(#,##0.00\);_(* "-"??_);_(@_)</c:formatCode>
                <c:ptCount val="5"/>
                <c:pt idx="0">
                  <c:v>6012051730.6800003</c:v>
                </c:pt>
                <c:pt idx="1">
                  <c:v>4238182.3899999997</c:v>
                </c:pt>
                <c:pt idx="3">
                  <c:v>1688654317.55</c:v>
                </c:pt>
                <c:pt idx="4">
                  <c:v>7704944230.6200008</c:v>
                </c:pt>
              </c:numCache>
            </c:numRef>
          </c:val>
          <c:extLst xmlns:c16r2="http://schemas.microsoft.com/office/drawing/2015/06/chart">
            <c:ext xmlns:c16="http://schemas.microsoft.com/office/drawing/2014/chart" uri="{C3380CC4-5D6E-409C-BE32-E72D297353CC}">
              <c16:uniqueId val="{00000001-FC74-48DE-A761-460F47B69F78}"/>
            </c:ext>
          </c:extLst>
        </c:ser>
        <c:dLbls>
          <c:showLegendKey val="0"/>
          <c:showVal val="0"/>
          <c:showCatName val="0"/>
          <c:showSerName val="0"/>
          <c:showPercent val="0"/>
          <c:showBubbleSize val="0"/>
        </c:dLbls>
        <c:gapWidth val="150"/>
        <c:shape val="box"/>
        <c:axId val="252345344"/>
        <c:axId val="261219072"/>
        <c:axId val="0"/>
      </c:bar3DChart>
      <c:catAx>
        <c:axId val="2523453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1219072"/>
        <c:crosses val="autoZero"/>
        <c:auto val="1"/>
        <c:lblAlgn val="ctr"/>
        <c:lblOffset val="100"/>
        <c:noMultiLvlLbl val="0"/>
      </c:catAx>
      <c:valAx>
        <c:axId val="26121907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2345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5-2 Gastos'!$M$20</c:f>
              <c:strCache>
                <c:ptCount val="1"/>
                <c:pt idx="0">
                  <c:v>PRESUPUESTADO</c:v>
                </c:pt>
              </c:strCache>
            </c:strRef>
          </c:tx>
          <c:spPr>
            <a:solidFill>
              <a:schemeClr val="accent1"/>
            </a:solidFill>
            <a:ln>
              <a:noFill/>
            </a:ln>
            <a:effectLst/>
            <a:sp3d/>
          </c:spPr>
          <c:invertIfNegative val="0"/>
          <c:cat>
            <c:strRef>
              <c:f>'Anexo 5-2 Gastos'!$N$19:$P$19</c:f>
              <c:strCache>
                <c:ptCount val="3"/>
                <c:pt idx="0">
                  <c:v>Funcionamiento</c:v>
                </c:pt>
                <c:pt idx="1">
                  <c:v>Inversion </c:v>
                </c:pt>
                <c:pt idx="2">
                  <c:v>Total</c:v>
                </c:pt>
              </c:strCache>
            </c:strRef>
          </c:cat>
          <c:val>
            <c:numRef>
              <c:f>'Anexo 5-2 Gastos'!$N$20:$P$20</c:f>
              <c:numCache>
                <c:formatCode>_-* #,##0_-;\-* #,##0_-;_-* "-"??_-;_-@_-</c:formatCode>
                <c:ptCount val="3"/>
                <c:pt idx="0">
                  <c:v>8888706637</c:v>
                </c:pt>
                <c:pt idx="1">
                  <c:v>8667499642</c:v>
                </c:pt>
                <c:pt idx="2">
                  <c:v>17556206279</c:v>
                </c:pt>
              </c:numCache>
            </c:numRef>
          </c:val>
          <c:extLst xmlns:c16r2="http://schemas.microsoft.com/office/drawing/2015/06/chart">
            <c:ext xmlns:c16="http://schemas.microsoft.com/office/drawing/2014/chart" uri="{C3380CC4-5D6E-409C-BE32-E72D297353CC}">
              <c16:uniqueId val="{00000000-BE9F-40B2-8A86-4001FD6A7CCA}"/>
            </c:ext>
          </c:extLst>
        </c:ser>
        <c:ser>
          <c:idx val="1"/>
          <c:order val="1"/>
          <c:tx>
            <c:strRef>
              <c:f>'Anexo 5-2 Gastos'!$M$21</c:f>
              <c:strCache>
                <c:ptCount val="1"/>
                <c:pt idx="0">
                  <c:v>COMPROMETIDO</c:v>
                </c:pt>
              </c:strCache>
            </c:strRef>
          </c:tx>
          <c:spPr>
            <a:solidFill>
              <a:schemeClr val="accent2"/>
            </a:solidFill>
            <a:ln>
              <a:noFill/>
            </a:ln>
            <a:effectLst/>
            <a:sp3d/>
          </c:spPr>
          <c:invertIfNegative val="0"/>
          <c:cat>
            <c:strRef>
              <c:f>'Anexo 5-2 Gastos'!$N$19:$P$19</c:f>
              <c:strCache>
                <c:ptCount val="3"/>
                <c:pt idx="0">
                  <c:v>Funcionamiento</c:v>
                </c:pt>
                <c:pt idx="1">
                  <c:v>Inversion </c:v>
                </c:pt>
                <c:pt idx="2">
                  <c:v>Total</c:v>
                </c:pt>
              </c:strCache>
            </c:strRef>
          </c:cat>
          <c:val>
            <c:numRef>
              <c:f>'Anexo 5-2 Gastos'!$N$21:$P$21</c:f>
              <c:numCache>
                <c:formatCode>_-* #,##0_-;\-* #,##0_-;_-* "-"??_-;_-@_-</c:formatCode>
                <c:ptCount val="3"/>
                <c:pt idx="0">
                  <c:v>3803561255.71</c:v>
                </c:pt>
                <c:pt idx="1">
                  <c:v>4113204783.6500001</c:v>
                </c:pt>
                <c:pt idx="2">
                  <c:v>7916766039.3600006</c:v>
                </c:pt>
              </c:numCache>
            </c:numRef>
          </c:val>
          <c:extLst xmlns:c16r2="http://schemas.microsoft.com/office/drawing/2015/06/chart">
            <c:ext xmlns:c16="http://schemas.microsoft.com/office/drawing/2014/chart" uri="{C3380CC4-5D6E-409C-BE32-E72D297353CC}">
              <c16:uniqueId val="{00000001-BE9F-40B2-8A86-4001FD6A7CCA}"/>
            </c:ext>
          </c:extLst>
        </c:ser>
        <c:dLbls>
          <c:showLegendKey val="0"/>
          <c:showVal val="0"/>
          <c:showCatName val="0"/>
          <c:showSerName val="0"/>
          <c:showPercent val="0"/>
          <c:showBubbleSize val="0"/>
        </c:dLbls>
        <c:gapWidth val="150"/>
        <c:shape val="box"/>
        <c:axId val="174663936"/>
        <c:axId val="174678016"/>
        <c:axId val="0"/>
      </c:bar3DChart>
      <c:catAx>
        <c:axId val="1746639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4678016"/>
        <c:crosses val="autoZero"/>
        <c:auto val="1"/>
        <c:lblAlgn val="ctr"/>
        <c:lblOffset val="100"/>
        <c:noMultiLvlLbl val="0"/>
      </c:catAx>
      <c:valAx>
        <c:axId val="17467801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46639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'Anexo 5-2 Gastos'!$L$53</c:f>
              <c:strCache>
                <c:ptCount val="1"/>
                <c:pt idx="0">
                  <c:v>COMPROMETIDO</c:v>
                </c:pt>
              </c:strCache>
            </c:strRef>
          </c:tx>
          <c:invertIfNegative val="0"/>
          <c:cat>
            <c:strRef>
              <c:f>'Anexo 5-2 Gastos'!$M$52:$O$52</c:f>
              <c:strCache>
                <c:ptCount val="3"/>
                <c:pt idx="0">
                  <c:v>Funcionamiento</c:v>
                </c:pt>
                <c:pt idx="1">
                  <c:v>Inversion </c:v>
                </c:pt>
                <c:pt idx="2">
                  <c:v>Total</c:v>
                </c:pt>
              </c:strCache>
            </c:strRef>
          </c:cat>
          <c:val>
            <c:numRef>
              <c:f>'Anexo 5-2 Gastos'!$M$53:$O$53</c:f>
              <c:numCache>
                <c:formatCode>_-* #,##0_-;\-* #,##0_-;_-* "-"??_-;_-@_-</c:formatCode>
                <c:ptCount val="3"/>
                <c:pt idx="0">
                  <c:v>3803561255.71</c:v>
                </c:pt>
                <c:pt idx="1">
                  <c:v>4113204783.6500001</c:v>
                </c:pt>
                <c:pt idx="2">
                  <c:v>7916766039.3600006</c:v>
                </c:pt>
              </c:numCache>
            </c:numRef>
          </c:val>
          <c:extLst xmlns:c16r2="http://schemas.microsoft.com/office/drawing/2015/06/chart">
            <c:ext xmlns:c16="http://schemas.microsoft.com/office/drawing/2014/chart" uri="{C3380CC4-5D6E-409C-BE32-E72D297353CC}">
              <c16:uniqueId val="{00000000-3364-4DA9-A061-7825C71CC05E}"/>
            </c:ext>
          </c:extLst>
        </c:ser>
        <c:ser>
          <c:idx val="1"/>
          <c:order val="1"/>
          <c:tx>
            <c:strRef>
              <c:f>'Anexo 5-2 Gastos'!$L$54</c:f>
              <c:strCache>
                <c:ptCount val="1"/>
                <c:pt idx="0">
                  <c:v>PAGOS</c:v>
                </c:pt>
              </c:strCache>
            </c:strRef>
          </c:tx>
          <c:invertIfNegative val="0"/>
          <c:cat>
            <c:strRef>
              <c:f>'Anexo 5-2 Gastos'!$M$52:$O$52</c:f>
              <c:strCache>
                <c:ptCount val="3"/>
                <c:pt idx="0">
                  <c:v>Funcionamiento</c:v>
                </c:pt>
                <c:pt idx="1">
                  <c:v>Inversion </c:v>
                </c:pt>
                <c:pt idx="2">
                  <c:v>Total</c:v>
                </c:pt>
              </c:strCache>
            </c:strRef>
          </c:cat>
          <c:val>
            <c:numRef>
              <c:f>'Anexo 5-2 Gastos'!$M$54:$O$54</c:f>
              <c:numCache>
                <c:formatCode>_-* #,##0_-;\-* #,##0_-;_-* "-"??_-;_-@_-</c:formatCode>
                <c:ptCount val="3"/>
                <c:pt idx="0">
                  <c:v>3346529946.1199999</c:v>
                </c:pt>
                <c:pt idx="1">
                  <c:v>2846343126</c:v>
                </c:pt>
                <c:pt idx="2">
                  <c:v>6192873072.1199999</c:v>
                </c:pt>
              </c:numCache>
            </c:numRef>
          </c:val>
          <c:extLst xmlns:c16r2="http://schemas.microsoft.com/office/drawing/2015/06/chart">
            <c:ext xmlns:c16="http://schemas.microsoft.com/office/drawing/2014/chart" uri="{C3380CC4-5D6E-409C-BE32-E72D297353CC}">
              <c16:uniqueId val="{00000001-3364-4DA9-A061-7825C71CC05E}"/>
            </c:ext>
          </c:extLst>
        </c:ser>
        <c:dLbls>
          <c:showLegendKey val="0"/>
          <c:showVal val="0"/>
          <c:showCatName val="0"/>
          <c:showSerName val="0"/>
          <c:showPercent val="0"/>
          <c:showBubbleSize val="0"/>
        </c:dLbls>
        <c:gapWidth val="150"/>
        <c:shape val="box"/>
        <c:axId val="174693376"/>
        <c:axId val="174695168"/>
        <c:axId val="0"/>
      </c:bar3DChart>
      <c:catAx>
        <c:axId val="174693376"/>
        <c:scaling>
          <c:orientation val="minMax"/>
        </c:scaling>
        <c:delete val="0"/>
        <c:axPos val="b"/>
        <c:numFmt formatCode="General" sourceLinked="0"/>
        <c:majorTickMark val="none"/>
        <c:minorTickMark val="none"/>
        <c:tickLblPos val="nextTo"/>
        <c:crossAx val="174695168"/>
        <c:crosses val="autoZero"/>
        <c:auto val="1"/>
        <c:lblAlgn val="ctr"/>
        <c:lblOffset val="100"/>
        <c:noMultiLvlLbl val="0"/>
      </c:catAx>
      <c:valAx>
        <c:axId val="174695168"/>
        <c:scaling>
          <c:orientation val="minMax"/>
        </c:scaling>
        <c:delete val="0"/>
        <c:axPos val="l"/>
        <c:majorGridlines/>
        <c:numFmt formatCode="_-* #,##0_-;\-* #,##0_-;_-* &quot;-&quot;??_-;_-@_-" sourceLinked="1"/>
        <c:majorTickMark val="none"/>
        <c:minorTickMark val="none"/>
        <c:tickLblPos val="nextTo"/>
        <c:crossAx val="174693376"/>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a:extLst>
            <a:ext uri="{FF2B5EF4-FFF2-40B4-BE49-F238E27FC236}">
              <a16:creationId xmlns="" xmlns:a16="http://schemas.microsoft.com/office/drawing/2014/main" id="{00000000-0008-0000-0000-00000A000000}"/>
            </a:ext>
          </a:extLst>
        </xdr:cNvPr>
        <xdr:cNvGrpSpPr>
          <a:grpSpLocks/>
        </xdr:cNvGrpSpPr>
      </xdr:nvGrpSpPr>
      <xdr:grpSpPr bwMode="auto">
        <a:xfrm>
          <a:off x="2" y="0"/>
          <a:ext cx="10201273" cy="1657350"/>
          <a:chOff x="57151" y="47625"/>
          <a:chExt cx="6181724" cy="1581150"/>
        </a:xfrm>
      </xdr:grpSpPr>
      <xdr:pic>
        <xdr:nvPicPr>
          <xdr:cNvPr id="11" name="1 Imagen" descr="ESCUDO-transp-lema-blanco.png">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a:extLst>
              <a:ext uri="{FF2B5EF4-FFF2-40B4-BE49-F238E27FC236}">
                <a16:creationId xmlns="" xmlns:a16="http://schemas.microsoft.com/office/drawing/2014/main" id="{00000000-0008-0000-0000-00000C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358587</xdr:colOff>
      <xdr:row>0</xdr:row>
      <xdr:rowOff>89648</xdr:rowOff>
    </xdr:from>
    <xdr:to>
      <xdr:col>13</xdr:col>
      <xdr:colOff>548528</xdr:colOff>
      <xdr:row>1</xdr:row>
      <xdr:rowOff>12327</xdr:rowOff>
    </xdr:to>
    <xdr:grpSp>
      <xdr:nvGrpSpPr>
        <xdr:cNvPr id="2" name="1 Grupo">
          <a:extLst>
            <a:ext uri="{FF2B5EF4-FFF2-40B4-BE49-F238E27FC236}">
              <a16:creationId xmlns="" xmlns:a16="http://schemas.microsoft.com/office/drawing/2014/main" id="{00000000-0008-0000-0100-000002000000}"/>
            </a:ext>
          </a:extLst>
        </xdr:cNvPr>
        <xdr:cNvGrpSpPr>
          <a:grpSpLocks/>
        </xdr:cNvGrpSpPr>
      </xdr:nvGrpSpPr>
      <xdr:grpSpPr bwMode="auto">
        <a:xfrm>
          <a:off x="358587" y="89648"/>
          <a:ext cx="10948178" cy="1577021"/>
          <a:chOff x="-2456969" y="137273"/>
          <a:chExt cx="14989044" cy="1581150"/>
        </a:xfrm>
      </xdr:grpSpPr>
      <xdr:pic>
        <xdr:nvPicPr>
          <xdr:cNvPr id="3" name="1 Imagen" descr="ESCUDO-transp-lema-blanco.png">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2456969" y="137273"/>
            <a:ext cx="2229500" cy="1581150"/>
          </a:xfrm>
          <a:prstGeom prst="rect">
            <a:avLst/>
          </a:prstGeom>
          <a:noFill/>
          <a:ln w="9525">
            <a:noFill/>
            <a:miter lim="800000"/>
            <a:headEnd/>
            <a:tailEnd/>
          </a:ln>
        </xdr:spPr>
      </xdr:pic>
      <xdr:sp macro="" textlink="">
        <xdr:nvSpPr>
          <xdr:cNvPr id="4" name="3 CuadroTexto">
            <a:extLst>
              <a:ext uri="{FF2B5EF4-FFF2-40B4-BE49-F238E27FC236}">
                <a16:creationId xmlns="" xmlns:a16="http://schemas.microsoft.com/office/drawing/2014/main" id="{00000000-0008-0000-0100-000004000000}"/>
              </a:ext>
            </a:extLst>
          </xdr:cNvPr>
          <xdr:cNvSpPr txBox="1"/>
        </xdr:nvSpPr>
        <xdr:spPr>
          <a:xfrm>
            <a:off x="7719840" y="55133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 xmlns:a16="http://schemas.microsoft.com/office/drawing/2014/main" id="{00000000-0008-0000-0200-000003000000}"/>
            </a:ext>
          </a:extLst>
        </xdr:cNvPr>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0</xdr:row>
      <xdr:rowOff>1581150</xdr:rowOff>
    </xdr:to>
    <xdr:pic>
      <xdr:nvPicPr>
        <xdr:cNvPr id="2" name="1 Imagen" descr="ESCUDO-transp-lema-blanco.png">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1</xdr:col>
      <xdr:colOff>647700</xdr:colOff>
      <xdr:row>0</xdr:row>
      <xdr:rowOff>381000</xdr:rowOff>
    </xdr:from>
    <xdr:to>
      <xdr:col>3</xdr:col>
      <xdr:colOff>885825</xdr:colOff>
      <xdr:row>0</xdr:row>
      <xdr:rowOff>1152525</xdr:rowOff>
    </xdr:to>
    <xdr:sp macro="" textlink="">
      <xdr:nvSpPr>
        <xdr:cNvPr id="3" name="5 CuadroTexto">
          <a:extLst>
            <a:ext uri="{FF2B5EF4-FFF2-40B4-BE49-F238E27FC236}">
              <a16:creationId xmlns="" xmlns:a16="http://schemas.microsoft.com/office/drawing/2014/main" id="{00000000-0008-0000-0400-000003000000}"/>
            </a:ext>
          </a:extLst>
        </xdr:cNvPr>
        <xdr:cNvSpPr txBox="1"/>
      </xdr:nvSpPr>
      <xdr:spPr bwMode="auto">
        <a:xfrm>
          <a:off x="1257300" y="381000"/>
          <a:ext cx="48768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7</xdr:col>
      <xdr:colOff>238125</xdr:colOff>
      <xdr:row>19</xdr:row>
      <xdr:rowOff>33336</xdr:rowOff>
    </xdr:from>
    <xdr:to>
      <xdr:col>17</xdr:col>
      <xdr:colOff>657225</xdr:colOff>
      <xdr:row>43</xdr:row>
      <xdr:rowOff>114299</xdr:rowOff>
    </xdr:to>
    <xdr:graphicFrame macro="">
      <xdr:nvGraphicFramePr>
        <xdr:cNvPr id="4" name="Gráfico 3">
          <a:extLst>
            <a:ext uri="{FF2B5EF4-FFF2-40B4-BE49-F238E27FC236}">
              <a16:creationId xmlns=""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1371600</xdr:colOff>
      <xdr:row>0</xdr:row>
      <xdr:rowOff>381000</xdr:rowOff>
    </xdr:from>
    <xdr:to>
      <xdr:col>5</xdr:col>
      <xdr:colOff>323850</xdr:colOff>
      <xdr:row>0</xdr:row>
      <xdr:rowOff>1152525</xdr:rowOff>
    </xdr:to>
    <xdr:sp macro="" textlink="">
      <xdr:nvSpPr>
        <xdr:cNvPr id="3" name="5 CuadroTexto">
          <a:extLst>
            <a:ext uri="{FF2B5EF4-FFF2-40B4-BE49-F238E27FC236}">
              <a16:creationId xmlns="" xmlns:a16="http://schemas.microsoft.com/office/drawing/2014/main" id="{00000000-0008-0000-0500-000003000000}"/>
            </a:ext>
          </a:extLst>
        </xdr:cNvPr>
        <xdr:cNvSpPr txBox="1"/>
      </xdr:nvSpPr>
      <xdr:spPr bwMode="auto">
        <a:xfrm>
          <a:off x="1371600" y="381000"/>
          <a:ext cx="57531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10</xdr:col>
      <xdr:colOff>447675</xdr:colOff>
      <xdr:row>27</xdr:row>
      <xdr:rowOff>33337</xdr:rowOff>
    </xdr:from>
    <xdr:to>
      <xdr:col>15</xdr:col>
      <xdr:colOff>66675</xdr:colOff>
      <xdr:row>41</xdr:row>
      <xdr:rowOff>23812</xdr:rowOff>
    </xdr:to>
    <xdr:graphicFrame macro="">
      <xdr:nvGraphicFramePr>
        <xdr:cNvPr id="5" name="Gráfico 4">
          <a:extLst>
            <a:ext uri="{FF2B5EF4-FFF2-40B4-BE49-F238E27FC236}">
              <a16:creationId xmlns=""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839932</xdr:colOff>
      <xdr:row>58</xdr:row>
      <xdr:rowOff>91787</xdr:rowOff>
    </xdr:from>
    <xdr:to>
      <xdr:col>14</xdr:col>
      <xdr:colOff>1065068</xdr:colOff>
      <xdr:row>75</xdr:row>
      <xdr:rowOff>38101</xdr:rowOff>
    </xdr:to>
    <xdr:graphicFrame macro="">
      <xdr:nvGraphicFramePr>
        <xdr:cNvPr id="4" name="3 Gráfico">
          <a:extLst>
            <a:ext uri="{FF2B5EF4-FFF2-40B4-BE49-F238E27FC236}">
              <a16:creationId xmlns=""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icinadeplaneacion@corpoguajir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election activeCell="C7" sqref="C7"/>
    </sheetView>
  </sheetViews>
  <sheetFormatPr baseColWidth="10" defaultRowHeight="15"/>
  <cols>
    <col min="1" max="1" width="5.85546875" customWidth="1"/>
    <col min="2" max="2" width="44.28515625" customWidth="1"/>
    <col min="3" max="3" width="68.5703125" customWidth="1"/>
    <col min="8" max="8" width="11.42578125" hidden="1" customWidth="1"/>
  </cols>
  <sheetData>
    <row r="1" spans="1:18" s="3" customFormat="1" ht="130.5" customHeight="1" thickBot="1">
      <c r="A1" s="23"/>
      <c r="B1" s="24"/>
      <c r="C1" s="25"/>
      <c r="D1"/>
      <c r="E1"/>
      <c r="F1"/>
      <c r="G1"/>
      <c r="H1"/>
      <c r="I1"/>
      <c r="J1"/>
      <c r="K1"/>
      <c r="L1"/>
      <c r="M1"/>
      <c r="N1"/>
      <c r="O1"/>
      <c r="P1"/>
      <c r="Q1"/>
      <c r="R1"/>
    </row>
    <row r="2" spans="1:18" s="4" customFormat="1" ht="39.75" customHeight="1" thickBot="1">
      <c r="A2" s="579" t="s">
        <v>159</v>
      </c>
      <c r="B2" s="580"/>
      <c r="C2" s="581"/>
      <c r="D2"/>
      <c r="E2"/>
      <c r="F2"/>
      <c r="G2"/>
      <c r="H2"/>
      <c r="I2"/>
      <c r="J2"/>
      <c r="K2"/>
      <c r="L2"/>
      <c r="M2"/>
      <c r="N2"/>
      <c r="O2"/>
      <c r="P2"/>
      <c r="Q2"/>
      <c r="R2"/>
    </row>
    <row r="4" spans="1:18" ht="15.75" thickBot="1"/>
    <row r="5" spans="1:18" s="16" customFormat="1" ht="23.25" customHeight="1">
      <c r="B5" s="17" t="s">
        <v>116</v>
      </c>
      <c r="C5" s="18" t="s">
        <v>135</v>
      </c>
      <c r="H5" s="16" t="s">
        <v>117</v>
      </c>
    </row>
    <row r="6" spans="1:18" s="16" customFormat="1" ht="23.25" customHeight="1">
      <c r="B6" s="19" t="s">
        <v>157</v>
      </c>
      <c r="C6" s="20" t="s">
        <v>153</v>
      </c>
      <c r="H6" s="16" t="s">
        <v>118</v>
      </c>
    </row>
    <row r="7" spans="1:18" s="16" customFormat="1" ht="23.25" customHeight="1">
      <c r="B7" s="19" t="s">
        <v>158</v>
      </c>
      <c r="C7" s="20" t="s">
        <v>345</v>
      </c>
      <c r="H7" s="16" t="s">
        <v>119</v>
      </c>
    </row>
    <row r="8" spans="1:18" s="16" customFormat="1" ht="23.25" customHeight="1">
      <c r="B8" s="19" t="s">
        <v>0</v>
      </c>
      <c r="C8" s="20" t="s">
        <v>343</v>
      </c>
      <c r="H8" s="16" t="s">
        <v>120</v>
      </c>
    </row>
    <row r="9" spans="1:18" s="16" customFormat="1" ht="23.25" customHeight="1">
      <c r="B9" s="19" t="s">
        <v>1</v>
      </c>
      <c r="C9" s="20" t="s">
        <v>344</v>
      </c>
      <c r="H9" s="16" t="s">
        <v>121</v>
      </c>
    </row>
    <row r="10" spans="1:18" s="16" customFormat="1" ht="23.25" customHeight="1">
      <c r="B10" s="19" t="s">
        <v>2</v>
      </c>
      <c r="C10" s="292" t="s">
        <v>342</v>
      </c>
      <c r="H10" s="16" t="s">
        <v>122</v>
      </c>
    </row>
    <row r="11" spans="1:18" s="16" customFormat="1" ht="23.25" customHeight="1" thickBot="1">
      <c r="B11" s="21" t="s">
        <v>3</v>
      </c>
      <c r="C11" s="22">
        <v>3145417021</v>
      </c>
      <c r="H11" s="16" t="s">
        <v>123</v>
      </c>
    </row>
    <row r="12" spans="1:18">
      <c r="H12" t="s">
        <v>124</v>
      </c>
    </row>
    <row r="13" spans="1:18">
      <c r="H13" t="s">
        <v>125</v>
      </c>
    </row>
    <row r="14" spans="1:18">
      <c r="H14" t="s">
        <v>126</v>
      </c>
    </row>
    <row r="15" spans="1:18">
      <c r="H15" t="s">
        <v>127</v>
      </c>
    </row>
    <row r="16" spans="1:18">
      <c r="H16" t="s">
        <v>128</v>
      </c>
    </row>
    <row r="17" spans="8:8">
      <c r="H17" t="s">
        <v>129</v>
      </c>
    </row>
    <row r="18" spans="8:8">
      <c r="H18" t="s">
        <v>130</v>
      </c>
    </row>
    <row r="19" spans="8:8">
      <c r="H19" t="s">
        <v>131</v>
      </c>
    </row>
    <row r="20" spans="8:8">
      <c r="H20" t="s">
        <v>132</v>
      </c>
    </row>
    <row r="21" spans="8:8">
      <c r="H21" t="s">
        <v>133</v>
      </c>
    </row>
    <row r="22" spans="8:8">
      <c r="H22" t="s">
        <v>134</v>
      </c>
    </row>
    <row r="23" spans="8:8">
      <c r="H23" t="s">
        <v>135</v>
      </c>
    </row>
    <row r="24" spans="8:8">
      <c r="H24" t="s">
        <v>136</v>
      </c>
    </row>
    <row r="25" spans="8:8">
      <c r="H25" t="s">
        <v>137</v>
      </c>
    </row>
    <row r="26" spans="8:8">
      <c r="H26" t="s">
        <v>138</v>
      </c>
    </row>
    <row r="27" spans="8:8">
      <c r="H27" t="s">
        <v>139</v>
      </c>
    </row>
    <row r="28" spans="8:8">
      <c r="H28" t="s">
        <v>140</v>
      </c>
    </row>
    <row r="29" spans="8:8">
      <c r="H29" t="s">
        <v>141</v>
      </c>
    </row>
    <row r="30" spans="8:8">
      <c r="H30" t="s">
        <v>142</v>
      </c>
    </row>
    <row r="31" spans="8:8">
      <c r="H31" t="s">
        <v>143</v>
      </c>
    </row>
    <row r="32" spans="8:8">
      <c r="H32" t="s">
        <v>144</v>
      </c>
    </row>
    <row r="33" spans="8:8">
      <c r="H33" t="s">
        <v>145</v>
      </c>
    </row>
    <row r="34" spans="8:8">
      <c r="H34" t="s">
        <v>146</v>
      </c>
    </row>
    <row r="35" spans="8:8">
      <c r="H35" t="s">
        <v>147</v>
      </c>
    </row>
    <row r="36" spans="8:8">
      <c r="H36" t="s">
        <v>148</v>
      </c>
    </row>
    <row r="38" spans="8:8">
      <c r="H38" t="s">
        <v>149</v>
      </c>
    </row>
    <row r="39" spans="8:8">
      <c r="H39" t="s">
        <v>150</v>
      </c>
    </row>
    <row r="40" spans="8:8">
      <c r="H40" t="s">
        <v>151</v>
      </c>
    </row>
    <row r="41" spans="8:8">
      <c r="H41" t="s">
        <v>152</v>
      </c>
    </row>
    <row r="42" spans="8:8">
      <c r="H42" t="s">
        <v>153</v>
      </c>
    </row>
    <row r="43" spans="8:8">
      <c r="H43" t="s">
        <v>154</v>
      </c>
    </row>
    <row r="44" spans="8:8">
      <c r="H44" t="s">
        <v>155</v>
      </c>
    </row>
    <row r="45" spans="8:8">
      <c r="H45" t="s">
        <v>156</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 xml:space="preserve"> Vigencias</formula1>
    </dataValidation>
  </dataValidations>
  <hyperlinks>
    <hyperlink ref="C10" r:id="rId1"/>
  </hyperlinks>
  <pageMargins left="0.7" right="0.7" top="0.75" bottom="0.75" header="0.3" footer="0.3"/>
  <pageSetup paperSize="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
  <sheetViews>
    <sheetView tabSelected="1" topLeftCell="H85" zoomScale="95" zoomScaleNormal="95" zoomScaleSheetLayoutView="75" workbookViewId="0">
      <pane xSplit="28335" topLeftCell="T1"/>
      <selection activeCell="S94" sqref="S94"/>
      <selection pane="topRight" activeCell="T82" sqref="T82"/>
    </sheetView>
  </sheetViews>
  <sheetFormatPr baseColWidth="10" defaultRowHeight="12.75"/>
  <cols>
    <col min="1" max="1" width="7.42578125" style="6" customWidth="1"/>
    <col min="2" max="2" width="6.42578125" style="6" customWidth="1"/>
    <col min="3" max="3" width="8" style="6" customWidth="1"/>
    <col min="4" max="4" width="7" style="6" customWidth="1"/>
    <col min="5" max="5" width="27.140625" style="6" customWidth="1"/>
    <col min="6" max="6" width="9.5703125" style="6" customWidth="1"/>
    <col min="7" max="7" width="15.140625" style="6" customWidth="1"/>
    <col min="8" max="8" width="12.140625" style="6" customWidth="1"/>
    <col min="9" max="10" width="13" style="6" customWidth="1"/>
    <col min="11" max="11" width="19.42578125" style="6" customWidth="1"/>
    <col min="12" max="12" width="10.140625" style="6" customWidth="1"/>
    <col min="13" max="13" width="12.85546875" style="6" customWidth="1"/>
    <col min="14" max="14" width="14.28515625" style="6" customWidth="1"/>
    <col min="15" max="16" width="16.42578125" style="6" customWidth="1"/>
    <col min="17" max="17" width="19.140625" style="6" customWidth="1"/>
    <col min="18" max="18" width="20.5703125" style="6" customWidth="1"/>
    <col min="19" max="19" width="25" style="6" customWidth="1"/>
    <col min="20" max="20" width="18" style="6" customWidth="1"/>
    <col min="21" max="21" width="18.7109375" style="6" customWidth="1"/>
    <col min="22" max="22" width="12.42578125" style="6" customWidth="1"/>
    <col min="23" max="23" width="21.5703125" style="6" customWidth="1"/>
    <col min="24" max="16384" width="11.42578125" style="6"/>
  </cols>
  <sheetData>
    <row r="1" spans="1:23" ht="130.5" customHeight="1" thickBot="1">
      <c r="A1" s="5"/>
      <c r="B1" s="5"/>
      <c r="C1" s="5"/>
      <c r="D1" s="5"/>
      <c r="E1" s="5"/>
      <c r="F1" s="5"/>
      <c r="G1" s="5"/>
      <c r="H1" s="5"/>
      <c r="I1" s="5"/>
      <c r="J1" s="5"/>
      <c r="K1" s="5"/>
      <c r="L1" s="5"/>
      <c r="M1" s="5"/>
      <c r="N1" s="5"/>
      <c r="O1" s="5"/>
      <c r="P1" s="5"/>
      <c r="Q1" s="5"/>
      <c r="R1" s="5"/>
      <c r="S1" s="666"/>
      <c r="T1" s="666"/>
      <c r="U1" s="666"/>
      <c r="V1" s="666"/>
      <c r="W1" s="666"/>
    </row>
    <row r="2" spans="1:23" ht="19.5" customHeight="1">
      <c r="A2" s="582" t="s">
        <v>28</v>
      </c>
      <c r="B2" s="582"/>
      <c r="C2" s="582"/>
      <c r="D2" s="582"/>
      <c r="E2" s="582"/>
      <c r="F2" s="582"/>
      <c r="G2" s="582"/>
      <c r="H2" s="582"/>
      <c r="I2" s="582"/>
      <c r="J2" s="582"/>
      <c r="K2" s="582"/>
      <c r="L2" s="582"/>
      <c r="M2" s="582"/>
      <c r="N2" s="582"/>
      <c r="O2" s="582"/>
      <c r="P2" s="582"/>
      <c r="Q2" s="582"/>
      <c r="R2" s="582"/>
      <c r="S2" s="582"/>
    </row>
    <row r="3" spans="1:23" ht="18.75" thickBot="1">
      <c r="A3" s="3"/>
      <c r="B3" s="3"/>
      <c r="C3" s="3"/>
      <c r="D3" s="3"/>
      <c r="E3" s="606" t="s">
        <v>347</v>
      </c>
      <c r="F3" s="606"/>
      <c r="G3" s="606"/>
      <c r="H3" s="606"/>
      <c r="I3" s="606"/>
      <c r="J3" s="606"/>
      <c r="K3" s="606"/>
      <c r="L3" s="606"/>
      <c r="M3" s="606"/>
      <c r="N3" s="606"/>
      <c r="O3" s="606"/>
      <c r="P3" s="606"/>
      <c r="Q3" s="606"/>
      <c r="R3" s="606"/>
      <c r="S3" s="606"/>
      <c r="T3" s="606"/>
      <c r="U3" s="606"/>
      <c r="V3" s="606"/>
      <c r="W3" s="606"/>
    </row>
    <row r="4" spans="1:23" ht="23.25" customHeight="1" thickBot="1">
      <c r="A4" s="607" t="s">
        <v>160</v>
      </c>
      <c r="B4" s="608"/>
      <c r="C4" s="608"/>
      <c r="D4" s="609" t="s">
        <v>161</v>
      </c>
      <c r="E4" s="579" t="s">
        <v>162</v>
      </c>
      <c r="F4" s="580"/>
      <c r="G4" s="580"/>
      <c r="H4" s="580"/>
      <c r="I4" s="580"/>
      <c r="J4" s="580"/>
      <c r="K4" s="580"/>
      <c r="L4" s="580"/>
      <c r="M4" s="580"/>
      <c r="N4" s="580"/>
      <c r="O4" s="580"/>
      <c r="P4" s="580"/>
      <c r="Q4" s="580"/>
      <c r="R4" s="580"/>
      <c r="S4" s="580"/>
      <c r="T4" s="580"/>
      <c r="U4" s="580"/>
      <c r="V4" s="580"/>
      <c r="W4" s="581"/>
    </row>
    <row r="5" spans="1:23" ht="19.5" customHeight="1" thickBot="1">
      <c r="A5" s="612" t="s">
        <v>163</v>
      </c>
      <c r="B5" s="615" t="s">
        <v>164</v>
      </c>
      <c r="C5" s="618" t="s">
        <v>165</v>
      </c>
      <c r="D5" s="610"/>
      <c r="E5" s="621" t="s">
        <v>381</v>
      </c>
      <c r="F5" s="622"/>
      <c r="G5" s="622"/>
      <c r="H5" s="622"/>
      <c r="I5" s="622"/>
      <c r="J5" s="622"/>
      <c r="K5" s="622"/>
      <c r="L5" s="622"/>
      <c r="M5" s="622"/>
      <c r="N5" s="622"/>
      <c r="O5" s="622"/>
      <c r="P5" s="622"/>
      <c r="Q5" s="622"/>
      <c r="R5" s="622"/>
      <c r="S5" s="622"/>
      <c r="T5" s="622"/>
      <c r="U5" s="622"/>
      <c r="V5" s="622"/>
      <c r="W5" s="623"/>
    </row>
    <row r="6" spans="1:23" ht="59.25" customHeight="1" thickBot="1">
      <c r="A6" s="613"/>
      <c r="B6" s="616"/>
      <c r="C6" s="619"/>
      <c r="D6" s="610"/>
      <c r="E6" s="624" t="s">
        <v>166</v>
      </c>
      <c r="F6" s="626" t="s">
        <v>351</v>
      </c>
      <c r="G6" s="626"/>
      <c r="H6" s="626"/>
      <c r="I6" s="626"/>
      <c r="J6" s="626"/>
      <c r="K6" s="626"/>
      <c r="L6" s="626"/>
      <c r="M6" s="627"/>
      <c r="N6" s="627"/>
      <c r="O6" s="627"/>
      <c r="P6" s="550"/>
      <c r="Q6" s="628" t="s">
        <v>350</v>
      </c>
      <c r="R6" s="629"/>
      <c r="S6" s="629"/>
      <c r="T6" s="629"/>
      <c r="U6" s="629"/>
      <c r="V6" s="629"/>
      <c r="W6" s="630"/>
    </row>
    <row r="7" spans="1:23" ht="144" customHeight="1" thickBot="1">
      <c r="A7" s="614"/>
      <c r="B7" s="617"/>
      <c r="C7" s="620"/>
      <c r="D7" s="611"/>
      <c r="E7" s="625"/>
      <c r="F7" s="26" t="s">
        <v>167</v>
      </c>
      <c r="G7" s="27" t="s">
        <v>365</v>
      </c>
      <c r="H7" s="28" t="s">
        <v>17</v>
      </c>
      <c r="I7" s="27" t="s">
        <v>18</v>
      </c>
      <c r="J7" s="27" t="s">
        <v>19</v>
      </c>
      <c r="K7" s="27" t="s">
        <v>20</v>
      </c>
      <c r="L7" s="29" t="s">
        <v>168</v>
      </c>
      <c r="M7" s="29" t="s">
        <v>21</v>
      </c>
      <c r="N7" s="30" t="s">
        <v>22</v>
      </c>
      <c r="O7" s="29" t="s">
        <v>169</v>
      </c>
      <c r="P7" s="29" t="s">
        <v>382</v>
      </c>
      <c r="Q7" s="548" t="s">
        <v>366</v>
      </c>
      <c r="R7" s="548" t="s">
        <v>23</v>
      </c>
      <c r="S7" s="549" t="s">
        <v>24</v>
      </c>
      <c r="T7" s="31" t="s">
        <v>170</v>
      </c>
      <c r="U7" s="31" t="s">
        <v>25</v>
      </c>
      <c r="V7" s="31" t="s">
        <v>26</v>
      </c>
      <c r="W7" s="547" t="s">
        <v>16</v>
      </c>
    </row>
    <row r="8" spans="1:23" ht="13.5" thickBot="1">
      <c r="A8" s="583" t="s">
        <v>171</v>
      </c>
      <c r="B8" s="586" t="s">
        <v>172</v>
      </c>
      <c r="C8" s="589" t="s">
        <v>173</v>
      </c>
      <c r="D8" s="592" t="s">
        <v>174</v>
      </c>
      <c r="E8" s="594" t="s">
        <v>175</v>
      </c>
      <c r="F8" s="595"/>
      <c r="G8" s="595"/>
      <c r="H8" s="596"/>
      <c r="I8" s="32">
        <f>(I10+I12+I13+I14+I15+I16+I17+I18+I20+I21+I22+I23+I24+I26+I27+I28+I29)/17</f>
        <v>0.78676252965115012</v>
      </c>
      <c r="J8" s="32"/>
      <c r="K8" s="32"/>
      <c r="L8" s="32"/>
      <c r="M8" s="32"/>
      <c r="N8" s="35">
        <f>(N10+N11+N12+N13+N14+N15+N16+N17+N18+N20+N21+N22+N23+N24+N26+N27+N28+N29)/18</f>
        <v>0.61356152263374486</v>
      </c>
      <c r="O8" s="332">
        <f>O9+O19+O25</f>
        <v>0.21840000000000004</v>
      </c>
      <c r="P8" s="559">
        <f>SUM(P9+P19+P25)</f>
        <v>0.24127767690220744</v>
      </c>
      <c r="Q8" s="277">
        <f>Q9+Q19+Q25</f>
        <v>608677376</v>
      </c>
      <c r="R8" s="278">
        <f>R9+R19+R25</f>
        <v>277131009</v>
      </c>
      <c r="S8" s="286">
        <f>R8/Q8</f>
        <v>0.45530032810025128</v>
      </c>
      <c r="T8" s="278">
        <f>T9+T19+T25</f>
        <v>18399609472.489998</v>
      </c>
      <c r="U8" s="277">
        <f>U9+U19+U25</f>
        <v>14354104940</v>
      </c>
      <c r="V8" s="279">
        <f>U8/T8</f>
        <v>0.78013095666304244</v>
      </c>
      <c r="W8" s="573" t="s">
        <v>387</v>
      </c>
    </row>
    <row r="9" spans="1:23" ht="25.5" customHeight="1" thickBot="1">
      <c r="A9" s="584"/>
      <c r="B9" s="587"/>
      <c r="C9" s="590"/>
      <c r="D9" s="593"/>
      <c r="E9" s="597" t="s">
        <v>176</v>
      </c>
      <c r="F9" s="598"/>
      <c r="G9" s="598"/>
      <c r="H9" s="599"/>
      <c r="I9" s="37">
        <f>(I10+I12+I13+I14+I15+I16+I17+I18)/8</f>
        <v>0.75374537550869403</v>
      </c>
      <c r="J9" s="32"/>
      <c r="K9" s="349"/>
      <c r="L9" s="91"/>
      <c r="M9" s="337"/>
      <c r="N9" s="176">
        <f>(N10+N11+N12+N13+N14+N15+N16+N17+N18)/9</f>
        <v>0.57491111111111115</v>
      </c>
      <c r="O9" s="79">
        <v>7.8600000000000003E-2</v>
      </c>
      <c r="P9" s="553">
        <f>SUM(P10:P18)</f>
        <v>5.2661676902207431E-2</v>
      </c>
      <c r="Q9" s="280">
        <f>'Anexo 5-2 Gastos'!H28</f>
        <v>283943139</v>
      </c>
      <c r="R9" s="281">
        <f>'Anexo 5-2 Gastos'!I28</f>
        <v>108377510</v>
      </c>
      <c r="S9" s="285">
        <f>R9/Q9</f>
        <v>0.38168737016040383</v>
      </c>
      <c r="T9" s="282">
        <f>(273122362+6406000+114057753+101863724)+(290581533-1262501+23000000+31800000)+(293943139-10000000+1080966737.09+1022282887)+312925366</f>
        <v>3539687000.0900002</v>
      </c>
      <c r="U9" s="283">
        <f>495449839+309331486+Q9</f>
        <v>1088724464</v>
      </c>
      <c r="V9" s="284">
        <f>U9/T9</f>
        <v>0.30757647892944151</v>
      </c>
      <c r="W9" s="574" t="s">
        <v>383</v>
      </c>
    </row>
    <row r="10" spans="1:23" ht="77.25" customHeight="1">
      <c r="A10" s="584"/>
      <c r="B10" s="587"/>
      <c r="C10" s="590"/>
      <c r="D10" s="590"/>
      <c r="E10" s="232" t="s">
        <v>177</v>
      </c>
      <c r="F10" s="42" t="s">
        <v>178</v>
      </c>
      <c r="G10" s="43">
        <v>0.25</v>
      </c>
      <c r="H10" s="578">
        <v>0.19</v>
      </c>
      <c r="I10" s="45">
        <f>H10/G10</f>
        <v>0.76</v>
      </c>
      <c r="J10" s="42"/>
      <c r="K10" s="350"/>
      <c r="L10" s="80">
        <v>1</v>
      </c>
      <c r="M10" s="47">
        <f>H10+0.4+0.31</f>
        <v>0.90000000000000013</v>
      </c>
      <c r="N10" s="47">
        <f t="shared" ref="N10:N24" si="0">M10/L10</f>
        <v>0.90000000000000013</v>
      </c>
      <c r="O10" s="196">
        <f t="shared" ref="O10:O18" si="1">0.0786/9</f>
        <v>8.7333333333333343E-3</v>
      </c>
      <c r="P10" s="570">
        <f>I10*O10</f>
        <v>6.6373333333333345E-3</v>
      </c>
      <c r="Q10" s="48"/>
      <c r="R10" s="48"/>
      <c r="S10" s="48"/>
      <c r="T10" s="48"/>
      <c r="U10" s="48"/>
      <c r="V10" s="48"/>
      <c r="W10" s="49"/>
    </row>
    <row r="11" spans="1:23" ht="53.25" customHeight="1">
      <c r="A11" s="584"/>
      <c r="B11" s="587"/>
      <c r="C11" s="590"/>
      <c r="D11" s="590"/>
      <c r="E11" s="233" t="s">
        <v>10</v>
      </c>
      <c r="F11" s="50" t="s">
        <v>178</v>
      </c>
      <c r="G11" s="51">
        <v>0</v>
      </c>
      <c r="H11" s="52" t="s">
        <v>179</v>
      </c>
      <c r="I11" s="296" t="s">
        <v>179</v>
      </c>
      <c r="J11" s="50"/>
      <c r="K11" s="351"/>
      <c r="L11" s="59">
        <v>1</v>
      </c>
      <c r="M11" s="59">
        <v>0</v>
      </c>
      <c r="N11" s="56">
        <f t="shared" si="0"/>
        <v>0</v>
      </c>
      <c r="O11" s="551">
        <f t="shared" si="1"/>
        <v>8.7333333333333343E-3</v>
      </c>
      <c r="P11" s="571">
        <v>0</v>
      </c>
      <c r="Q11" s="57"/>
      <c r="R11" s="57"/>
      <c r="S11" s="57"/>
      <c r="T11" s="57"/>
      <c r="U11" s="57"/>
      <c r="V11" s="57"/>
      <c r="W11" s="351" t="s">
        <v>354</v>
      </c>
    </row>
    <row r="12" spans="1:23" ht="115.5" customHeight="1">
      <c r="A12" s="584"/>
      <c r="B12" s="587"/>
      <c r="C12" s="590"/>
      <c r="D12" s="590"/>
      <c r="E12" s="233" t="s">
        <v>390</v>
      </c>
      <c r="F12" s="50" t="s">
        <v>178</v>
      </c>
      <c r="G12" s="51">
        <v>1</v>
      </c>
      <c r="H12" s="52">
        <v>0.53</v>
      </c>
      <c r="I12" s="53">
        <f t="shared" ref="I12:I16" si="2">H12/G12</f>
        <v>0.53</v>
      </c>
      <c r="J12" s="50"/>
      <c r="K12" s="352"/>
      <c r="L12" s="59">
        <v>1</v>
      </c>
      <c r="M12" s="59">
        <f>(1+1+H12)/4</f>
        <v>0.63250000000000006</v>
      </c>
      <c r="N12" s="56">
        <f t="shared" si="0"/>
        <v>0.63250000000000006</v>
      </c>
      <c r="O12" s="551">
        <f t="shared" si="1"/>
        <v>8.7333333333333343E-3</v>
      </c>
      <c r="P12" s="571">
        <f>I12*O12</f>
        <v>4.6286666666666672E-3</v>
      </c>
      <c r="Q12" s="57"/>
      <c r="R12" s="57"/>
      <c r="S12" s="57"/>
      <c r="T12" s="57"/>
      <c r="U12" s="57"/>
      <c r="V12" s="57"/>
      <c r="W12" s="58"/>
    </row>
    <row r="13" spans="1:23" ht="36">
      <c r="A13" s="584"/>
      <c r="B13" s="587"/>
      <c r="C13" s="590"/>
      <c r="D13" s="590"/>
      <c r="E13" s="233" t="s">
        <v>180</v>
      </c>
      <c r="F13" s="60" t="s">
        <v>178</v>
      </c>
      <c r="G13" s="53">
        <v>1</v>
      </c>
      <c r="H13" s="52">
        <v>0.54</v>
      </c>
      <c r="I13" s="53">
        <f>H13/G13</f>
        <v>0.54</v>
      </c>
      <c r="J13" s="50"/>
      <c r="K13" s="353"/>
      <c r="L13" s="59">
        <v>1</v>
      </c>
      <c r="M13" s="59">
        <f>(0.54+0.71+H13)/4</f>
        <v>0.44750000000000001</v>
      </c>
      <c r="N13" s="56">
        <f t="shared" si="0"/>
        <v>0.44750000000000001</v>
      </c>
      <c r="O13" s="551">
        <f t="shared" si="1"/>
        <v>8.7333333333333343E-3</v>
      </c>
      <c r="P13" s="571">
        <f>I13*O13</f>
        <v>4.7160000000000006E-3</v>
      </c>
      <c r="Q13" s="61"/>
      <c r="R13" s="61"/>
      <c r="S13" s="61"/>
      <c r="T13" s="61"/>
      <c r="U13" s="61"/>
      <c r="V13" s="61"/>
      <c r="W13" s="62"/>
    </row>
    <row r="14" spans="1:23" ht="76.5" customHeight="1">
      <c r="A14" s="584"/>
      <c r="B14" s="587"/>
      <c r="C14" s="590"/>
      <c r="D14" s="590"/>
      <c r="E14" s="63" t="s">
        <v>181</v>
      </c>
      <c r="F14" s="50" t="s">
        <v>178</v>
      </c>
      <c r="G14" s="51">
        <v>1</v>
      </c>
      <c r="H14" s="52">
        <v>1</v>
      </c>
      <c r="I14" s="64">
        <f t="shared" si="2"/>
        <v>1</v>
      </c>
      <c r="J14" s="50"/>
      <c r="K14" s="353"/>
      <c r="L14" s="59">
        <v>1</v>
      </c>
      <c r="M14" s="59">
        <f>(0.5+1+H14)/4</f>
        <v>0.625</v>
      </c>
      <c r="N14" s="56">
        <f t="shared" si="0"/>
        <v>0.625</v>
      </c>
      <c r="O14" s="551">
        <f t="shared" si="1"/>
        <v>8.7333333333333343E-3</v>
      </c>
      <c r="P14" s="571">
        <f>I14*O14</f>
        <v>8.7333333333333343E-3</v>
      </c>
      <c r="Q14" s="61"/>
      <c r="R14" s="61"/>
      <c r="S14" s="61"/>
      <c r="T14" s="61"/>
      <c r="U14" s="61"/>
      <c r="V14" s="61"/>
      <c r="W14" s="62"/>
    </row>
    <row r="15" spans="1:23" ht="27.75" customHeight="1">
      <c r="A15" s="584"/>
      <c r="B15" s="587"/>
      <c r="C15" s="590"/>
      <c r="D15" s="590"/>
      <c r="E15" s="63" t="s">
        <v>182</v>
      </c>
      <c r="F15" s="50" t="s">
        <v>178</v>
      </c>
      <c r="G15" s="51">
        <v>1</v>
      </c>
      <c r="H15" s="52">
        <v>1</v>
      </c>
      <c r="I15" s="64">
        <f t="shared" si="2"/>
        <v>1</v>
      </c>
      <c r="J15" s="50"/>
      <c r="K15" s="354"/>
      <c r="L15" s="59">
        <v>1</v>
      </c>
      <c r="M15" s="59">
        <f>(1+1+H15)/4</f>
        <v>0.75</v>
      </c>
      <c r="N15" s="56">
        <f t="shared" si="0"/>
        <v>0.75</v>
      </c>
      <c r="O15" s="551">
        <f t="shared" si="1"/>
        <v>8.7333333333333343E-3</v>
      </c>
      <c r="P15" s="571">
        <f>I15*O15</f>
        <v>8.7333333333333343E-3</v>
      </c>
      <c r="Q15" s="61"/>
      <c r="R15" s="61"/>
      <c r="S15" s="61"/>
      <c r="T15" s="61"/>
      <c r="U15" s="61"/>
      <c r="V15" s="61"/>
      <c r="W15" s="62"/>
    </row>
    <row r="16" spans="1:23" ht="63.75" customHeight="1">
      <c r="A16" s="584"/>
      <c r="B16" s="587"/>
      <c r="C16" s="590"/>
      <c r="D16" s="590"/>
      <c r="E16" s="63" t="s">
        <v>183</v>
      </c>
      <c r="F16" s="50" t="s">
        <v>178</v>
      </c>
      <c r="G16" s="51">
        <v>1</v>
      </c>
      <c r="H16" s="52">
        <v>0.5</v>
      </c>
      <c r="I16" s="64">
        <f t="shared" si="2"/>
        <v>0.5</v>
      </c>
      <c r="J16" s="50"/>
      <c r="K16" s="353"/>
      <c r="L16" s="59">
        <v>1</v>
      </c>
      <c r="M16" s="59">
        <f>(1+0.5+H16)/4</f>
        <v>0.5</v>
      </c>
      <c r="N16" s="65">
        <f t="shared" si="0"/>
        <v>0.5</v>
      </c>
      <c r="O16" s="551">
        <f t="shared" si="1"/>
        <v>8.7333333333333343E-3</v>
      </c>
      <c r="P16" s="571">
        <f>H16*O16</f>
        <v>4.3666666666666671E-3</v>
      </c>
      <c r="Q16" s="61"/>
      <c r="R16" s="61"/>
      <c r="S16" s="61"/>
      <c r="T16" s="61"/>
      <c r="U16" s="61"/>
      <c r="V16" s="61"/>
      <c r="W16" s="62"/>
    </row>
    <row r="17" spans="1:23" ht="24">
      <c r="A17" s="584"/>
      <c r="B17" s="587"/>
      <c r="C17" s="590"/>
      <c r="D17" s="590"/>
      <c r="E17" s="63" t="s">
        <v>184</v>
      </c>
      <c r="F17" s="50" t="s">
        <v>178</v>
      </c>
      <c r="G17" s="51">
        <v>1</v>
      </c>
      <c r="H17" s="52">
        <v>1</v>
      </c>
      <c r="I17" s="53">
        <f>H17/G17</f>
        <v>1</v>
      </c>
      <c r="J17" s="50"/>
      <c r="K17" s="354"/>
      <c r="L17" s="59">
        <v>1</v>
      </c>
      <c r="M17" s="59">
        <f>(1+1+H17)/4</f>
        <v>0.75</v>
      </c>
      <c r="N17" s="65">
        <f t="shared" si="0"/>
        <v>0.75</v>
      </c>
      <c r="O17" s="551">
        <f t="shared" si="1"/>
        <v>8.7333333333333343E-3</v>
      </c>
      <c r="P17" s="571">
        <f>I17*O17</f>
        <v>8.7333333333333343E-3</v>
      </c>
      <c r="Q17" s="61"/>
      <c r="R17" s="61"/>
      <c r="S17" s="61"/>
      <c r="T17" s="61"/>
      <c r="U17" s="61"/>
      <c r="V17" s="61"/>
      <c r="W17" s="62"/>
    </row>
    <row r="18" spans="1:23" ht="28.5" customHeight="1" thickBot="1">
      <c r="A18" s="584"/>
      <c r="B18" s="587"/>
      <c r="C18" s="590"/>
      <c r="D18" s="590"/>
      <c r="E18" s="66" t="s">
        <v>185</v>
      </c>
      <c r="F18" s="67" t="s">
        <v>178</v>
      </c>
      <c r="G18" s="68">
        <v>0.27029999999999998</v>
      </c>
      <c r="H18" s="69">
        <v>0.18920000000000001</v>
      </c>
      <c r="I18" s="70">
        <f>H18/G18</f>
        <v>0.69996300406955236</v>
      </c>
      <c r="J18" s="67"/>
      <c r="K18" s="355"/>
      <c r="L18" s="89">
        <v>1</v>
      </c>
      <c r="M18" s="89">
        <f>0.19+0.19+H18</f>
        <v>0.56920000000000004</v>
      </c>
      <c r="N18" s="72">
        <f t="shared" si="0"/>
        <v>0.56920000000000004</v>
      </c>
      <c r="O18" s="552">
        <f t="shared" si="1"/>
        <v>8.7333333333333343E-3</v>
      </c>
      <c r="P18" s="572">
        <f>I18*O18</f>
        <v>6.1130102355407582E-3</v>
      </c>
      <c r="Q18" s="73"/>
      <c r="R18" s="73"/>
      <c r="S18" s="73"/>
      <c r="T18" s="73"/>
      <c r="U18" s="73"/>
      <c r="V18" s="73"/>
      <c r="W18" s="74"/>
    </row>
    <row r="19" spans="1:23" ht="13.5" customHeight="1" thickBot="1">
      <c r="A19" s="584"/>
      <c r="B19" s="587"/>
      <c r="C19" s="590"/>
      <c r="D19" s="593"/>
      <c r="E19" s="600" t="s">
        <v>186</v>
      </c>
      <c r="F19" s="601"/>
      <c r="G19" s="601"/>
      <c r="H19" s="602"/>
      <c r="I19" s="32">
        <f>(I20+I21+I22+I23+I24)/5</f>
        <v>0.79400000000000015</v>
      </c>
      <c r="J19" s="75"/>
      <c r="K19" s="336"/>
      <c r="L19" s="77"/>
      <c r="M19" s="76"/>
      <c r="N19" s="78">
        <f>(N20+N21+N22+N23+N24)/5</f>
        <v>0.59183333333333332</v>
      </c>
      <c r="O19" s="79">
        <v>8.3000000000000004E-2</v>
      </c>
      <c r="P19" s="557">
        <f>SUM(P20:P24)</f>
        <v>0.149566</v>
      </c>
      <c r="Q19" s="297">
        <f>'Anexo 5-2 Gastos'!H29</f>
        <v>164099217</v>
      </c>
      <c r="R19" s="303">
        <f>'Anexo 5-2 Gastos'!I29</f>
        <v>92560286</v>
      </c>
      <c r="S19" s="307">
        <f>R19/Q19</f>
        <v>0.56405074742069006</v>
      </c>
      <c r="T19" s="283">
        <f>(187999197+1225877827+3390941561+7642252977)+(207331988-5000000+1262501)+(164099217+1277812072.4-201510770)+244115723</f>
        <v>14135182293.4</v>
      </c>
      <c r="U19" s="300">
        <f>12450699562+157628995+Q19</f>
        <v>12772427774</v>
      </c>
      <c r="V19" s="308">
        <f>U19/T19</f>
        <v>0.90359130210607208</v>
      </c>
      <c r="W19" s="309"/>
    </row>
    <row r="20" spans="1:23" ht="85.5" customHeight="1">
      <c r="A20" s="584"/>
      <c r="B20" s="587"/>
      <c r="C20" s="590"/>
      <c r="D20" s="590"/>
      <c r="E20" s="230" t="s">
        <v>8</v>
      </c>
      <c r="F20" s="42" t="s">
        <v>178</v>
      </c>
      <c r="G20" s="43">
        <v>1</v>
      </c>
      <c r="H20" s="44">
        <v>0.56000000000000005</v>
      </c>
      <c r="I20" s="43">
        <f>H20/G20</f>
        <v>0.56000000000000005</v>
      </c>
      <c r="J20" s="42"/>
      <c r="K20" s="42"/>
      <c r="L20" s="80">
        <v>1</v>
      </c>
      <c r="M20" s="80">
        <f>(0.69+1+H20)/4</f>
        <v>0.5625</v>
      </c>
      <c r="N20" s="81">
        <f t="shared" si="0"/>
        <v>0.5625</v>
      </c>
      <c r="O20" s="196">
        <f>0.83/5</f>
        <v>0.16599999999999998</v>
      </c>
      <c r="P20" s="570">
        <f>I20*O20</f>
        <v>9.2960000000000001E-2</v>
      </c>
      <c r="Q20" s="82"/>
      <c r="R20" s="82"/>
      <c r="S20" s="82"/>
      <c r="T20" s="82"/>
      <c r="U20" s="82"/>
      <c r="V20" s="82"/>
      <c r="W20" s="83"/>
    </row>
    <row r="21" spans="1:23" ht="31.5" customHeight="1">
      <c r="A21" s="584"/>
      <c r="B21" s="587"/>
      <c r="C21" s="590"/>
      <c r="D21" s="590"/>
      <c r="E21" s="231" t="s">
        <v>187</v>
      </c>
      <c r="F21" s="50" t="s">
        <v>178</v>
      </c>
      <c r="G21" s="51">
        <v>1</v>
      </c>
      <c r="H21" s="52">
        <v>0.91</v>
      </c>
      <c r="I21" s="51">
        <f t="shared" ref="I21:I24" si="3">H21/G21</f>
        <v>0.91</v>
      </c>
      <c r="J21" s="50"/>
      <c r="K21" s="50"/>
      <c r="L21" s="59">
        <v>1</v>
      </c>
      <c r="M21" s="59">
        <f>(0.15+0.66+H21)/4</f>
        <v>0.43000000000000005</v>
      </c>
      <c r="N21" s="65">
        <f t="shared" si="0"/>
        <v>0.43000000000000005</v>
      </c>
      <c r="O21" s="551">
        <f>0.083/5</f>
        <v>1.66E-2</v>
      </c>
      <c r="P21" s="571">
        <f>I21*O21</f>
        <v>1.5106000000000001E-2</v>
      </c>
      <c r="Q21" s="84"/>
      <c r="R21" s="84"/>
      <c r="S21" s="84"/>
      <c r="T21" s="84"/>
      <c r="U21" s="84"/>
      <c r="V21" s="84"/>
      <c r="W21" s="85"/>
    </row>
    <row r="22" spans="1:23" ht="44.25" customHeight="1">
      <c r="A22" s="584"/>
      <c r="B22" s="587"/>
      <c r="C22" s="590"/>
      <c r="D22" s="590"/>
      <c r="E22" s="86" t="s">
        <v>188</v>
      </c>
      <c r="F22" s="50" t="s">
        <v>178</v>
      </c>
      <c r="G22" s="51">
        <v>0.3</v>
      </c>
      <c r="H22" s="52">
        <v>0.25</v>
      </c>
      <c r="I22" s="51">
        <f t="shared" si="3"/>
        <v>0.83333333333333337</v>
      </c>
      <c r="J22" s="50"/>
      <c r="K22" s="50"/>
      <c r="L22" s="59">
        <v>1</v>
      </c>
      <c r="M22" s="59">
        <f>0.2+0.25+H22</f>
        <v>0.7</v>
      </c>
      <c r="N22" s="65">
        <f t="shared" si="0"/>
        <v>0.7</v>
      </c>
      <c r="O22" s="551">
        <f>0.083/5</f>
        <v>1.66E-2</v>
      </c>
      <c r="P22" s="571">
        <f>I22*O22</f>
        <v>1.3833333333333335E-2</v>
      </c>
      <c r="Q22" s="61"/>
      <c r="R22" s="61"/>
      <c r="S22" s="61"/>
      <c r="T22" s="61"/>
      <c r="U22" s="61"/>
      <c r="V22" s="61"/>
      <c r="W22" s="62"/>
    </row>
    <row r="23" spans="1:23" ht="52.5" customHeight="1">
      <c r="A23" s="584"/>
      <c r="B23" s="587"/>
      <c r="C23" s="590"/>
      <c r="D23" s="590"/>
      <c r="E23" s="86" t="s">
        <v>189</v>
      </c>
      <c r="F23" s="50" t="s">
        <v>190</v>
      </c>
      <c r="G23" s="50">
        <v>2</v>
      </c>
      <c r="H23" s="87">
        <v>2</v>
      </c>
      <c r="I23" s="51">
        <f t="shared" si="3"/>
        <v>1</v>
      </c>
      <c r="J23" s="50"/>
      <c r="K23" s="50"/>
      <c r="L23" s="55">
        <v>6</v>
      </c>
      <c r="M23" s="55">
        <f>0+2+H23</f>
        <v>4</v>
      </c>
      <c r="N23" s="65">
        <f t="shared" si="0"/>
        <v>0.66666666666666663</v>
      </c>
      <c r="O23" s="551">
        <f>0.083/5</f>
        <v>1.66E-2</v>
      </c>
      <c r="P23" s="571">
        <f>I23*O23</f>
        <v>1.66E-2</v>
      </c>
      <c r="Q23" s="61"/>
      <c r="R23" s="61"/>
      <c r="S23" s="61"/>
      <c r="T23" s="61"/>
      <c r="U23" s="61"/>
      <c r="V23" s="61"/>
      <c r="W23" s="62"/>
    </row>
    <row r="24" spans="1:23" ht="51.75" customHeight="1" thickBot="1">
      <c r="A24" s="584"/>
      <c r="B24" s="588"/>
      <c r="C24" s="591"/>
      <c r="D24" s="591"/>
      <c r="E24" s="88" t="s">
        <v>191</v>
      </c>
      <c r="F24" s="67" t="s">
        <v>178</v>
      </c>
      <c r="G24" s="68">
        <v>0.3</v>
      </c>
      <c r="H24" s="69">
        <v>0.2</v>
      </c>
      <c r="I24" s="68">
        <f t="shared" si="3"/>
        <v>0.66666666666666674</v>
      </c>
      <c r="J24" s="67"/>
      <c r="K24" s="67"/>
      <c r="L24" s="89">
        <v>1</v>
      </c>
      <c r="M24" s="89">
        <f>0.2+0.2+H24</f>
        <v>0.60000000000000009</v>
      </c>
      <c r="N24" s="72">
        <f t="shared" si="0"/>
        <v>0.60000000000000009</v>
      </c>
      <c r="O24" s="552">
        <f>0.083/5</f>
        <v>1.66E-2</v>
      </c>
      <c r="P24" s="572">
        <f>I24*O24</f>
        <v>1.1066666666666667E-2</v>
      </c>
      <c r="Q24" s="73"/>
      <c r="R24" s="73"/>
      <c r="S24" s="73"/>
      <c r="T24" s="73"/>
      <c r="U24" s="73"/>
      <c r="V24" s="73"/>
      <c r="W24" s="74"/>
    </row>
    <row r="25" spans="1:23" ht="13.5" customHeight="1" thickBot="1">
      <c r="A25" s="584"/>
      <c r="B25" s="603" t="s">
        <v>192</v>
      </c>
      <c r="C25" s="631"/>
      <c r="D25" s="632" t="s">
        <v>193</v>
      </c>
      <c r="E25" s="600" t="s">
        <v>194</v>
      </c>
      <c r="F25" s="601"/>
      <c r="G25" s="601"/>
      <c r="H25" s="602"/>
      <c r="I25" s="32">
        <f>(I26+I27+I28+I29)/4</f>
        <v>0.84375</v>
      </c>
      <c r="J25" s="90"/>
      <c r="K25" s="32"/>
      <c r="L25" s="78"/>
      <c r="M25" s="91"/>
      <c r="N25" s="78">
        <f>(N26+N27+N28+N29)/4</f>
        <v>0.7276851851851851</v>
      </c>
      <c r="O25" s="79">
        <v>5.6800000000000003E-2</v>
      </c>
      <c r="P25" s="558">
        <f>SUM(P26:P29)</f>
        <v>3.9050000000000001E-2</v>
      </c>
      <c r="Q25" s="297">
        <f>'Anexo 5-2 Gastos'!H30</f>
        <v>160635020</v>
      </c>
      <c r="R25" s="303">
        <f>'Anexo 5-2 Gastos'!I30</f>
        <v>76193213</v>
      </c>
      <c r="S25" s="310">
        <f>R25/Q25</f>
        <v>0.47432504443925116</v>
      </c>
      <c r="T25" s="283">
        <f>(166566316+4267000)+(184682954+21000000-31800000)+(160635020)+219388889</f>
        <v>724740179</v>
      </c>
      <c r="U25" s="300">
        <f>170833316+161484366+Q25</f>
        <v>492952702</v>
      </c>
      <c r="V25" s="308">
        <f>U25/T25</f>
        <v>0.6801785195353437</v>
      </c>
      <c r="W25" s="309"/>
    </row>
    <row r="26" spans="1:23" ht="36">
      <c r="A26" s="584"/>
      <c r="B26" s="604"/>
      <c r="C26" s="631"/>
      <c r="D26" s="604"/>
      <c r="E26" s="92" t="s">
        <v>195</v>
      </c>
      <c r="F26" s="42" t="s">
        <v>196</v>
      </c>
      <c r="G26" s="93">
        <v>1</v>
      </c>
      <c r="H26" s="94">
        <v>1</v>
      </c>
      <c r="I26" s="53">
        <f>H26/G26</f>
        <v>1</v>
      </c>
      <c r="J26" s="96"/>
      <c r="K26" s="96"/>
      <c r="L26" s="97">
        <v>2</v>
      </c>
      <c r="M26" s="46">
        <f>1+H26</f>
        <v>2</v>
      </c>
      <c r="N26" s="81">
        <f>M26/L26</f>
        <v>1</v>
      </c>
      <c r="O26" s="196">
        <f>0.0568/4</f>
        <v>1.4200000000000001E-2</v>
      </c>
      <c r="P26" s="570">
        <f>I26*O26</f>
        <v>1.4200000000000001E-2</v>
      </c>
      <c r="Q26" s="98"/>
      <c r="R26" s="98"/>
      <c r="S26" s="99"/>
      <c r="T26" s="100"/>
      <c r="U26" s="100"/>
      <c r="V26" s="100"/>
      <c r="W26" s="83"/>
    </row>
    <row r="27" spans="1:23" ht="24">
      <c r="A27" s="584"/>
      <c r="B27" s="604"/>
      <c r="C27" s="631"/>
      <c r="D27" s="604"/>
      <c r="E27" s="63" t="s">
        <v>197</v>
      </c>
      <c r="F27" s="50" t="s">
        <v>178</v>
      </c>
      <c r="G27" s="101">
        <v>1</v>
      </c>
      <c r="H27" s="52">
        <v>1</v>
      </c>
      <c r="I27" s="53">
        <f>H27/G27</f>
        <v>1</v>
      </c>
      <c r="J27" s="102"/>
      <c r="K27" s="102"/>
      <c r="L27" s="59">
        <v>1</v>
      </c>
      <c r="M27" s="59">
        <f>(1+1+H27)/4</f>
        <v>0.75</v>
      </c>
      <c r="N27" s="65">
        <f>M27/L27</f>
        <v>0.75</v>
      </c>
      <c r="O27" s="551">
        <f>0.0568/4</f>
        <v>1.4200000000000001E-2</v>
      </c>
      <c r="P27" s="571">
        <f>I27*P28</f>
        <v>5.3249999999999999E-3</v>
      </c>
      <c r="Q27" s="103"/>
      <c r="R27" s="103"/>
      <c r="S27" s="104"/>
      <c r="T27" s="105"/>
      <c r="U27" s="105"/>
      <c r="V27" s="105"/>
      <c r="W27" s="62"/>
    </row>
    <row r="28" spans="1:23" ht="24">
      <c r="A28" s="584"/>
      <c r="B28" s="604"/>
      <c r="C28" s="631"/>
      <c r="D28" s="604"/>
      <c r="E28" s="63" t="s">
        <v>198</v>
      </c>
      <c r="F28" s="50" t="s">
        <v>196</v>
      </c>
      <c r="G28" s="106">
        <v>8</v>
      </c>
      <c r="H28" s="107">
        <v>3</v>
      </c>
      <c r="I28" s="53">
        <f>H28/G28</f>
        <v>0.375</v>
      </c>
      <c r="J28" s="102"/>
      <c r="K28" s="102"/>
      <c r="L28" s="108">
        <v>27</v>
      </c>
      <c r="M28" s="55">
        <f>6+11+H28</f>
        <v>20</v>
      </c>
      <c r="N28" s="65">
        <f>M28/L28</f>
        <v>0.7407407407407407</v>
      </c>
      <c r="O28" s="551">
        <f>0.0568/4</f>
        <v>1.4200000000000001E-2</v>
      </c>
      <c r="P28" s="571">
        <f>I28*O28</f>
        <v>5.3249999999999999E-3</v>
      </c>
      <c r="Q28" s="103"/>
      <c r="R28" s="103"/>
      <c r="S28" s="104"/>
      <c r="T28" s="105"/>
      <c r="U28" s="105"/>
      <c r="V28" s="105"/>
      <c r="W28" s="62"/>
    </row>
    <row r="29" spans="1:23" ht="52.5" customHeight="1" thickBot="1">
      <c r="A29" s="584"/>
      <c r="B29" s="605"/>
      <c r="C29" s="631"/>
      <c r="D29" s="605"/>
      <c r="E29" s="109" t="s">
        <v>199</v>
      </c>
      <c r="F29" s="67" t="s">
        <v>196</v>
      </c>
      <c r="G29" s="110">
        <v>25</v>
      </c>
      <c r="H29" s="111">
        <v>39</v>
      </c>
      <c r="I29" s="53">
        <v>1</v>
      </c>
      <c r="J29" s="112"/>
      <c r="K29" s="112"/>
      <c r="L29" s="113">
        <v>50</v>
      </c>
      <c r="M29" s="71">
        <f>(45+0+H29)/4</f>
        <v>21</v>
      </c>
      <c r="N29" s="72">
        <f>M29/L29</f>
        <v>0.42</v>
      </c>
      <c r="O29" s="552">
        <f>0.0568/4</f>
        <v>1.4200000000000001E-2</v>
      </c>
      <c r="P29" s="572">
        <f>I29*O29</f>
        <v>1.4200000000000001E-2</v>
      </c>
      <c r="Q29" s="114"/>
      <c r="R29" s="114"/>
      <c r="S29" s="115"/>
      <c r="T29" s="116"/>
      <c r="U29" s="116"/>
      <c r="V29" s="116"/>
      <c r="W29" s="74"/>
    </row>
    <row r="30" spans="1:23" ht="13.5" customHeight="1" thickBot="1">
      <c r="A30" s="584"/>
      <c r="B30" s="117"/>
      <c r="C30" s="633" t="s">
        <v>173</v>
      </c>
      <c r="D30" s="636" t="s">
        <v>200</v>
      </c>
      <c r="E30" s="594" t="s">
        <v>201</v>
      </c>
      <c r="F30" s="595"/>
      <c r="G30" s="595"/>
      <c r="H30" s="596"/>
      <c r="I30" s="118">
        <f>(I32+I33+I35+I36+I38+I39+I41+I42+I43+I44+I45+I46+I47)/13</f>
        <v>0.3778369493754109</v>
      </c>
      <c r="J30" s="38"/>
      <c r="K30" s="119"/>
      <c r="L30" s="120"/>
      <c r="M30" s="121"/>
      <c r="N30" s="122">
        <f>(N32+N33+N34+N35+N36+N37+N38+N39+N41+N42+N43+N44+N45+N46+N47)/15</f>
        <v>0.31169475618316195</v>
      </c>
      <c r="O30" s="123">
        <f>O31+O40</f>
        <v>0.13537117910000002</v>
      </c>
      <c r="P30" s="560">
        <f>P31+P40</f>
        <v>4.3702126984126989E-2</v>
      </c>
      <c r="Q30" s="278">
        <f>Q31+Q40</f>
        <v>1449997263</v>
      </c>
      <c r="R30" s="311">
        <f>R31+R40</f>
        <v>930643017.64999998</v>
      </c>
      <c r="S30" s="312">
        <f>R30/Q30</f>
        <v>0.64182398229119964</v>
      </c>
      <c r="T30" s="278">
        <f>T31+T40</f>
        <v>14604788433.65</v>
      </c>
      <c r="U30" s="277">
        <f>U31+U40</f>
        <v>6248473215</v>
      </c>
      <c r="V30" s="279">
        <f>U30/T30</f>
        <v>0.42783729756764399</v>
      </c>
      <c r="W30" s="573" t="s">
        <v>387</v>
      </c>
    </row>
    <row r="31" spans="1:23" ht="25.5" customHeight="1" thickBot="1">
      <c r="A31" s="584"/>
      <c r="B31" s="124"/>
      <c r="C31" s="634"/>
      <c r="D31" s="637"/>
      <c r="E31" s="600" t="s">
        <v>202</v>
      </c>
      <c r="F31" s="601"/>
      <c r="G31" s="601"/>
      <c r="H31" s="602"/>
      <c r="I31" s="32">
        <f>(I32+I33+I35+I36+I38+I39)/6</f>
        <v>0.25267973856209153</v>
      </c>
      <c r="J31" s="39"/>
      <c r="K31" s="328"/>
      <c r="L31" s="40"/>
      <c r="M31" s="125"/>
      <c r="N31" s="126">
        <f>SUM(N32+N33+N34+N35+N36+N37+N38+N39)/8</f>
        <v>0.19626442307692307</v>
      </c>
      <c r="O31" s="79">
        <v>7.4235807900000006E-2</v>
      </c>
      <c r="P31" s="562">
        <f>SUM(P32:P39)</f>
        <v>1.4061627450980392E-2</v>
      </c>
      <c r="Q31" s="282">
        <f>'Anexo 5-2 Gastos'!H32</f>
        <v>986650999</v>
      </c>
      <c r="R31" s="283">
        <f>'Anexo 5-2 Gastos'!I32</f>
        <v>633349358.64999998</v>
      </c>
      <c r="S31" s="279">
        <f>R31/Q31</f>
        <v>0.64191832703956953</v>
      </c>
      <c r="T31" s="282">
        <f>(633220535-13791506+43214000+132460670+310905000)+(665861382+6000000+139502092+12531620.5+1372889793.5+200000000+76000000)+(786650999+200000000+4398082282.65+2613583833)+832384944</f>
        <v>12409495645.65</v>
      </c>
      <c r="U31" s="283">
        <f>1106008699+2562463174+Q31</f>
        <v>4655122872</v>
      </c>
      <c r="V31" s="284">
        <f>U31/T31</f>
        <v>0.37512587174578665</v>
      </c>
      <c r="W31" s="575" t="s">
        <v>384</v>
      </c>
    </row>
    <row r="32" spans="1:23" ht="51.75" customHeight="1">
      <c r="A32" s="584"/>
      <c r="B32" s="124"/>
      <c r="C32" s="634"/>
      <c r="D32" s="587"/>
      <c r="E32" s="230" t="s">
        <v>4</v>
      </c>
      <c r="F32" s="42" t="s">
        <v>178</v>
      </c>
      <c r="G32" s="43">
        <f>8.33%+8.33%</f>
        <v>0.1666</v>
      </c>
      <c r="H32" s="293" t="s">
        <v>393</v>
      </c>
      <c r="I32" s="128">
        <v>0</v>
      </c>
      <c r="J32" s="345"/>
      <c r="K32" s="351"/>
      <c r="L32" s="80">
        <v>0.33</v>
      </c>
      <c r="M32" s="80">
        <f>0%+0%+0</f>
        <v>0</v>
      </c>
      <c r="N32" s="81">
        <f>M32/L32</f>
        <v>0</v>
      </c>
      <c r="O32" s="554">
        <f t="shared" ref="O32:O39" si="4">0.0742/8</f>
        <v>9.2750000000000003E-3</v>
      </c>
      <c r="P32" s="196">
        <v>0</v>
      </c>
      <c r="Q32" s="82"/>
      <c r="R32" s="82"/>
      <c r="S32" s="82"/>
      <c r="T32" s="82"/>
      <c r="U32" s="82"/>
      <c r="V32" s="82"/>
      <c r="W32" s="544" t="s">
        <v>354</v>
      </c>
    </row>
    <row r="33" spans="1:23" ht="36.75" customHeight="1">
      <c r="A33" s="584"/>
      <c r="B33" s="124"/>
      <c r="C33" s="634"/>
      <c r="D33" s="587"/>
      <c r="E33" s="86" t="s">
        <v>203</v>
      </c>
      <c r="F33" s="50" t="s">
        <v>178</v>
      </c>
      <c r="G33" s="51">
        <v>8.3299999999999999E-2</v>
      </c>
      <c r="H33" s="52">
        <v>0</v>
      </c>
      <c r="I33" s="128">
        <f>H33/G33</f>
        <v>0</v>
      </c>
      <c r="J33" s="131"/>
      <c r="K33" s="50"/>
      <c r="L33" s="59">
        <v>0.1666</v>
      </c>
      <c r="M33" s="59">
        <f>0%+0+H33</f>
        <v>0</v>
      </c>
      <c r="N33" s="65">
        <f t="shared" ref="N33:N39" si="5">M33/L33</f>
        <v>0</v>
      </c>
      <c r="O33" s="555">
        <f t="shared" si="4"/>
        <v>9.2750000000000003E-3</v>
      </c>
      <c r="P33" s="551">
        <f>I33*O33</f>
        <v>0</v>
      </c>
      <c r="Q33" s="61"/>
      <c r="R33" s="61"/>
      <c r="S33" s="61"/>
      <c r="T33" s="61"/>
      <c r="U33" s="61"/>
      <c r="V33" s="61"/>
      <c r="W33" s="74"/>
    </row>
    <row r="34" spans="1:23" ht="36">
      <c r="A34" s="584"/>
      <c r="B34" s="124"/>
      <c r="C34" s="634"/>
      <c r="D34" s="587"/>
      <c r="E34" s="231" t="s">
        <v>204</v>
      </c>
      <c r="F34" s="50" t="s">
        <v>178</v>
      </c>
      <c r="G34" s="51">
        <v>0</v>
      </c>
      <c r="H34" s="52" t="s">
        <v>179</v>
      </c>
      <c r="I34" s="128" t="s">
        <v>179</v>
      </c>
      <c r="J34" s="131"/>
      <c r="K34" s="351"/>
      <c r="L34" s="59">
        <v>8.3299999999999999E-2</v>
      </c>
      <c r="M34" s="59">
        <f>0%+0%+0</f>
        <v>0</v>
      </c>
      <c r="N34" s="65">
        <f t="shared" si="5"/>
        <v>0</v>
      </c>
      <c r="O34" s="555">
        <f t="shared" si="4"/>
        <v>9.2750000000000003E-3</v>
      </c>
      <c r="P34" s="551">
        <v>0</v>
      </c>
      <c r="Q34" s="61"/>
      <c r="R34" s="61"/>
      <c r="S34" s="61"/>
      <c r="T34" s="61"/>
      <c r="U34" s="61"/>
      <c r="V34" s="61"/>
      <c r="W34" s="544" t="s">
        <v>354</v>
      </c>
    </row>
    <row r="35" spans="1:23" ht="24">
      <c r="A35" s="584"/>
      <c r="B35" s="124"/>
      <c r="C35" s="634"/>
      <c r="D35" s="587"/>
      <c r="E35" s="86" t="s">
        <v>205</v>
      </c>
      <c r="F35" s="50" t="s">
        <v>178</v>
      </c>
      <c r="G35" s="51">
        <v>0.85</v>
      </c>
      <c r="H35" s="52">
        <v>0.21199999999999999</v>
      </c>
      <c r="I35" s="129">
        <f>H35/G35</f>
        <v>0.24941176470588236</v>
      </c>
      <c r="J35" s="131"/>
      <c r="K35" s="50"/>
      <c r="L35" s="59">
        <v>0.9</v>
      </c>
      <c r="M35" s="59">
        <f>(0.185+0.8+H35)/4</f>
        <v>0.29925000000000002</v>
      </c>
      <c r="N35" s="65">
        <f t="shared" si="5"/>
        <v>0.33250000000000002</v>
      </c>
      <c r="O35" s="555">
        <f t="shared" si="4"/>
        <v>9.2750000000000003E-3</v>
      </c>
      <c r="P35" s="551">
        <f>I35*O35</f>
        <v>2.3132941176470588E-3</v>
      </c>
      <c r="Q35" s="61"/>
      <c r="R35" s="61"/>
      <c r="S35" s="61"/>
      <c r="T35" s="61"/>
      <c r="U35" s="61"/>
      <c r="V35" s="61"/>
      <c r="W35" s="130"/>
    </row>
    <row r="36" spans="1:23" ht="63.75" customHeight="1">
      <c r="A36" s="584"/>
      <c r="B36" s="124"/>
      <c r="C36" s="634"/>
      <c r="D36" s="587"/>
      <c r="E36" s="86" t="s">
        <v>206</v>
      </c>
      <c r="F36" s="50" t="s">
        <v>196</v>
      </c>
      <c r="G36" s="50">
        <v>3000</v>
      </c>
      <c r="H36" s="87">
        <v>800</v>
      </c>
      <c r="I36" s="129">
        <f t="shared" ref="I36:I38" si="6">H36/G36</f>
        <v>0.26666666666666666</v>
      </c>
      <c r="J36" s="131"/>
      <c r="K36" s="50"/>
      <c r="L36" s="55">
        <v>12000</v>
      </c>
      <c r="M36" s="55">
        <f>4976+4460+H36</f>
        <v>10236</v>
      </c>
      <c r="N36" s="65">
        <f t="shared" si="5"/>
        <v>0.85299999999999998</v>
      </c>
      <c r="O36" s="555">
        <f t="shared" si="4"/>
        <v>9.2750000000000003E-3</v>
      </c>
      <c r="P36" s="551">
        <f>I36*O36</f>
        <v>2.4733333333333335E-3</v>
      </c>
      <c r="Q36" s="61"/>
      <c r="R36" s="61"/>
      <c r="S36" s="61"/>
      <c r="T36" s="61"/>
      <c r="U36" s="61"/>
      <c r="V36" s="61"/>
      <c r="W36" s="132"/>
    </row>
    <row r="37" spans="1:23" ht="37.5" customHeight="1">
      <c r="A37" s="584"/>
      <c r="B37" s="124"/>
      <c r="C37" s="634"/>
      <c r="D37" s="587"/>
      <c r="E37" s="86" t="s">
        <v>207</v>
      </c>
      <c r="F37" s="50" t="s">
        <v>196</v>
      </c>
      <c r="G37" s="50">
        <v>0</v>
      </c>
      <c r="H37" s="87">
        <v>0</v>
      </c>
      <c r="I37" s="129" t="s">
        <v>179</v>
      </c>
      <c r="J37" s="131"/>
      <c r="K37" s="351"/>
      <c r="L37" s="55">
        <v>4</v>
      </c>
      <c r="M37" s="55">
        <f>0+0+H37</f>
        <v>0</v>
      </c>
      <c r="N37" s="133">
        <f>M37/L37</f>
        <v>0</v>
      </c>
      <c r="O37" s="555">
        <f t="shared" si="4"/>
        <v>9.2750000000000003E-3</v>
      </c>
      <c r="P37" s="551">
        <v>0</v>
      </c>
      <c r="Q37" s="61"/>
      <c r="R37" s="61"/>
      <c r="S37" s="61"/>
      <c r="T37" s="61"/>
      <c r="U37" s="61"/>
      <c r="V37" s="134"/>
      <c r="W37" s="544" t="s">
        <v>354</v>
      </c>
    </row>
    <row r="38" spans="1:23" ht="88.5" customHeight="1">
      <c r="A38" s="584"/>
      <c r="B38" s="124"/>
      <c r="C38" s="634"/>
      <c r="D38" s="587"/>
      <c r="E38" s="86" t="s">
        <v>208</v>
      </c>
      <c r="F38" s="50" t="s">
        <v>209</v>
      </c>
      <c r="G38" s="50">
        <v>5</v>
      </c>
      <c r="H38" s="87">
        <v>5</v>
      </c>
      <c r="I38" s="129">
        <f t="shared" si="6"/>
        <v>1</v>
      </c>
      <c r="J38" s="346"/>
      <c r="K38" s="131"/>
      <c r="L38" s="55">
        <v>13</v>
      </c>
      <c r="M38" s="55">
        <f>0+0+H38</f>
        <v>5</v>
      </c>
      <c r="N38" s="65">
        <f t="shared" si="5"/>
        <v>0.38461538461538464</v>
      </c>
      <c r="O38" s="555">
        <f t="shared" si="4"/>
        <v>9.2750000000000003E-3</v>
      </c>
      <c r="P38" s="551">
        <f>I38*O38</f>
        <v>9.2750000000000003E-3</v>
      </c>
      <c r="Q38" s="61"/>
      <c r="R38" s="61"/>
      <c r="S38" s="61"/>
      <c r="T38" s="61"/>
      <c r="U38" s="61"/>
      <c r="V38" s="134"/>
      <c r="W38" s="61"/>
    </row>
    <row r="39" spans="1:23" ht="24.75" thickBot="1">
      <c r="A39" s="584"/>
      <c r="B39" s="124"/>
      <c r="C39" s="634"/>
      <c r="D39" s="587"/>
      <c r="E39" s="88" t="s">
        <v>210</v>
      </c>
      <c r="F39" s="67" t="s">
        <v>196</v>
      </c>
      <c r="G39" s="67">
        <v>1</v>
      </c>
      <c r="H39" s="135">
        <v>0</v>
      </c>
      <c r="I39" s="129">
        <f>H39/G39</f>
        <v>0</v>
      </c>
      <c r="J39" s="347"/>
      <c r="K39" s="351"/>
      <c r="L39" s="71">
        <v>1</v>
      </c>
      <c r="M39" s="71">
        <f>0+0+H39</f>
        <v>0</v>
      </c>
      <c r="N39" s="72">
        <f t="shared" si="5"/>
        <v>0</v>
      </c>
      <c r="O39" s="556">
        <f t="shared" si="4"/>
        <v>9.2750000000000003E-3</v>
      </c>
      <c r="P39" s="552">
        <f>I39*O39</f>
        <v>0</v>
      </c>
      <c r="Q39" s="73"/>
      <c r="R39" s="73"/>
      <c r="S39" s="73"/>
      <c r="T39" s="73"/>
      <c r="U39" s="73"/>
      <c r="V39" s="73"/>
      <c r="W39" s="351" t="s">
        <v>354</v>
      </c>
    </row>
    <row r="40" spans="1:23" ht="15.75" customHeight="1" thickBot="1">
      <c r="A40" s="584"/>
      <c r="B40" s="124"/>
      <c r="C40" s="634"/>
      <c r="D40" s="637"/>
      <c r="E40" s="638" t="s">
        <v>211</v>
      </c>
      <c r="F40" s="639"/>
      <c r="G40" s="639"/>
      <c r="H40" s="640"/>
      <c r="I40" s="136">
        <f>(I41+I42+I43+I44+I45+I46+I47)/7</f>
        <v>0.48511455864397041</v>
      </c>
      <c r="J40" s="137"/>
      <c r="K40" s="138"/>
      <c r="L40" s="139"/>
      <c r="M40" s="140"/>
      <c r="N40" s="141">
        <f>(N41+N42+N43+N44+N45+N46+N47)/7</f>
        <v>0.44361513687600646</v>
      </c>
      <c r="O40" s="79">
        <v>6.1135371199999997E-2</v>
      </c>
      <c r="P40" s="561">
        <f>SUM(P41:P47)</f>
        <v>2.9640499533146597E-2</v>
      </c>
      <c r="Q40" s="283">
        <f>'Anexo 5-2 Gastos'!H33</f>
        <v>463346264</v>
      </c>
      <c r="R40" s="283">
        <f>'Anexo 5-2 Gastos'!I33</f>
        <v>297293659</v>
      </c>
      <c r="S40" s="310">
        <f>R40/Q40</f>
        <v>0.6416230842858377</v>
      </c>
      <c r="T40" s="283">
        <f>(450208494+26001506)+(451456834+202337245)+(463346264)+601942445</f>
        <v>2195292788</v>
      </c>
      <c r="U40" s="300">
        <f>476210000+653794079+Q40</f>
        <v>1593350343</v>
      </c>
      <c r="V40" s="308">
        <f>U40/T40</f>
        <v>0.72580311460486613</v>
      </c>
      <c r="W40" s="313"/>
    </row>
    <row r="41" spans="1:23" ht="61.5" customHeight="1">
      <c r="A41" s="584"/>
      <c r="B41" s="124"/>
      <c r="C41" s="634"/>
      <c r="D41" s="587"/>
      <c r="E41" s="142" t="s">
        <v>212</v>
      </c>
      <c r="F41" s="42" t="s">
        <v>196</v>
      </c>
      <c r="G41" s="42">
        <v>55</v>
      </c>
      <c r="H41" s="143">
        <v>0</v>
      </c>
      <c r="I41" s="95">
        <f>H41/G41</f>
        <v>0</v>
      </c>
      <c r="J41" s="42"/>
      <c r="K41" s="42"/>
      <c r="L41" s="46">
        <v>60</v>
      </c>
      <c r="M41" s="46">
        <f>(34+42+H41)/4</f>
        <v>19</v>
      </c>
      <c r="N41" s="47">
        <f>M41/L41</f>
        <v>0.31666666666666665</v>
      </c>
      <c r="O41" s="554">
        <f>0.0611/7</f>
        <v>8.7285714285714293E-3</v>
      </c>
      <c r="P41" s="196">
        <f t="shared" ref="P41:P47" si="7">I41*O41</f>
        <v>0</v>
      </c>
      <c r="Q41" s="82"/>
      <c r="R41" s="82"/>
      <c r="S41" s="82"/>
      <c r="T41" s="82"/>
      <c r="U41" s="82"/>
      <c r="V41" s="82"/>
      <c r="W41" s="42" t="s">
        <v>378</v>
      </c>
    </row>
    <row r="42" spans="1:23" ht="63" customHeight="1">
      <c r="A42" s="584"/>
      <c r="B42" s="124"/>
      <c r="C42" s="634"/>
      <c r="D42" s="587"/>
      <c r="E42" s="144" t="s">
        <v>213</v>
      </c>
      <c r="F42" s="145" t="s">
        <v>196</v>
      </c>
      <c r="G42" s="146">
        <v>33</v>
      </c>
      <c r="H42" s="147">
        <v>11</v>
      </c>
      <c r="I42" s="95">
        <f>H42/G42</f>
        <v>0.33333333333333331</v>
      </c>
      <c r="J42" s="42"/>
      <c r="K42" s="50"/>
      <c r="L42" s="54">
        <v>36</v>
      </c>
      <c r="M42" s="54">
        <f>(28+30+H42)/4</f>
        <v>17.25</v>
      </c>
      <c r="N42" s="47">
        <f t="shared" ref="N42:N47" si="8">M42/L42</f>
        <v>0.47916666666666669</v>
      </c>
      <c r="O42" s="554">
        <f t="shared" ref="O42:O47" si="9">0.0611/7</f>
        <v>8.7285714285714293E-3</v>
      </c>
      <c r="P42" s="551">
        <f t="shared" si="7"/>
        <v>2.9095238095238098E-3</v>
      </c>
      <c r="Q42" s="61"/>
      <c r="R42" s="61"/>
      <c r="S42" s="61"/>
      <c r="T42" s="61"/>
      <c r="U42" s="61"/>
      <c r="V42" s="61"/>
      <c r="W42" s="148"/>
    </row>
    <row r="43" spans="1:23" ht="41.25" customHeight="1">
      <c r="A43" s="584"/>
      <c r="B43" s="124"/>
      <c r="C43" s="634"/>
      <c r="D43" s="587"/>
      <c r="E43" s="144" t="s">
        <v>214</v>
      </c>
      <c r="F43" s="50" t="s">
        <v>196</v>
      </c>
      <c r="G43" s="50">
        <v>27</v>
      </c>
      <c r="H43" s="87">
        <v>3</v>
      </c>
      <c r="I43" s="53">
        <f t="shared" ref="I43:I47" si="10">H43/G43</f>
        <v>0.1111111111111111</v>
      </c>
      <c r="J43" s="42"/>
      <c r="K43" s="50"/>
      <c r="L43" s="55">
        <v>27</v>
      </c>
      <c r="M43" s="55">
        <f>(23+27+H43)/4</f>
        <v>13.25</v>
      </c>
      <c r="N43" s="47">
        <f t="shared" si="8"/>
        <v>0.49074074074074076</v>
      </c>
      <c r="O43" s="554">
        <f t="shared" si="9"/>
        <v>8.7285714285714293E-3</v>
      </c>
      <c r="P43" s="551">
        <f t="shared" si="7"/>
        <v>9.6984126984126992E-4</v>
      </c>
      <c r="Q43" s="61"/>
      <c r="R43" s="61"/>
      <c r="S43" s="61"/>
      <c r="T43" s="61"/>
      <c r="U43" s="61"/>
      <c r="V43" s="61"/>
      <c r="W43" s="148"/>
    </row>
    <row r="44" spans="1:23" ht="60">
      <c r="A44" s="584"/>
      <c r="B44" s="124"/>
      <c r="C44" s="634"/>
      <c r="D44" s="587"/>
      <c r="E44" s="144" t="s">
        <v>215</v>
      </c>
      <c r="F44" s="50" t="s">
        <v>196</v>
      </c>
      <c r="G44" s="50">
        <v>25</v>
      </c>
      <c r="H44" s="87">
        <v>25</v>
      </c>
      <c r="I44" s="53">
        <f t="shared" si="10"/>
        <v>1</v>
      </c>
      <c r="J44" s="42"/>
      <c r="K44" s="50"/>
      <c r="L44" s="55">
        <v>25</v>
      </c>
      <c r="M44" s="55">
        <f>(22+25+H44)/4</f>
        <v>18</v>
      </c>
      <c r="N44" s="47">
        <f t="shared" si="8"/>
        <v>0.72</v>
      </c>
      <c r="O44" s="554">
        <f t="shared" si="9"/>
        <v>8.7285714285714293E-3</v>
      </c>
      <c r="P44" s="551">
        <f t="shared" si="7"/>
        <v>8.7285714285714293E-3</v>
      </c>
      <c r="Q44" s="61"/>
      <c r="R44" s="61"/>
      <c r="S44" s="61"/>
      <c r="T44" s="61"/>
      <c r="U44" s="61"/>
      <c r="V44" s="61"/>
      <c r="W44" s="148"/>
    </row>
    <row r="45" spans="1:23" ht="48">
      <c r="A45" s="584"/>
      <c r="B45" s="124"/>
      <c r="C45" s="634"/>
      <c r="D45" s="587"/>
      <c r="E45" s="144" t="s">
        <v>216</v>
      </c>
      <c r="F45" s="51" t="s">
        <v>196</v>
      </c>
      <c r="G45" s="146">
        <v>52</v>
      </c>
      <c r="H45" s="147">
        <v>25</v>
      </c>
      <c r="I45" s="51">
        <f t="shared" si="10"/>
        <v>0.48076923076923078</v>
      </c>
      <c r="J45" s="42"/>
      <c r="K45" s="50"/>
      <c r="L45" s="54">
        <v>60</v>
      </c>
      <c r="M45" s="54">
        <f>(34+40+H45)/4</f>
        <v>24.75</v>
      </c>
      <c r="N45" s="47">
        <f t="shared" si="8"/>
        <v>0.41249999999999998</v>
      </c>
      <c r="O45" s="554">
        <f t="shared" si="9"/>
        <v>8.7285714285714293E-3</v>
      </c>
      <c r="P45" s="551">
        <f t="shared" si="7"/>
        <v>4.1964285714285723E-3</v>
      </c>
      <c r="Q45" s="61"/>
      <c r="R45" s="61"/>
      <c r="S45" s="61"/>
      <c r="T45" s="61"/>
      <c r="U45" s="61"/>
      <c r="V45" s="61"/>
      <c r="W45" s="148"/>
    </row>
    <row r="46" spans="1:23" ht="36">
      <c r="A46" s="584"/>
      <c r="B46" s="124"/>
      <c r="C46" s="634"/>
      <c r="D46" s="587"/>
      <c r="E46" s="86" t="s">
        <v>217</v>
      </c>
      <c r="F46" s="50" t="s">
        <v>196</v>
      </c>
      <c r="G46" s="50">
        <v>17</v>
      </c>
      <c r="H46" s="87">
        <v>8</v>
      </c>
      <c r="I46" s="53">
        <f t="shared" si="10"/>
        <v>0.47058823529411764</v>
      </c>
      <c r="J46" s="42"/>
      <c r="K46" s="50"/>
      <c r="L46" s="55">
        <v>23</v>
      </c>
      <c r="M46" s="55">
        <f>(9+17+H46)/4</f>
        <v>8.5</v>
      </c>
      <c r="N46" s="47">
        <f t="shared" si="8"/>
        <v>0.36956521739130432</v>
      </c>
      <c r="O46" s="554">
        <f t="shared" si="9"/>
        <v>8.7285714285714293E-3</v>
      </c>
      <c r="P46" s="551">
        <f t="shared" si="7"/>
        <v>4.1075630252100847E-3</v>
      </c>
      <c r="Q46" s="61"/>
      <c r="R46" s="61"/>
      <c r="S46" s="61"/>
      <c r="T46" s="61"/>
      <c r="U46" s="61"/>
      <c r="V46" s="61"/>
      <c r="W46" s="148"/>
    </row>
    <row r="47" spans="1:23" ht="36.75" thickBot="1">
      <c r="A47" s="584"/>
      <c r="B47" s="124"/>
      <c r="C47" s="635"/>
      <c r="D47" s="588"/>
      <c r="E47" s="88" t="s">
        <v>218</v>
      </c>
      <c r="F47" s="67" t="s">
        <v>196</v>
      </c>
      <c r="G47" s="67">
        <v>11</v>
      </c>
      <c r="H47" s="135">
        <v>11</v>
      </c>
      <c r="I47" s="70">
        <f t="shared" si="10"/>
        <v>1</v>
      </c>
      <c r="J47" s="42"/>
      <c r="K47" s="67"/>
      <c r="L47" s="71">
        <v>15</v>
      </c>
      <c r="M47" s="71">
        <f>(8+H47)/4</f>
        <v>4.75</v>
      </c>
      <c r="N47" s="47">
        <f t="shared" si="8"/>
        <v>0.31666666666666665</v>
      </c>
      <c r="O47" s="554">
        <f t="shared" si="9"/>
        <v>8.7285714285714293E-3</v>
      </c>
      <c r="P47" s="552">
        <f t="shared" si="7"/>
        <v>8.7285714285714293E-3</v>
      </c>
      <c r="Q47" s="149"/>
      <c r="R47" s="149"/>
      <c r="S47" s="149"/>
      <c r="T47" s="149"/>
      <c r="U47" s="149"/>
      <c r="V47" s="149"/>
      <c r="W47" s="67" t="s">
        <v>379</v>
      </c>
    </row>
    <row r="48" spans="1:23" ht="13.5" customHeight="1" thickBot="1">
      <c r="A48" s="584"/>
      <c r="B48" s="641" t="s">
        <v>219</v>
      </c>
      <c r="C48" s="642" t="s">
        <v>173</v>
      </c>
      <c r="D48" s="643" t="s">
        <v>220</v>
      </c>
      <c r="E48" s="647" t="s">
        <v>221</v>
      </c>
      <c r="F48" s="648"/>
      <c r="G48" s="648"/>
      <c r="H48" s="649"/>
      <c r="I48" s="32">
        <f>(+I50+I51+I52+I53+I54+I56+I57+I58+I62+I63+I64+I65+I66+I68)/14</f>
        <v>0.75190476190476196</v>
      </c>
      <c r="J48" s="33"/>
      <c r="K48" s="34"/>
      <c r="L48" s="335"/>
      <c r="M48" s="336"/>
      <c r="N48" s="122">
        <f>SUM(N49+N50+N51+N52+N53+N54+N55+N56+N57+N58+N61+N62+N63+N64+N65+N66+N68)/17</f>
        <v>0.44055188904830228</v>
      </c>
      <c r="O48" s="150">
        <f>O49+O60+O67</f>
        <v>0.23583842800000002</v>
      </c>
      <c r="P48" s="566">
        <f>SUM(P49+P60+P67)</f>
        <v>0.17087133333333332</v>
      </c>
      <c r="Q48" s="298">
        <f>Q49+Q60+Q67</f>
        <v>2981742181</v>
      </c>
      <c r="R48" s="151">
        <f>R49+R60+R67</f>
        <v>628696514</v>
      </c>
      <c r="S48" s="36">
        <f>R48/Q48</f>
        <v>0.21084871723857468</v>
      </c>
      <c r="T48" s="151">
        <f>T49+T60+T67</f>
        <v>29799353229.220001</v>
      </c>
      <c r="U48" s="151">
        <f>U49+U60+U67</f>
        <v>17059465026</v>
      </c>
      <c r="V48" s="577">
        <f>U48/T48</f>
        <v>0.57247769422298067</v>
      </c>
      <c r="W48" s="573" t="s">
        <v>387</v>
      </c>
    </row>
    <row r="49" spans="1:23" ht="25.5" customHeight="1" thickBot="1">
      <c r="A49" s="584"/>
      <c r="B49" s="641"/>
      <c r="C49" s="642"/>
      <c r="D49" s="644"/>
      <c r="E49" s="650" t="s">
        <v>222</v>
      </c>
      <c r="F49" s="651"/>
      <c r="G49" s="651"/>
      <c r="H49" s="652"/>
      <c r="I49" s="32">
        <f>(+I50+I51+I52+I53+I54+I56+I57+I58)/8</f>
        <v>0.73249999999999993</v>
      </c>
      <c r="J49" s="34"/>
      <c r="K49" s="152"/>
      <c r="L49" s="76"/>
      <c r="M49" s="153"/>
      <c r="N49" s="91">
        <f>SUM(N50+N51+N52+N53+N54+N55+N56+N57+N58+N59)/10</f>
        <v>0.45373170731707313</v>
      </c>
      <c r="O49" s="154">
        <v>8.3000000000000004E-2</v>
      </c>
      <c r="P49" s="558">
        <f>SUM(P50:P59)</f>
        <v>4.8638000000000008E-2</v>
      </c>
      <c r="Q49" s="299">
        <f>'Anexo 5-2 Gastos'!H35</f>
        <v>2262931506</v>
      </c>
      <c r="R49" s="314">
        <f>'Anexo 5-2 Gastos'!I35</f>
        <v>363103273</v>
      </c>
      <c r="S49" s="308">
        <f>R49/Q49</f>
        <v>0.16045703196816069</v>
      </c>
      <c r="T49" s="282">
        <f>(731549993+719616063+531328880+150000000+15000000+416274470+4373757917)+(764794213+154733813+87000000+10000000+2472433828)+(814108862-40000000+3659042606+1243464838+1488822644)+844033875</f>
        <v>18435962002</v>
      </c>
      <c r="U49" s="283">
        <f>6985717962+3483060967+Q49</f>
        <v>12731710435</v>
      </c>
      <c r="V49" s="284">
        <f>U49/T49</f>
        <v>0.69059105424597955</v>
      </c>
      <c r="W49" s="168" t="s">
        <v>388</v>
      </c>
    </row>
    <row r="50" spans="1:23" ht="60.75" customHeight="1">
      <c r="A50" s="584"/>
      <c r="B50" s="641"/>
      <c r="C50" s="642"/>
      <c r="D50" s="645"/>
      <c r="E50" s="230" t="s">
        <v>223</v>
      </c>
      <c r="F50" s="42" t="s">
        <v>178</v>
      </c>
      <c r="G50" s="43">
        <f>0.11+0.27</f>
        <v>0.38</v>
      </c>
      <c r="H50" s="44">
        <v>0</v>
      </c>
      <c r="I50" s="43">
        <f>H50/G50</f>
        <v>0</v>
      </c>
      <c r="J50" s="42"/>
      <c r="K50" s="351"/>
      <c r="L50" s="80">
        <v>1</v>
      </c>
      <c r="M50" s="47">
        <f>0.06+0+H50</f>
        <v>0.06</v>
      </c>
      <c r="N50" s="81">
        <f>M50/L50</f>
        <v>0.06</v>
      </c>
      <c r="O50" s="554">
        <f>0.083/10</f>
        <v>8.3000000000000001E-3</v>
      </c>
      <c r="P50" s="196">
        <f>I50*O50</f>
        <v>0</v>
      </c>
      <c r="Q50" s="82"/>
      <c r="R50" s="82"/>
      <c r="S50" s="82"/>
      <c r="T50" s="82"/>
      <c r="U50" s="82"/>
      <c r="V50" s="82"/>
      <c r="W50" s="351" t="s">
        <v>355</v>
      </c>
    </row>
    <row r="51" spans="1:23" ht="60.75" customHeight="1">
      <c r="A51" s="584"/>
      <c r="B51" s="641"/>
      <c r="C51" s="642"/>
      <c r="D51" s="645"/>
      <c r="E51" s="231" t="s">
        <v>346</v>
      </c>
      <c r="F51" s="50" t="s">
        <v>178</v>
      </c>
      <c r="G51" s="51">
        <v>0.41</v>
      </c>
      <c r="H51" s="52">
        <v>0.5</v>
      </c>
      <c r="I51" s="43">
        <v>1</v>
      </c>
      <c r="J51" s="50"/>
      <c r="K51" s="50"/>
      <c r="L51" s="59">
        <v>0.41</v>
      </c>
      <c r="M51" s="59">
        <f>(0.33+0.33+H51)/4</f>
        <v>0.29000000000000004</v>
      </c>
      <c r="N51" s="81">
        <f>M51/L51</f>
        <v>0.70731707317073189</v>
      </c>
      <c r="O51" s="554">
        <f t="shared" ref="O51:O59" si="11">0.083/10</f>
        <v>8.3000000000000001E-3</v>
      </c>
      <c r="P51" s="551">
        <f>I51*O51</f>
        <v>8.3000000000000001E-3</v>
      </c>
      <c r="Q51" s="61"/>
      <c r="R51" s="61"/>
      <c r="S51" s="61"/>
      <c r="T51" s="61"/>
      <c r="U51" s="61"/>
      <c r="V51" s="61"/>
      <c r="W51" s="62"/>
    </row>
    <row r="52" spans="1:23" ht="36">
      <c r="A52" s="584"/>
      <c r="B52" s="641"/>
      <c r="C52" s="642"/>
      <c r="D52" s="645"/>
      <c r="E52" s="231" t="s">
        <v>9</v>
      </c>
      <c r="F52" s="50" t="s">
        <v>178</v>
      </c>
      <c r="G52" s="51">
        <v>0.33</v>
      </c>
      <c r="H52" s="52">
        <v>1</v>
      </c>
      <c r="I52" s="53">
        <v>1</v>
      </c>
      <c r="J52" s="50"/>
      <c r="K52" s="50"/>
      <c r="L52" s="59">
        <v>1</v>
      </c>
      <c r="M52" s="59">
        <f>(0%+0.33+H52)/4</f>
        <v>0.33250000000000002</v>
      </c>
      <c r="N52" s="65">
        <f t="shared" ref="N52:N58" si="12">M52/L52</f>
        <v>0.33250000000000002</v>
      </c>
      <c r="O52" s="554">
        <f t="shared" si="11"/>
        <v>8.3000000000000001E-3</v>
      </c>
      <c r="P52" s="551">
        <f>I52*O52</f>
        <v>8.3000000000000001E-3</v>
      </c>
      <c r="Q52" s="61"/>
      <c r="R52" s="61"/>
      <c r="S52" s="61"/>
      <c r="T52" s="61"/>
      <c r="U52" s="61"/>
      <c r="V52" s="61"/>
      <c r="W52" s="62"/>
    </row>
    <row r="53" spans="1:23" ht="36">
      <c r="A53" s="584"/>
      <c r="B53" s="641"/>
      <c r="C53" s="642"/>
      <c r="D53" s="645"/>
      <c r="E53" s="231" t="s">
        <v>224</v>
      </c>
      <c r="F53" s="50" t="s">
        <v>178</v>
      </c>
      <c r="G53" s="51">
        <v>1</v>
      </c>
      <c r="H53" s="52">
        <v>0.86</v>
      </c>
      <c r="I53" s="53">
        <f t="shared" ref="I53" si="13">H53/G53</f>
        <v>0.86</v>
      </c>
      <c r="J53" s="50"/>
      <c r="K53" s="50"/>
      <c r="L53" s="59">
        <v>1</v>
      </c>
      <c r="M53" s="59">
        <f>(1+1+H53)/4</f>
        <v>0.71499999999999997</v>
      </c>
      <c r="N53" s="65">
        <f t="shared" si="12"/>
        <v>0.71499999999999997</v>
      </c>
      <c r="O53" s="554">
        <f t="shared" si="11"/>
        <v>8.3000000000000001E-3</v>
      </c>
      <c r="P53" s="551">
        <f>I53*O53</f>
        <v>7.1380000000000002E-3</v>
      </c>
      <c r="Q53" s="61"/>
      <c r="R53" s="61"/>
      <c r="S53" s="61"/>
      <c r="T53" s="61"/>
      <c r="U53" s="61"/>
      <c r="V53" s="61"/>
      <c r="W53" s="62"/>
    </row>
    <row r="54" spans="1:23" ht="49.5" customHeight="1">
      <c r="A54" s="584"/>
      <c r="B54" s="641"/>
      <c r="C54" s="642"/>
      <c r="D54" s="645"/>
      <c r="E54" s="231" t="s">
        <v>225</v>
      </c>
      <c r="F54" s="50" t="s">
        <v>178</v>
      </c>
      <c r="G54" s="51">
        <v>0.25</v>
      </c>
      <c r="H54" s="52">
        <v>0.48</v>
      </c>
      <c r="I54" s="53">
        <v>1</v>
      </c>
      <c r="J54" s="50"/>
      <c r="K54" s="50"/>
      <c r="L54" s="59">
        <v>1</v>
      </c>
      <c r="M54" s="59">
        <f>(0.25+1+I54)/4</f>
        <v>0.5625</v>
      </c>
      <c r="N54" s="65">
        <f t="shared" si="12"/>
        <v>0.5625</v>
      </c>
      <c r="O54" s="554">
        <f t="shared" si="11"/>
        <v>8.3000000000000001E-3</v>
      </c>
      <c r="P54" s="551">
        <f>I54*O54</f>
        <v>8.3000000000000001E-3</v>
      </c>
      <c r="Q54" s="61"/>
      <c r="R54" s="61"/>
      <c r="S54" s="61"/>
      <c r="T54" s="61"/>
      <c r="U54" s="61"/>
      <c r="V54" s="61"/>
      <c r="W54" s="62"/>
    </row>
    <row r="55" spans="1:23" ht="36">
      <c r="A55" s="584"/>
      <c r="B55" s="641"/>
      <c r="C55" s="642"/>
      <c r="D55" s="645"/>
      <c r="E55" s="231" t="s">
        <v>11</v>
      </c>
      <c r="F55" s="50" t="s">
        <v>178</v>
      </c>
      <c r="G55" s="51">
        <v>0</v>
      </c>
      <c r="H55" s="294" t="s">
        <v>179</v>
      </c>
      <c r="I55" s="53" t="s">
        <v>179</v>
      </c>
      <c r="J55" s="50"/>
      <c r="K55" s="50"/>
      <c r="L55" s="59">
        <v>1</v>
      </c>
      <c r="M55" s="519">
        <f>0.16+0%+0</f>
        <v>0.16</v>
      </c>
      <c r="N55" s="65">
        <f t="shared" si="12"/>
        <v>0.16</v>
      </c>
      <c r="O55" s="554">
        <f t="shared" si="11"/>
        <v>8.3000000000000001E-3</v>
      </c>
      <c r="P55" s="551">
        <v>0</v>
      </c>
      <c r="Q55" s="61"/>
      <c r="R55" s="61"/>
      <c r="S55" s="61"/>
      <c r="T55" s="61"/>
      <c r="U55" s="61"/>
      <c r="V55" s="61"/>
      <c r="W55" s="62"/>
    </row>
    <row r="56" spans="1:23" ht="36">
      <c r="A56" s="584"/>
      <c r="B56" s="641"/>
      <c r="C56" s="642"/>
      <c r="D56" s="645"/>
      <c r="E56" s="86" t="s">
        <v>226</v>
      </c>
      <c r="F56" s="50" t="s">
        <v>196</v>
      </c>
      <c r="G56" s="50">
        <v>1</v>
      </c>
      <c r="H56" s="87">
        <v>1</v>
      </c>
      <c r="I56" s="53">
        <f>H56/G56</f>
        <v>1</v>
      </c>
      <c r="J56" s="50"/>
      <c r="K56" s="516"/>
      <c r="L56" s="55">
        <v>1</v>
      </c>
      <c r="M56" s="545">
        <f>(0+1+H56)/4</f>
        <v>0.5</v>
      </c>
      <c r="N56" s="65">
        <f t="shared" si="12"/>
        <v>0.5</v>
      </c>
      <c r="O56" s="554">
        <f t="shared" si="11"/>
        <v>8.3000000000000001E-3</v>
      </c>
      <c r="P56" s="551">
        <f>I57*O57</f>
        <v>8.3000000000000001E-3</v>
      </c>
      <c r="Q56" s="61"/>
      <c r="R56" s="61"/>
      <c r="S56" s="61"/>
      <c r="T56" s="61"/>
      <c r="U56" s="61"/>
      <c r="V56" s="61"/>
      <c r="W56" s="62"/>
    </row>
    <row r="57" spans="1:23" ht="47.25" customHeight="1">
      <c r="A57" s="584"/>
      <c r="B57" s="641"/>
      <c r="C57" s="642"/>
      <c r="D57" s="645"/>
      <c r="E57" s="155" t="s">
        <v>353</v>
      </c>
      <c r="F57" s="50" t="s">
        <v>196</v>
      </c>
      <c r="G57" s="50">
        <v>1</v>
      </c>
      <c r="H57" s="87">
        <v>1</v>
      </c>
      <c r="I57" s="53">
        <f>H57/G57</f>
        <v>1</v>
      </c>
      <c r="J57" s="50"/>
      <c r="K57" s="351"/>
      <c r="L57" s="55">
        <v>2</v>
      </c>
      <c r="M57" s="55">
        <f>0+0+H57</f>
        <v>1</v>
      </c>
      <c r="N57" s="65">
        <f t="shared" si="12"/>
        <v>0.5</v>
      </c>
      <c r="O57" s="554">
        <f t="shared" si="11"/>
        <v>8.3000000000000001E-3</v>
      </c>
      <c r="P57" s="551">
        <f>I57*O57</f>
        <v>8.3000000000000001E-3</v>
      </c>
      <c r="Q57" s="61"/>
      <c r="R57" s="61"/>
      <c r="S57" s="61"/>
      <c r="T57" s="61"/>
      <c r="U57" s="61"/>
      <c r="V57" s="61"/>
      <c r="W57" s="351" t="s">
        <v>354</v>
      </c>
    </row>
    <row r="58" spans="1:23" ht="43.5" customHeight="1">
      <c r="A58" s="584"/>
      <c r="B58" s="641"/>
      <c r="C58" s="642"/>
      <c r="D58" s="645"/>
      <c r="E58" s="155" t="s">
        <v>227</v>
      </c>
      <c r="F58" s="50" t="s">
        <v>209</v>
      </c>
      <c r="G58" s="50">
        <v>2</v>
      </c>
      <c r="H58" s="87">
        <v>0</v>
      </c>
      <c r="I58" s="53">
        <f>H58/G58</f>
        <v>0</v>
      </c>
      <c r="J58" s="50"/>
      <c r="K58" s="351"/>
      <c r="L58" s="55">
        <v>8</v>
      </c>
      <c r="M58" s="55">
        <f>0+0+H58</f>
        <v>0</v>
      </c>
      <c r="N58" s="65">
        <f t="shared" si="12"/>
        <v>0</v>
      </c>
      <c r="O58" s="554">
        <f t="shared" si="11"/>
        <v>8.3000000000000001E-3</v>
      </c>
      <c r="P58" s="551">
        <f>I58*O58</f>
        <v>0</v>
      </c>
      <c r="Q58" s="61"/>
      <c r="R58" s="61"/>
      <c r="S58" s="61"/>
      <c r="T58" s="61"/>
      <c r="U58" s="61"/>
      <c r="V58" s="61"/>
      <c r="W58" s="351" t="s">
        <v>354</v>
      </c>
    </row>
    <row r="59" spans="1:23" ht="36.75" thickBot="1">
      <c r="A59" s="584"/>
      <c r="B59" s="641"/>
      <c r="C59" s="642"/>
      <c r="D59" s="646"/>
      <c r="E59" s="156" t="s">
        <v>228</v>
      </c>
      <c r="F59" s="67" t="s">
        <v>196</v>
      </c>
      <c r="G59" s="67">
        <v>0</v>
      </c>
      <c r="H59" s="135">
        <v>0</v>
      </c>
      <c r="I59" s="53" t="s">
        <v>179</v>
      </c>
      <c r="J59" s="157"/>
      <c r="K59" s="348"/>
      <c r="L59" s="71">
        <v>1</v>
      </c>
      <c r="M59" s="71">
        <f>0+1+H59</f>
        <v>1</v>
      </c>
      <c r="N59" s="72">
        <f>M59/L59</f>
        <v>1</v>
      </c>
      <c r="O59" s="554">
        <f t="shared" si="11"/>
        <v>8.3000000000000001E-3</v>
      </c>
      <c r="P59" s="552">
        <v>0</v>
      </c>
      <c r="Q59" s="73"/>
      <c r="R59" s="73"/>
      <c r="S59" s="73"/>
      <c r="T59" s="73"/>
      <c r="U59" s="73"/>
      <c r="V59" s="73"/>
      <c r="W59" s="74"/>
    </row>
    <row r="60" spans="1:23" ht="13.5" customHeight="1" thickBot="1">
      <c r="A60" s="584"/>
      <c r="B60" s="158"/>
      <c r="C60" s="685" t="s">
        <v>229</v>
      </c>
      <c r="D60" s="636" t="s">
        <v>230</v>
      </c>
      <c r="E60" s="597" t="s">
        <v>231</v>
      </c>
      <c r="F60" s="598"/>
      <c r="G60" s="598"/>
      <c r="H60" s="599"/>
      <c r="I60" s="32">
        <f>(I62+I63+I64+I65+I66)/5</f>
        <v>0.73333333333333339</v>
      </c>
      <c r="J60" s="90"/>
      <c r="K60" s="32"/>
      <c r="L60" s="78"/>
      <c r="M60" s="91"/>
      <c r="N60" s="78">
        <f>(N61+N62+N63+N64+N65+N66)/6</f>
        <v>0.46972222222222221</v>
      </c>
      <c r="O60" s="79">
        <v>7.8602620100000006E-2</v>
      </c>
      <c r="P60" s="558">
        <f>SUM(P61:P66)</f>
        <v>4.8033333333333331E-2</v>
      </c>
      <c r="Q60" s="300">
        <f>'Anexo 5-2 Gastos'!H36</f>
        <v>645405404</v>
      </c>
      <c r="R60" s="283">
        <f>'Anexo 5-2 Gastos'!I36</f>
        <v>223258172</v>
      </c>
      <c r="S60" s="315">
        <f>R60/Q60</f>
        <v>0.34591927897771368</v>
      </c>
      <c r="T60" s="283">
        <f>(640338090+17900000)+(675396851+32000000+189488034-161000000)+(701551405-16146001-40000000+4369400654.22+1709952103)+755582314</f>
        <v>8874463450.2200012</v>
      </c>
      <c r="U60" s="300">
        <f>658238090+714018181+Q60</f>
        <v>2017661675</v>
      </c>
      <c r="V60" s="308">
        <f>U60/T60</f>
        <v>0.22735590566322986</v>
      </c>
      <c r="W60" s="576" t="s">
        <v>386</v>
      </c>
    </row>
    <row r="61" spans="1:23" ht="36">
      <c r="A61" s="584"/>
      <c r="B61" s="158"/>
      <c r="C61" s="686"/>
      <c r="D61" s="587"/>
      <c r="E61" s="230" t="s">
        <v>232</v>
      </c>
      <c r="F61" s="42" t="s">
        <v>178</v>
      </c>
      <c r="G61" s="43">
        <v>0</v>
      </c>
      <c r="H61" s="293" t="s">
        <v>179</v>
      </c>
      <c r="I61" s="95" t="s">
        <v>179</v>
      </c>
      <c r="J61" s="42"/>
      <c r="K61" s="42"/>
      <c r="L61" s="80">
        <v>1</v>
      </c>
      <c r="M61" s="518">
        <f>0+0%+0</f>
        <v>0</v>
      </c>
      <c r="N61" s="81">
        <f t="shared" ref="N61:N66" si="14">M61/L61</f>
        <v>0</v>
      </c>
      <c r="O61" s="554">
        <f>0.0786/6</f>
        <v>1.3100000000000001E-2</v>
      </c>
      <c r="P61" s="196">
        <v>0</v>
      </c>
      <c r="Q61" s="82"/>
      <c r="R61" s="82"/>
      <c r="S61" s="82"/>
      <c r="T61" s="82"/>
      <c r="U61" s="82"/>
      <c r="V61" s="82"/>
      <c r="W61" s="83"/>
    </row>
    <row r="62" spans="1:23" ht="51" customHeight="1">
      <c r="A62" s="584"/>
      <c r="B62" s="158"/>
      <c r="C62" s="686"/>
      <c r="D62" s="587"/>
      <c r="E62" s="231" t="s">
        <v>233</v>
      </c>
      <c r="F62" s="50" t="s">
        <v>178</v>
      </c>
      <c r="G62" s="51">
        <v>1</v>
      </c>
      <c r="H62" s="52">
        <v>0.5</v>
      </c>
      <c r="I62" s="53">
        <f t="shared" ref="I62:I66" si="15">H62/G62</f>
        <v>0.5</v>
      </c>
      <c r="J62" s="50"/>
      <c r="K62" s="50"/>
      <c r="L62" s="59">
        <v>1</v>
      </c>
      <c r="M62" s="59">
        <f>(1+0.64+H62)/4</f>
        <v>0.53500000000000003</v>
      </c>
      <c r="N62" s="133">
        <f t="shared" si="14"/>
        <v>0.53500000000000003</v>
      </c>
      <c r="O62" s="554">
        <f t="shared" ref="O62:O66" si="16">0.0786/6</f>
        <v>1.3100000000000001E-2</v>
      </c>
      <c r="P62" s="551">
        <f>I62*O62</f>
        <v>6.5500000000000003E-3</v>
      </c>
      <c r="Q62" s="61"/>
      <c r="R62" s="61"/>
      <c r="S62" s="61"/>
      <c r="T62" s="61"/>
      <c r="U62" s="61"/>
      <c r="V62" s="61"/>
      <c r="W62" s="62"/>
    </row>
    <row r="63" spans="1:23" ht="48">
      <c r="A63" s="584"/>
      <c r="B63" s="158"/>
      <c r="C63" s="686"/>
      <c r="D63" s="587"/>
      <c r="E63" s="231" t="s">
        <v>234</v>
      </c>
      <c r="F63" s="51" t="s">
        <v>178</v>
      </c>
      <c r="G63" s="51">
        <v>1</v>
      </c>
      <c r="H63" s="52">
        <v>1</v>
      </c>
      <c r="I63" s="53">
        <f t="shared" si="15"/>
        <v>1</v>
      </c>
      <c r="J63" s="50"/>
      <c r="K63" s="50"/>
      <c r="L63" s="59">
        <v>1</v>
      </c>
      <c r="M63" s="59">
        <f>(1+1+H63)/4</f>
        <v>0.75</v>
      </c>
      <c r="N63" s="65">
        <f t="shared" si="14"/>
        <v>0.75</v>
      </c>
      <c r="O63" s="554">
        <f t="shared" si="16"/>
        <v>1.3100000000000001E-2</v>
      </c>
      <c r="P63" s="551">
        <f>I63*O63</f>
        <v>1.3100000000000001E-2</v>
      </c>
      <c r="Q63" s="61"/>
      <c r="R63" s="61"/>
      <c r="S63" s="61"/>
      <c r="T63" s="61"/>
      <c r="U63" s="61"/>
      <c r="V63" s="61"/>
      <c r="W63" s="62"/>
    </row>
    <row r="64" spans="1:23" ht="36">
      <c r="A64" s="584"/>
      <c r="B64" s="158"/>
      <c r="C64" s="686"/>
      <c r="D64" s="587"/>
      <c r="E64" s="86" t="s">
        <v>235</v>
      </c>
      <c r="F64" s="50" t="s">
        <v>178</v>
      </c>
      <c r="G64" s="51">
        <v>0.3</v>
      </c>
      <c r="H64" s="52">
        <v>0.05</v>
      </c>
      <c r="I64" s="51">
        <f t="shared" si="15"/>
        <v>0.16666666666666669</v>
      </c>
      <c r="J64" s="50"/>
      <c r="K64" s="50"/>
      <c r="L64" s="59">
        <v>1</v>
      </c>
      <c r="M64" s="59">
        <f>0+0.15+H64</f>
        <v>0.2</v>
      </c>
      <c r="N64" s="65">
        <f t="shared" si="14"/>
        <v>0.2</v>
      </c>
      <c r="O64" s="554">
        <f t="shared" si="16"/>
        <v>1.3100000000000001E-2</v>
      </c>
      <c r="P64" s="551">
        <f>I64*O64</f>
        <v>2.1833333333333336E-3</v>
      </c>
      <c r="Q64" s="61"/>
      <c r="R64" s="61"/>
      <c r="S64" s="61"/>
      <c r="T64" s="61"/>
      <c r="U64" s="61"/>
      <c r="V64" s="61"/>
      <c r="W64" s="62"/>
    </row>
    <row r="65" spans="1:23" ht="51" customHeight="1">
      <c r="A65" s="584"/>
      <c r="B65" s="158"/>
      <c r="C65" s="686"/>
      <c r="D65" s="587"/>
      <c r="E65" s="86" t="s">
        <v>236</v>
      </c>
      <c r="F65" s="50" t="s">
        <v>196</v>
      </c>
      <c r="G65" s="50">
        <v>1</v>
      </c>
      <c r="H65" s="87">
        <v>1</v>
      </c>
      <c r="I65" s="51">
        <f t="shared" si="15"/>
        <v>1</v>
      </c>
      <c r="J65" s="50"/>
      <c r="K65" s="50"/>
      <c r="L65" s="55">
        <v>3</v>
      </c>
      <c r="M65" s="55">
        <f>0+1+H65</f>
        <v>2</v>
      </c>
      <c r="N65" s="65">
        <f t="shared" si="14"/>
        <v>0.66666666666666663</v>
      </c>
      <c r="O65" s="554">
        <f t="shared" si="16"/>
        <v>1.3100000000000001E-2</v>
      </c>
      <c r="P65" s="551">
        <f>I65*O65</f>
        <v>1.3100000000000001E-2</v>
      </c>
      <c r="Q65" s="61"/>
      <c r="R65" s="61"/>
      <c r="S65" s="61"/>
      <c r="T65" s="61"/>
      <c r="U65" s="61"/>
      <c r="V65" s="61"/>
      <c r="W65" s="62"/>
    </row>
    <row r="66" spans="1:23" ht="36.75" thickBot="1">
      <c r="A66" s="584"/>
      <c r="B66" s="158"/>
      <c r="C66" s="687"/>
      <c r="D66" s="588"/>
      <c r="E66" s="88" t="s">
        <v>237</v>
      </c>
      <c r="F66" s="67" t="s">
        <v>196</v>
      </c>
      <c r="G66" s="159">
        <v>1</v>
      </c>
      <c r="H66" s="160">
        <v>1</v>
      </c>
      <c r="I66" s="51">
        <f t="shared" si="15"/>
        <v>1</v>
      </c>
      <c r="J66" s="67"/>
      <c r="K66" s="517"/>
      <c r="L66" s="71">
        <v>3</v>
      </c>
      <c r="M66" s="71">
        <f>0+1+H66</f>
        <v>2</v>
      </c>
      <c r="N66" s="72">
        <f t="shared" si="14"/>
        <v>0.66666666666666663</v>
      </c>
      <c r="O66" s="554">
        <f t="shared" si="16"/>
        <v>1.3100000000000001E-2</v>
      </c>
      <c r="P66" s="552">
        <f>I66*O66</f>
        <v>1.3100000000000001E-2</v>
      </c>
      <c r="Q66" s="73"/>
      <c r="R66" s="73"/>
      <c r="S66" s="73"/>
      <c r="T66" s="73"/>
      <c r="U66" s="73"/>
      <c r="V66" s="73"/>
      <c r="W66" s="74"/>
    </row>
    <row r="67" spans="1:23" ht="13.5" thickBot="1">
      <c r="A67" s="584"/>
      <c r="B67" s="653"/>
      <c r="C67" s="655" t="s">
        <v>229</v>
      </c>
      <c r="D67" s="632" t="s">
        <v>193</v>
      </c>
      <c r="E67" s="600" t="s">
        <v>238</v>
      </c>
      <c r="F67" s="601"/>
      <c r="G67" s="601"/>
      <c r="H67" s="601"/>
      <c r="I67" s="32">
        <f>I68</f>
        <v>1</v>
      </c>
      <c r="J67" s="90"/>
      <c r="K67" s="32"/>
      <c r="L67" s="78"/>
      <c r="M67" s="91"/>
      <c r="N67" s="78">
        <f>N68</f>
        <v>0.67999999999999994</v>
      </c>
      <c r="O67" s="79">
        <v>7.4235807900000006E-2</v>
      </c>
      <c r="P67" s="558">
        <f>SUM(P68)</f>
        <v>7.4200000000000002E-2</v>
      </c>
      <c r="Q67" s="300">
        <f>'Anexo 5-2 Gastos'!H37</f>
        <v>73405271</v>
      </c>
      <c r="R67" s="283">
        <f>'Anexo 5-2 Gastos'!I37</f>
        <v>42335069</v>
      </c>
      <c r="S67" s="315">
        <f>R67/Q67</f>
        <v>0.57673064104619953</v>
      </c>
      <c r="T67" s="283">
        <f>(113192540+1521000+2071143612)+(122789910-32000000-2000000)+(57259270+16146001)+140875444</f>
        <v>2488927777</v>
      </c>
      <c r="U67" s="300">
        <f>2185857152+50830493+Q67</f>
        <v>2310092916</v>
      </c>
      <c r="V67" s="308">
        <f>U67/T67</f>
        <v>0.92814783030162629</v>
      </c>
      <c r="W67" s="313"/>
    </row>
    <row r="68" spans="1:23" ht="43.5" customHeight="1" thickBot="1">
      <c r="A68" s="584"/>
      <c r="B68" s="654"/>
      <c r="C68" s="655"/>
      <c r="D68" s="605"/>
      <c r="E68" s="234" t="s">
        <v>14</v>
      </c>
      <c r="F68" s="161" t="s">
        <v>178</v>
      </c>
      <c r="G68" s="162">
        <v>0.25</v>
      </c>
      <c r="H68" s="163">
        <v>0.25</v>
      </c>
      <c r="I68" s="162">
        <f>H68/G68</f>
        <v>1</v>
      </c>
      <c r="J68" s="340"/>
      <c r="K68" s="161"/>
      <c r="L68" s="164">
        <v>1</v>
      </c>
      <c r="M68" s="164">
        <f>0.18+0.25+H68</f>
        <v>0.67999999999999994</v>
      </c>
      <c r="N68" s="165">
        <f>M68/L68</f>
        <v>0.67999999999999994</v>
      </c>
      <c r="O68" s="563">
        <f>0.0742/1</f>
        <v>7.4200000000000002E-2</v>
      </c>
      <c r="P68" s="564">
        <f>I68*O68</f>
        <v>7.4200000000000002E-2</v>
      </c>
      <c r="Q68" s="166"/>
      <c r="R68" s="166"/>
      <c r="S68" s="166"/>
      <c r="T68" s="166"/>
      <c r="U68" s="166"/>
      <c r="V68" s="166"/>
      <c r="W68" s="127"/>
    </row>
    <row r="69" spans="1:23" ht="13.5" thickBot="1">
      <c r="A69" s="584"/>
      <c r="B69" s="656"/>
      <c r="C69" s="655"/>
      <c r="D69" s="657" t="s">
        <v>200</v>
      </c>
      <c r="E69" s="661" t="s">
        <v>239</v>
      </c>
      <c r="F69" s="662"/>
      <c r="G69" s="662"/>
      <c r="H69" s="662"/>
      <c r="I69" s="32">
        <f>+(I70+I72)/2</f>
        <v>0.77857142857142858</v>
      </c>
      <c r="J69" s="38"/>
      <c r="K69" s="119"/>
      <c r="L69" s="120"/>
      <c r="M69" s="333"/>
      <c r="N69" s="334">
        <f>(N71+N73)/2</f>
        <v>0.5</v>
      </c>
      <c r="O69" s="167">
        <f>O70+O72</f>
        <v>0.14410480310000001</v>
      </c>
      <c r="P69" s="567">
        <f>SUM(P70+P72)</f>
        <v>0.10929142857142857</v>
      </c>
      <c r="Q69" s="278">
        <f>Q70+Q72</f>
        <v>805239070</v>
      </c>
      <c r="R69" s="278">
        <f>R70+R72</f>
        <v>490345576</v>
      </c>
      <c r="S69" s="279">
        <f>R69/Q69</f>
        <v>0.60894409408127703</v>
      </c>
      <c r="T69" s="278">
        <f>T70+T72</f>
        <v>6143171897.5</v>
      </c>
      <c r="U69" s="277">
        <f>U70+U72</f>
        <v>3487406093</v>
      </c>
      <c r="V69" s="279">
        <f>U69/T69</f>
        <v>0.56768818310606295</v>
      </c>
      <c r="W69" s="573" t="s">
        <v>387</v>
      </c>
    </row>
    <row r="70" spans="1:23" ht="13.5" thickBot="1">
      <c r="A70" s="584"/>
      <c r="B70" s="656"/>
      <c r="C70" s="655"/>
      <c r="D70" s="658"/>
      <c r="E70" s="594" t="s">
        <v>240</v>
      </c>
      <c r="F70" s="595"/>
      <c r="G70" s="595"/>
      <c r="H70" s="596"/>
      <c r="I70" s="32">
        <f>I71</f>
        <v>0.55714285714285716</v>
      </c>
      <c r="J70" s="152"/>
      <c r="K70" s="34"/>
      <c r="L70" s="153"/>
      <c r="M70" s="76"/>
      <c r="N70" s="91">
        <f>(N71)</f>
        <v>0.25</v>
      </c>
      <c r="O70" s="41">
        <v>7.8602620100000006E-2</v>
      </c>
      <c r="P70" s="558">
        <f>SUM(P71)</f>
        <v>4.3791428571428571E-2</v>
      </c>
      <c r="Q70" s="283">
        <f>'Anexo 5-2 Gastos'!H39</f>
        <v>307231656</v>
      </c>
      <c r="R70" s="283">
        <f>'Anexo 5-2 Gastos'!I39</f>
        <v>138916185</v>
      </c>
      <c r="S70" s="284">
        <f>R70/Q70</f>
        <v>0.45215452993554806</v>
      </c>
      <c r="T70" s="283">
        <f>(337772038+140000000+208427000+65000000)+(343074562+520000000)+(317231656-10000000+225063891+644368779)+384893710</f>
        <v>3175831636</v>
      </c>
      <c r="U70" s="283">
        <f>751199038+845706080+Q70</f>
        <v>1904136774</v>
      </c>
      <c r="V70" s="284">
        <f>U70/T70</f>
        <v>0.59957107058681625</v>
      </c>
      <c r="W70" s="168"/>
    </row>
    <row r="71" spans="1:23" ht="24.75" thickBot="1">
      <c r="A71" s="584"/>
      <c r="B71" s="656"/>
      <c r="C71" s="655"/>
      <c r="D71" s="659"/>
      <c r="E71" s="235" t="s">
        <v>241</v>
      </c>
      <c r="F71" s="169" t="s">
        <v>178</v>
      </c>
      <c r="G71" s="162">
        <v>0.7</v>
      </c>
      <c r="H71" s="327">
        <v>0.39</v>
      </c>
      <c r="I71" s="170">
        <f>H71/G71</f>
        <v>0.55714285714285716</v>
      </c>
      <c r="J71" s="171"/>
      <c r="K71" s="171"/>
      <c r="L71" s="164">
        <v>1</v>
      </c>
      <c r="M71" s="164">
        <f>(0.17+0.44+H71)/4</f>
        <v>0.25</v>
      </c>
      <c r="N71" s="165">
        <f>M71/L71</f>
        <v>0.25</v>
      </c>
      <c r="O71" s="172">
        <f>0.0786/1</f>
        <v>7.8600000000000003E-2</v>
      </c>
      <c r="P71" s="565">
        <f>I71*O71</f>
        <v>4.3791428571428571E-2</v>
      </c>
      <c r="Q71" s="301"/>
      <c r="R71" s="166"/>
      <c r="S71" s="166"/>
      <c r="T71" s="166"/>
      <c r="U71" s="166"/>
      <c r="V71" s="166"/>
      <c r="W71" s="127"/>
    </row>
    <row r="72" spans="1:23" ht="23.25" thickBot="1">
      <c r="A72" s="584"/>
      <c r="B72" s="656"/>
      <c r="C72" s="655"/>
      <c r="D72" s="658"/>
      <c r="E72" s="594" t="s">
        <v>242</v>
      </c>
      <c r="F72" s="595"/>
      <c r="G72" s="595"/>
      <c r="H72" s="595"/>
      <c r="I72" s="32">
        <f>I73</f>
        <v>1</v>
      </c>
      <c r="J72" s="90"/>
      <c r="K72" s="32"/>
      <c r="L72" s="78"/>
      <c r="M72" s="91"/>
      <c r="N72" s="78">
        <f>(N73)</f>
        <v>0.75</v>
      </c>
      <c r="O72" s="173">
        <v>6.5502183000000005E-2</v>
      </c>
      <c r="P72" s="558">
        <f>SUM(P73)</f>
        <v>6.5500000000000003E-2</v>
      </c>
      <c r="Q72" s="302">
        <f>'Anexo 5-2 Gastos'!H40</f>
        <v>498007414</v>
      </c>
      <c r="R72" s="283">
        <f>'Anexo 5-2 Gastos'!I40</f>
        <v>351429391</v>
      </c>
      <c r="S72" s="308">
        <f>R72/Q72</f>
        <v>0.70567100231965618</v>
      </c>
      <c r="T72" s="300">
        <f>(291746733+100000000+107346000)+(282619172+387550000+16000000)+(304242414+193765000+224057532.5+687568120)+372445290</f>
        <v>2967340261.5</v>
      </c>
      <c r="U72" s="283">
        <f>399092733+686169172+Q72</f>
        <v>1583269319</v>
      </c>
      <c r="V72" s="316">
        <f>U72/T72</f>
        <v>0.53356513897049751</v>
      </c>
      <c r="W72" s="574" t="s">
        <v>385</v>
      </c>
    </row>
    <row r="73" spans="1:23" ht="49.5" customHeight="1" thickBot="1">
      <c r="A73" s="584"/>
      <c r="B73" s="656"/>
      <c r="C73" s="655"/>
      <c r="D73" s="660"/>
      <c r="E73" s="235" t="s">
        <v>13</v>
      </c>
      <c r="F73" s="171" t="s">
        <v>178</v>
      </c>
      <c r="G73" s="162">
        <v>0.25</v>
      </c>
      <c r="H73" s="163">
        <v>0.25</v>
      </c>
      <c r="I73" s="170">
        <f>H73/G73</f>
        <v>1</v>
      </c>
      <c r="J73" s="171"/>
      <c r="K73" s="174"/>
      <c r="L73" s="164">
        <v>1</v>
      </c>
      <c r="M73" s="164">
        <f>0.25+0.25+H73</f>
        <v>0.75</v>
      </c>
      <c r="N73" s="165">
        <f>M73/L73</f>
        <v>0.75</v>
      </c>
      <c r="O73" s="172">
        <f>0.0655/1</f>
        <v>6.5500000000000003E-2</v>
      </c>
      <c r="P73" s="172">
        <f>I73*O73</f>
        <v>6.5500000000000003E-2</v>
      </c>
      <c r="Q73" s="301"/>
      <c r="R73" s="166"/>
      <c r="S73" s="166"/>
      <c r="T73" s="166"/>
      <c r="U73" s="166"/>
      <c r="V73" s="166"/>
      <c r="W73" s="127"/>
    </row>
    <row r="74" spans="1:23" ht="13.5" thickBot="1">
      <c r="A74" s="584"/>
      <c r="B74" s="603" t="s">
        <v>192</v>
      </c>
      <c r="C74" s="672" t="s">
        <v>229</v>
      </c>
      <c r="D74" s="674" t="s">
        <v>243</v>
      </c>
      <c r="E74" s="677" t="s">
        <v>244</v>
      </c>
      <c r="F74" s="678"/>
      <c r="G74" s="678"/>
      <c r="H74" s="679"/>
      <c r="I74" s="175">
        <f>SUM(I75+I77)/2</f>
        <v>0.57857142857142863</v>
      </c>
      <c r="J74" s="38"/>
      <c r="K74" s="119"/>
      <c r="L74" s="120"/>
      <c r="M74" s="121"/>
      <c r="N74" s="122">
        <f>(N76+N78)/2</f>
        <v>0.25624999999999998</v>
      </c>
      <c r="O74" s="177">
        <f>O75+O77</f>
        <v>0.13100436681300001</v>
      </c>
      <c r="P74" s="567">
        <f>SUM(P75+P77)</f>
        <v>5.3055000000000005E-2</v>
      </c>
      <c r="Q74" s="278">
        <f>Q75+Q77</f>
        <v>605310667</v>
      </c>
      <c r="R74" s="277">
        <f>R75+R77</f>
        <v>269814592</v>
      </c>
      <c r="S74" s="279">
        <f>R74/Q74</f>
        <v>0.44574564221251367</v>
      </c>
      <c r="T74" s="277">
        <f>T75+T77</f>
        <v>3039255218</v>
      </c>
      <c r="U74" s="278">
        <f>U75+U77</f>
        <v>1942912685</v>
      </c>
      <c r="V74" s="279">
        <f>U74/T74</f>
        <v>0.63927263281250368</v>
      </c>
      <c r="W74" s="574" t="s">
        <v>387</v>
      </c>
    </row>
    <row r="75" spans="1:23" ht="13.5" thickBot="1">
      <c r="A75" s="584"/>
      <c r="B75" s="604"/>
      <c r="C75" s="673"/>
      <c r="D75" s="674"/>
      <c r="E75" s="680" t="s">
        <v>245</v>
      </c>
      <c r="F75" s="681"/>
      <c r="G75" s="681"/>
      <c r="H75" s="682"/>
      <c r="I75" s="32">
        <f>SUM(I76)</f>
        <v>0.57857142857142863</v>
      </c>
      <c r="J75" s="152"/>
      <c r="K75" s="34"/>
      <c r="L75" s="91"/>
      <c r="M75" s="76"/>
      <c r="N75" s="91">
        <f>SUM(N76)</f>
        <v>0.25624999999999998</v>
      </c>
      <c r="O75" s="173">
        <v>6.5502183406500006E-2</v>
      </c>
      <c r="P75" s="558">
        <f>SUM(P76)</f>
        <v>2.6527500000000002E-2</v>
      </c>
      <c r="Q75" s="303">
        <f>'Anexo 5-2 Gastos'!H42</f>
        <v>396789977</v>
      </c>
      <c r="R75" s="303">
        <f>'Anexo 5-2 Gastos'!I42</f>
        <v>189139129</v>
      </c>
      <c r="S75" s="308">
        <f>R75/Q75</f>
        <v>0.47667315195313009</v>
      </c>
      <c r="T75" s="283">
        <f>(413999764+11171000)+(411544536-16000000+23000000+24000000)+(416789977-20000000+335760771)+472214308</f>
        <v>2072480356</v>
      </c>
      <c r="U75" s="282">
        <f>425170764+442544536+Q75</f>
        <v>1264505277</v>
      </c>
      <c r="V75" s="308">
        <f>U75/T75</f>
        <v>0.61014101935352671</v>
      </c>
      <c r="W75" s="317"/>
    </row>
    <row r="76" spans="1:23" ht="26.25" thickBot="1">
      <c r="A76" s="584"/>
      <c r="B76" s="604"/>
      <c r="C76" s="673"/>
      <c r="D76" s="675"/>
      <c r="E76" s="295" t="s">
        <v>15</v>
      </c>
      <c r="F76" s="342" t="s">
        <v>178</v>
      </c>
      <c r="G76" s="343">
        <v>0.7</v>
      </c>
      <c r="H76" s="356">
        <v>0.40500000000000003</v>
      </c>
      <c r="I76" s="170">
        <f>H76/G76</f>
        <v>0.57857142857142863</v>
      </c>
      <c r="J76" s="171"/>
      <c r="K76" s="171"/>
      <c r="L76" s="164">
        <v>1</v>
      </c>
      <c r="M76" s="164">
        <f>(0.19+0.43+H76)/4</f>
        <v>0.25624999999999998</v>
      </c>
      <c r="N76" s="165">
        <f>M76/L76</f>
        <v>0.25624999999999998</v>
      </c>
      <c r="O76" s="172">
        <f>0.0655/1</f>
        <v>6.5500000000000003E-2</v>
      </c>
      <c r="P76" s="565">
        <f>H76*O76</f>
        <v>2.6527500000000002E-2</v>
      </c>
      <c r="Q76" s="301"/>
      <c r="R76" s="166"/>
      <c r="S76" s="166"/>
      <c r="T76" s="166"/>
      <c r="U76" s="166"/>
      <c r="V76" s="166"/>
      <c r="W76" s="127"/>
    </row>
    <row r="77" spans="1:23" ht="13.5" thickBot="1">
      <c r="A77" s="584"/>
      <c r="B77" s="604"/>
      <c r="C77" s="673"/>
      <c r="D77" s="674"/>
      <c r="E77" s="683" t="s">
        <v>246</v>
      </c>
      <c r="F77" s="684"/>
      <c r="G77" s="684"/>
      <c r="H77" s="684"/>
      <c r="I77" s="32">
        <f>SUM(I78)</f>
        <v>0.57857142857142863</v>
      </c>
      <c r="J77" s="75"/>
      <c r="K77" s="34"/>
      <c r="L77" s="78"/>
      <c r="M77" s="76"/>
      <c r="N77" s="78">
        <f>SUM(N78)</f>
        <v>0.25624999999999998</v>
      </c>
      <c r="O77" s="173">
        <v>6.5502183406500006E-2</v>
      </c>
      <c r="P77" s="558">
        <f>SUM(P78)</f>
        <v>2.6527500000000002E-2</v>
      </c>
      <c r="Q77" s="300">
        <f>'Anexo 5-2 Gastos'!H43</f>
        <v>208520690</v>
      </c>
      <c r="R77" s="283">
        <f>'Anexo 5-2 Gastos'!I43</f>
        <v>80675463</v>
      </c>
      <c r="S77" s="316">
        <f>R77/Q77</f>
        <v>0.38689428372791207</v>
      </c>
      <c r="T77" s="283">
        <f>(247240306+6170000)+(238476412-22000000)+(228520690-20000000)+288367454</f>
        <v>966774862</v>
      </c>
      <c r="U77" s="300">
        <f>253410306+216476412+Q77</f>
        <v>678407408</v>
      </c>
      <c r="V77" s="308">
        <f>U77/T77</f>
        <v>0.70172222578952415</v>
      </c>
      <c r="W77" s="309"/>
    </row>
    <row r="78" spans="1:23" ht="26.25" thickBot="1">
      <c r="A78" s="584"/>
      <c r="B78" s="605"/>
      <c r="C78" s="673"/>
      <c r="D78" s="676"/>
      <c r="E78" s="178" t="s">
        <v>15</v>
      </c>
      <c r="F78" s="179" t="s">
        <v>178</v>
      </c>
      <c r="G78" s="162">
        <v>0.7</v>
      </c>
      <c r="H78" s="356">
        <v>0.40500000000000003</v>
      </c>
      <c r="I78" s="180">
        <f t="shared" ref="I78" si="17">H78/G78</f>
        <v>0.57857142857142863</v>
      </c>
      <c r="J78" s="179"/>
      <c r="K78" s="181"/>
      <c r="L78" s="164">
        <v>1</v>
      </c>
      <c r="M78" s="164">
        <f>(0.19+0.43+H78)/4</f>
        <v>0.25624999999999998</v>
      </c>
      <c r="N78" s="165">
        <f t="shared" ref="N78" si="18">M78/L78</f>
        <v>0.25624999999999998</v>
      </c>
      <c r="O78" s="172">
        <f>0.0655/1</f>
        <v>6.5500000000000003E-2</v>
      </c>
      <c r="P78" s="565">
        <f>H78*O78</f>
        <v>2.6527500000000002E-2</v>
      </c>
      <c r="Q78" s="304"/>
      <c r="R78" s="182"/>
      <c r="S78" s="182"/>
      <c r="T78" s="182"/>
      <c r="U78" s="182"/>
      <c r="V78" s="182"/>
      <c r="W78" s="183"/>
    </row>
    <row r="79" spans="1:23" ht="13.5" thickBot="1">
      <c r="A79" s="584"/>
      <c r="B79" s="184"/>
      <c r="C79" s="185"/>
      <c r="D79" s="186"/>
      <c r="E79" s="594" t="s">
        <v>247</v>
      </c>
      <c r="F79" s="595"/>
      <c r="G79" s="595"/>
      <c r="H79" s="596"/>
      <c r="I79" s="187">
        <f>SUM(I81+I82+I83+I84+I85+I86+I87+I89+I90+I91+I92+I93)/12</f>
        <v>0.42010101010101009</v>
      </c>
      <c r="J79" s="120"/>
      <c r="K79" s="188"/>
      <c r="L79" s="120"/>
      <c r="M79" s="189"/>
      <c r="N79" s="122">
        <f>SUM(N81+N82+N83+N84+N85+N86+N87+N89+N90+N91+N92+N93)/12</f>
        <v>0.54234792890245143</v>
      </c>
      <c r="O79" s="190">
        <f>O80+O88</f>
        <v>0.13536899559999999</v>
      </c>
      <c r="P79" s="567">
        <f>SUM(P80+P88)</f>
        <v>5.3270974025974027E-2</v>
      </c>
      <c r="Q79" s="305">
        <f>Q80+Q88</f>
        <v>2216533085</v>
      </c>
      <c r="R79" s="318">
        <f>R80+R88</f>
        <v>1516574075</v>
      </c>
      <c r="S79" s="279">
        <f>R79/Q79</f>
        <v>0.68420998777918085</v>
      </c>
      <c r="T79" s="319">
        <f>T80+T88</f>
        <v>7351884478</v>
      </c>
      <c r="U79" s="278">
        <f>U80+U88</f>
        <v>4709890087</v>
      </c>
      <c r="V79" s="310">
        <f>U79/T79</f>
        <v>0.64063711842780124</v>
      </c>
      <c r="W79" s="574" t="s">
        <v>387</v>
      </c>
    </row>
    <row r="80" spans="1:23" ht="13.5" thickBot="1">
      <c r="A80" s="584"/>
      <c r="B80" s="191"/>
      <c r="C80" s="667" t="s">
        <v>248</v>
      </c>
      <c r="D80" s="669" t="s">
        <v>200</v>
      </c>
      <c r="E80" s="597" t="s">
        <v>249</v>
      </c>
      <c r="F80" s="598"/>
      <c r="G80" s="598"/>
      <c r="H80" s="599"/>
      <c r="I80" s="192">
        <f>SUM(I81+I82+I83+I84+I85+I86+I87)/7</f>
        <v>0.57809523809523811</v>
      </c>
      <c r="J80" s="193"/>
      <c r="K80" s="193"/>
      <c r="L80" s="194"/>
      <c r="M80" s="46"/>
      <c r="N80" s="195">
        <f>(N81+N82+N83+N84+N85+N86+N87)/7</f>
        <v>0.52151692907818137</v>
      </c>
      <c r="O80" s="196">
        <v>6.9868995599999997E-2</v>
      </c>
      <c r="P80" s="80">
        <f>SUM(P81:P87)</f>
        <v>4.0242428571428575E-2</v>
      </c>
      <c r="Q80" s="306">
        <f>'Anexo 5-2 Gastos'!H45</f>
        <v>1953365441</v>
      </c>
      <c r="R80" s="320">
        <f>'Anexo 5-2 Gastos'!I45</f>
        <v>1305006055</v>
      </c>
      <c r="S80" s="321">
        <f>R80/Q80</f>
        <v>0.66808085553715901</v>
      </c>
      <c r="T80" s="322">
        <f>(762514412+95664567-74476565)+(769365817+5000000+54000000+37689958)+(970579806+150000000+832785635)+952403462</f>
        <v>4555527092</v>
      </c>
      <c r="U80" s="322">
        <f>783702414+866055775+Q80</f>
        <v>3603123630</v>
      </c>
      <c r="V80" s="321">
        <f>U80/T80</f>
        <v>0.79093451915311319</v>
      </c>
      <c r="W80" s="323" t="s">
        <v>389</v>
      </c>
    </row>
    <row r="81" spans="1:23" ht="51" customHeight="1">
      <c r="A81" s="584"/>
      <c r="B81" s="198"/>
      <c r="C81" s="667"/>
      <c r="D81" s="670"/>
      <c r="E81" s="230" t="s">
        <v>6</v>
      </c>
      <c r="F81" s="199" t="s">
        <v>178</v>
      </c>
      <c r="G81" s="95">
        <v>1</v>
      </c>
      <c r="H81" s="200">
        <v>0.52</v>
      </c>
      <c r="I81" s="53">
        <f>H81/G81</f>
        <v>0.52</v>
      </c>
      <c r="J81" s="201"/>
      <c r="K81" s="53"/>
      <c r="L81" s="59">
        <v>1</v>
      </c>
      <c r="M81" s="59">
        <f>(1+1+H81)/4</f>
        <v>0.63</v>
      </c>
      <c r="N81" s="56">
        <f>M81/L81</f>
        <v>0.63</v>
      </c>
      <c r="O81" s="568">
        <f>0.0699/7</f>
        <v>9.985714285714287E-3</v>
      </c>
      <c r="P81" s="568">
        <f>I81*O81</f>
        <v>5.1925714285714292E-3</v>
      </c>
      <c r="Q81" s="61"/>
      <c r="R81" s="61"/>
      <c r="S81" s="202"/>
      <c r="T81" s="61"/>
      <c r="U81" s="61"/>
      <c r="V81" s="61"/>
      <c r="W81" s="74"/>
    </row>
    <row r="82" spans="1:23" ht="36">
      <c r="A82" s="584"/>
      <c r="B82" s="198"/>
      <c r="C82" s="667"/>
      <c r="D82" s="670"/>
      <c r="E82" s="231" t="s">
        <v>7</v>
      </c>
      <c r="F82" s="203" t="s">
        <v>178</v>
      </c>
      <c r="G82" s="53">
        <v>1</v>
      </c>
      <c r="H82" s="204">
        <v>0.63</v>
      </c>
      <c r="I82" s="53">
        <f t="shared" ref="I82:I87" si="19">H82/G82</f>
        <v>0.63</v>
      </c>
      <c r="J82" s="201"/>
      <c r="K82" s="53"/>
      <c r="L82" s="59">
        <v>1</v>
      </c>
      <c r="M82" s="59">
        <f>(1+1+H82)/4</f>
        <v>0.65749999999999997</v>
      </c>
      <c r="N82" s="56">
        <f t="shared" ref="N82:N86" si="20">M82/L82</f>
        <v>0.65749999999999997</v>
      </c>
      <c r="O82" s="568">
        <f t="shared" ref="O82:O87" si="21">0.0699/7</f>
        <v>9.985714285714287E-3</v>
      </c>
      <c r="P82" s="568">
        <f>I82*O82</f>
        <v>6.2910000000000006E-3</v>
      </c>
      <c r="Q82" s="61"/>
      <c r="R82" s="61"/>
      <c r="S82" s="61"/>
      <c r="T82" s="61"/>
      <c r="U82" s="61"/>
      <c r="V82" s="61"/>
      <c r="W82" s="74"/>
    </row>
    <row r="83" spans="1:23" ht="51" customHeight="1">
      <c r="A83" s="584"/>
      <c r="B83" s="198"/>
      <c r="C83" s="667"/>
      <c r="D83" s="670"/>
      <c r="E83" s="231" t="s">
        <v>12</v>
      </c>
      <c r="F83" s="203" t="s">
        <v>178</v>
      </c>
      <c r="G83" s="53">
        <v>1</v>
      </c>
      <c r="H83" s="205">
        <v>0.67</v>
      </c>
      <c r="I83" s="53">
        <f t="shared" si="19"/>
        <v>0.67</v>
      </c>
      <c r="J83" s="201"/>
      <c r="K83" s="53"/>
      <c r="L83" s="59">
        <v>1</v>
      </c>
      <c r="M83" s="59">
        <f>(1+1+H83)/4</f>
        <v>0.66749999999999998</v>
      </c>
      <c r="N83" s="56">
        <f t="shared" si="20"/>
        <v>0.66749999999999998</v>
      </c>
      <c r="O83" s="568">
        <f t="shared" si="21"/>
        <v>9.985714285714287E-3</v>
      </c>
      <c r="P83" s="568">
        <f>I83*O83</f>
        <v>6.6904285714285729E-3</v>
      </c>
      <c r="Q83" s="61"/>
      <c r="R83" s="61"/>
      <c r="S83" s="61"/>
      <c r="T83" s="61"/>
      <c r="U83" s="61"/>
      <c r="V83" s="61"/>
      <c r="W83" s="74"/>
    </row>
    <row r="84" spans="1:23" ht="24">
      <c r="A84" s="584"/>
      <c r="B84" s="198"/>
      <c r="C84" s="667"/>
      <c r="D84" s="670"/>
      <c r="E84" s="231" t="s">
        <v>250</v>
      </c>
      <c r="F84" s="203" t="s">
        <v>178</v>
      </c>
      <c r="G84" s="53">
        <v>1</v>
      </c>
      <c r="H84" s="204">
        <v>0.61</v>
      </c>
      <c r="I84" s="53">
        <f t="shared" si="19"/>
        <v>0.61</v>
      </c>
      <c r="J84" s="201"/>
      <c r="K84" s="53"/>
      <c r="L84" s="59">
        <v>1</v>
      </c>
      <c r="M84" s="59">
        <f>(0.97+0.79+H84)/4</f>
        <v>0.59250000000000003</v>
      </c>
      <c r="N84" s="56">
        <f t="shared" si="20"/>
        <v>0.59250000000000003</v>
      </c>
      <c r="O84" s="568">
        <f t="shared" si="21"/>
        <v>9.985714285714287E-3</v>
      </c>
      <c r="P84" s="568">
        <f>I84*O84</f>
        <v>6.0912857142857149E-3</v>
      </c>
      <c r="Q84" s="61"/>
      <c r="R84" s="61"/>
      <c r="S84" s="61"/>
      <c r="T84" s="61"/>
      <c r="U84" s="61"/>
      <c r="V84" s="61"/>
      <c r="W84" s="74"/>
    </row>
    <row r="85" spans="1:23" ht="54" customHeight="1">
      <c r="A85" s="584"/>
      <c r="B85" s="198"/>
      <c r="C85" s="667"/>
      <c r="D85" s="670"/>
      <c r="E85" s="231" t="s">
        <v>251</v>
      </c>
      <c r="F85" s="203" t="s">
        <v>252</v>
      </c>
      <c r="G85" s="206">
        <v>90</v>
      </c>
      <c r="H85" s="147">
        <v>102</v>
      </c>
      <c r="I85" s="53">
        <v>0.89</v>
      </c>
      <c r="J85" s="102"/>
      <c r="K85" s="53"/>
      <c r="L85" s="54">
        <v>90</v>
      </c>
      <c r="M85" s="55">
        <f>123+94+H85</f>
        <v>319</v>
      </c>
      <c r="N85" s="56">
        <f>IF(L85/M85&gt;1,1,L85/M85)</f>
        <v>0.28213166144200624</v>
      </c>
      <c r="O85" s="568">
        <f t="shared" si="21"/>
        <v>9.985714285714287E-3</v>
      </c>
      <c r="P85" s="568">
        <f>I85*O85</f>
        <v>8.8872857142857156E-3</v>
      </c>
      <c r="Q85" s="61"/>
      <c r="R85" s="207"/>
      <c r="S85" s="61"/>
      <c r="T85" s="61"/>
      <c r="U85" s="61"/>
      <c r="V85" s="61"/>
      <c r="W85" s="546" t="s">
        <v>349</v>
      </c>
    </row>
    <row r="86" spans="1:23" ht="24">
      <c r="A86" s="584"/>
      <c r="B86" s="198"/>
      <c r="C86" s="667"/>
      <c r="D86" s="670"/>
      <c r="E86" s="231" t="s">
        <v>253</v>
      </c>
      <c r="F86" s="203" t="s">
        <v>178</v>
      </c>
      <c r="G86" s="51">
        <v>0.9</v>
      </c>
      <c r="H86" s="204">
        <f>15%</f>
        <v>0.15</v>
      </c>
      <c r="I86" s="64">
        <f t="shared" si="19"/>
        <v>0.16666666666666666</v>
      </c>
      <c r="J86" s="201"/>
      <c r="K86" s="53"/>
      <c r="L86" s="59">
        <v>0.95</v>
      </c>
      <c r="M86" s="59">
        <f>(0.48+0.11+H86)/4</f>
        <v>0.185</v>
      </c>
      <c r="N86" s="56">
        <f t="shared" si="20"/>
        <v>0.19473684210526315</v>
      </c>
      <c r="O86" s="568">
        <f t="shared" si="21"/>
        <v>9.985714285714287E-3</v>
      </c>
      <c r="P86" s="568">
        <f>H86*O86</f>
        <v>1.497857142857143E-3</v>
      </c>
      <c r="Q86" s="61"/>
      <c r="R86" s="61"/>
      <c r="S86" s="61"/>
      <c r="T86" s="61"/>
      <c r="U86" s="61"/>
      <c r="V86" s="61"/>
      <c r="W86" s="74"/>
    </row>
    <row r="87" spans="1:23" ht="36.75" thickBot="1">
      <c r="A87" s="584"/>
      <c r="B87" s="198"/>
      <c r="C87" s="667"/>
      <c r="D87" s="670"/>
      <c r="E87" s="88" t="s">
        <v>254</v>
      </c>
      <c r="F87" s="203" t="s">
        <v>196</v>
      </c>
      <c r="G87" s="208">
        <v>200</v>
      </c>
      <c r="H87" s="160">
        <v>112</v>
      </c>
      <c r="I87" s="70">
        <f t="shared" si="19"/>
        <v>0.56000000000000005</v>
      </c>
      <c r="J87" s="209"/>
      <c r="K87" s="70"/>
      <c r="L87" s="210">
        <v>800</v>
      </c>
      <c r="M87" s="71">
        <f>198+191+H87</f>
        <v>501</v>
      </c>
      <c r="N87" s="211">
        <f>M87/L87</f>
        <v>0.62624999999999997</v>
      </c>
      <c r="O87" s="568">
        <f t="shared" si="21"/>
        <v>9.985714285714287E-3</v>
      </c>
      <c r="P87" s="569">
        <f>I87*O87</f>
        <v>5.5920000000000015E-3</v>
      </c>
      <c r="Q87" s="73"/>
      <c r="R87" s="73"/>
      <c r="S87" s="73"/>
      <c r="T87" s="73"/>
      <c r="U87" s="73"/>
      <c r="V87" s="73"/>
      <c r="W87" s="74"/>
    </row>
    <row r="88" spans="1:23" ht="13.5" thickBot="1">
      <c r="A88" s="584"/>
      <c r="B88" s="212"/>
      <c r="C88" s="667"/>
      <c r="D88" s="669"/>
      <c r="E88" s="600" t="s">
        <v>255</v>
      </c>
      <c r="F88" s="601"/>
      <c r="G88" s="601"/>
      <c r="H88" s="601"/>
      <c r="I88" s="32">
        <f>(I89+I90+I91+I92+I93)/5</f>
        <v>0.19890909090909092</v>
      </c>
      <c r="J88" s="75"/>
      <c r="K88" s="34"/>
      <c r="L88" s="77"/>
      <c r="M88" s="76"/>
      <c r="N88" s="78">
        <f>(N89+N90+N91+N92+N93)/5</f>
        <v>0.57151132865642951</v>
      </c>
      <c r="O88" s="79">
        <v>6.5500000000000003E-2</v>
      </c>
      <c r="P88" s="558">
        <f>SUM(P89:P93)</f>
        <v>1.3028545454545456E-2</v>
      </c>
      <c r="Q88" s="300">
        <f>'Anexo 5-2 Gastos'!H46</f>
        <v>263167644</v>
      </c>
      <c r="R88" s="283">
        <f>'Anexo 5-2 Gastos'!I46</f>
        <v>211568020</v>
      </c>
      <c r="S88" s="316">
        <f>R88/Q88</f>
        <v>0.8039286926929361</v>
      </c>
      <c r="T88" s="283">
        <f>(266529220+256557001)+(252512592+32000000+24000000+12000000)+(273167644-10000000+54420+1351250000)+338286509</f>
        <v>2796357386</v>
      </c>
      <c r="U88" s="283">
        <f>523086221+320512592+Q88</f>
        <v>1106766457</v>
      </c>
      <c r="V88" s="324">
        <f>U88/T88</f>
        <v>0.39578862935797865</v>
      </c>
      <c r="W88" s="313"/>
    </row>
    <row r="89" spans="1:23" ht="51" customHeight="1">
      <c r="A89" s="584"/>
      <c r="B89" s="212"/>
      <c r="C89" s="667"/>
      <c r="D89" s="670"/>
      <c r="E89" s="213" t="s">
        <v>256</v>
      </c>
      <c r="F89" s="96" t="s">
        <v>196</v>
      </c>
      <c r="G89" s="214">
        <v>55</v>
      </c>
      <c r="H89" s="94">
        <v>0</v>
      </c>
      <c r="I89" s="43">
        <f>H89/G89</f>
        <v>0</v>
      </c>
      <c r="J89" s="339"/>
      <c r="K89" s="96"/>
      <c r="L89" s="215">
        <v>200</v>
      </c>
      <c r="M89" s="46">
        <f>36+48+H89</f>
        <v>84</v>
      </c>
      <c r="N89" s="47">
        <f>M89/L89</f>
        <v>0.42</v>
      </c>
      <c r="O89" s="196">
        <f>0.0655/5</f>
        <v>1.3100000000000001E-2</v>
      </c>
      <c r="P89" s="196">
        <f>I89*O89</f>
        <v>0</v>
      </c>
      <c r="Q89" s="100"/>
      <c r="R89" s="100"/>
      <c r="S89" s="100"/>
      <c r="T89" s="100"/>
      <c r="U89" s="100"/>
      <c r="V89" s="100"/>
      <c r="W89" s="197"/>
    </row>
    <row r="90" spans="1:23" ht="36">
      <c r="A90" s="584"/>
      <c r="B90" s="212"/>
      <c r="C90" s="667"/>
      <c r="D90" s="670"/>
      <c r="E90" s="216" t="s">
        <v>257</v>
      </c>
      <c r="F90" s="102" t="s">
        <v>178</v>
      </c>
      <c r="G90" s="101">
        <v>1</v>
      </c>
      <c r="H90" s="52">
        <v>0</v>
      </c>
      <c r="I90" s="51">
        <f>H90/G90</f>
        <v>0</v>
      </c>
      <c r="J90" s="201"/>
      <c r="K90" s="102"/>
      <c r="L90" s="59">
        <v>1</v>
      </c>
      <c r="M90" s="59">
        <f>(1+0.98+H90)/4</f>
        <v>0.495</v>
      </c>
      <c r="N90" s="56">
        <f>M90/L90</f>
        <v>0.495</v>
      </c>
      <c r="O90" s="196">
        <f t="shared" ref="O90:O93" si="22">0.0655/5</f>
        <v>1.3100000000000001E-2</v>
      </c>
      <c r="P90" s="551">
        <f>I90*O90</f>
        <v>0</v>
      </c>
      <c r="Q90" s="105"/>
      <c r="R90" s="105"/>
      <c r="S90" s="105"/>
      <c r="T90" s="105"/>
      <c r="U90" s="105"/>
      <c r="V90" s="105"/>
      <c r="W90" s="217"/>
    </row>
    <row r="91" spans="1:23" ht="67.5" customHeight="1">
      <c r="A91" s="584"/>
      <c r="B91" s="212"/>
      <c r="C91" s="667"/>
      <c r="D91" s="670"/>
      <c r="E91" s="216" t="s">
        <v>258</v>
      </c>
      <c r="F91" s="106" t="s">
        <v>259</v>
      </c>
      <c r="G91" s="218">
        <v>50</v>
      </c>
      <c r="H91" s="344">
        <v>15.8</v>
      </c>
      <c r="I91" s="51">
        <f>H91/G91</f>
        <v>0.316</v>
      </c>
      <c r="J91" s="102"/>
      <c r="K91" s="102"/>
      <c r="L91" s="108">
        <v>50</v>
      </c>
      <c r="M91" s="55">
        <f>53.3+40+H91</f>
        <v>109.1</v>
      </c>
      <c r="N91" s="56">
        <f>L91/M91</f>
        <v>0.45829514207149408</v>
      </c>
      <c r="O91" s="196">
        <f t="shared" si="22"/>
        <v>1.3100000000000001E-2</v>
      </c>
      <c r="P91" s="551">
        <f>I91*O91</f>
        <v>4.1396000000000002E-3</v>
      </c>
      <c r="Q91" s="105"/>
      <c r="R91" s="105"/>
      <c r="S91" s="105"/>
      <c r="T91" s="105"/>
      <c r="U91" s="105"/>
      <c r="V91" s="105"/>
      <c r="W91" s="217"/>
    </row>
    <row r="92" spans="1:23" ht="67.5" customHeight="1">
      <c r="A92" s="584"/>
      <c r="B92" s="212"/>
      <c r="C92" s="667"/>
      <c r="D92" s="670"/>
      <c r="E92" s="216" t="s">
        <v>260</v>
      </c>
      <c r="F92" s="106" t="s">
        <v>259</v>
      </c>
      <c r="G92" s="106">
        <v>100</v>
      </c>
      <c r="H92" s="344">
        <v>22.4</v>
      </c>
      <c r="I92" s="51">
        <f>H92/G92</f>
        <v>0.22399999999999998</v>
      </c>
      <c r="J92" s="102"/>
      <c r="K92" s="102"/>
      <c r="L92" s="108">
        <v>100</v>
      </c>
      <c r="M92" s="55">
        <f>109.1+75+H92</f>
        <v>206.5</v>
      </c>
      <c r="N92" s="56">
        <f>L92/M92</f>
        <v>0.48426150121065376</v>
      </c>
      <c r="O92" s="196">
        <f t="shared" si="22"/>
        <v>1.3100000000000001E-2</v>
      </c>
      <c r="P92" s="551">
        <f>I92*O92</f>
        <v>2.9343999999999998E-3</v>
      </c>
      <c r="Q92" s="105"/>
      <c r="R92" s="105"/>
      <c r="S92" s="105"/>
      <c r="T92" s="105"/>
      <c r="U92" s="105"/>
      <c r="V92" s="105"/>
      <c r="W92" s="217"/>
    </row>
    <row r="93" spans="1:23" ht="24.75" thickBot="1">
      <c r="A93" s="585"/>
      <c r="B93" s="212"/>
      <c r="C93" s="668"/>
      <c r="D93" s="671"/>
      <c r="E93" s="216" t="s">
        <v>261</v>
      </c>
      <c r="F93" s="102" t="s">
        <v>196</v>
      </c>
      <c r="G93" s="106">
        <v>22</v>
      </c>
      <c r="H93" s="107">
        <v>10</v>
      </c>
      <c r="I93" s="70">
        <f t="shared" ref="I93" si="23">H93/G93</f>
        <v>0.45454545454545453</v>
      </c>
      <c r="J93" s="102"/>
      <c r="K93" s="102"/>
      <c r="L93" s="108">
        <v>23</v>
      </c>
      <c r="M93" s="55">
        <f>13+13+H93</f>
        <v>36</v>
      </c>
      <c r="N93" s="56">
        <v>1</v>
      </c>
      <c r="O93" s="196">
        <f t="shared" si="22"/>
        <v>1.3100000000000001E-2</v>
      </c>
      <c r="P93" s="551">
        <f>I93*O93</f>
        <v>5.9545454545454546E-3</v>
      </c>
      <c r="Q93" s="105"/>
      <c r="R93" s="105"/>
      <c r="S93" s="105"/>
      <c r="T93" s="105"/>
      <c r="U93" s="105"/>
      <c r="V93" s="105"/>
      <c r="W93" s="217"/>
    </row>
    <row r="94" spans="1:23" ht="13.5" thickBot="1">
      <c r="A94" s="663" t="s">
        <v>27</v>
      </c>
      <c r="B94" s="664"/>
      <c r="C94" s="664"/>
      <c r="D94" s="664"/>
      <c r="E94" s="664"/>
      <c r="F94" s="664"/>
      <c r="G94" s="664"/>
      <c r="H94" s="665"/>
      <c r="I94" s="219">
        <f>(I8+I30+I48+I69+I74+I79)/6</f>
        <v>0.61562468469586507</v>
      </c>
      <c r="J94" s="220"/>
      <c r="K94" s="221"/>
      <c r="L94" s="222"/>
      <c r="M94" s="125">
        <f t="shared" ref="M94" si="24">H94</f>
        <v>0</v>
      </c>
      <c r="N94" s="223">
        <f>(N10+N11+N12+N13+N14+N15+N16+N17+N18+N20+N21+N22+N23+N24+N26+N27+N28+N29+N32+N33+N34+N35+N36+N37+N38+N39+N41+N42+N43+N44+N45+N46+N47+N49+N50+N51+N52+N53+N54+N55+N56+N57+N58+N61+N62+N63+N64+N65+N66+N68+N71+N73+N76+N78+N81+N82+N83+N84+N85+N86+N87+N89+N90+N91+N92+N93)/67</f>
        <v>0.46611322404187155</v>
      </c>
      <c r="O94" s="224">
        <f>O8+O30+O48+O69+O74+O79</f>
        <v>1.0000877726130002</v>
      </c>
      <c r="P94" s="567">
        <f>(P8+P30+P48+P69+P74+P79)/6</f>
        <v>0.11191142330284505</v>
      </c>
      <c r="Q94" s="225">
        <f>Q8+Q30+Q48+Q69+Q74+Q79</f>
        <v>8667499642</v>
      </c>
      <c r="R94" s="226">
        <f>R8+R30+R48+R69+R74+R79</f>
        <v>4113204783.6500001</v>
      </c>
      <c r="S94" s="227">
        <f>R94/Q94</f>
        <v>0.47455494127956954</v>
      </c>
      <c r="T94" s="226">
        <f>T8+T30+T48+T69+T74+T79</f>
        <v>79338062728.860001</v>
      </c>
      <c r="U94" s="225">
        <f>U8+U30+U48+U69+U74+U79</f>
        <v>47802252046</v>
      </c>
      <c r="V94" s="228">
        <f>U94/T94</f>
        <v>0.60251347716121462</v>
      </c>
      <c r="W94" s="229"/>
    </row>
    <row r="97" spans="7:14">
      <c r="N97" s="338"/>
    </row>
    <row r="100" spans="7:14">
      <c r="G100" s="341"/>
    </row>
  </sheetData>
  <mergeCells count="58">
    <mergeCell ref="A94:H94"/>
    <mergeCell ref="S1:W1"/>
    <mergeCell ref="E79:H79"/>
    <mergeCell ref="C80:C93"/>
    <mergeCell ref="D80:D93"/>
    <mergeCell ref="E80:H80"/>
    <mergeCell ref="E88:H88"/>
    <mergeCell ref="B74:B78"/>
    <mergeCell ref="C74:C78"/>
    <mergeCell ref="D74:D78"/>
    <mergeCell ref="E74:H74"/>
    <mergeCell ref="E75:H75"/>
    <mergeCell ref="E77:H77"/>
    <mergeCell ref="C60:C66"/>
    <mergeCell ref="D60:D66"/>
    <mergeCell ref="E60:H60"/>
    <mergeCell ref="B67:B68"/>
    <mergeCell ref="C67:C73"/>
    <mergeCell ref="D67:D68"/>
    <mergeCell ref="E67:H67"/>
    <mergeCell ref="B69:B73"/>
    <mergeCell ref="D69:D73"/>
    <mergeCell ref="E69:H69"/>
    <mergeCell ref="E70:H70"/>
    <mergeCell ref="E72:H72"/>
    <mergeCell ref="B48:B59"/>
    <mergeCell ref="C48:C59"/>
    <mergeCell ref="D48:D59"/>
    <mergeCell ref="E48:H48"/>
    <mergeCell ref="E49:H49"/>
    <mergeCell ref="C30:C47"/>
    <mergeCell ref="D30:D47"/>
    <mergeCell ref="E30:H30"/>
    <mergeCell ref="E31:H31"/>
    <mergeCell ref="E40:H40"/>
    <mergeCell ref="E5:W5"/>
    <mergeCell ref="E6:E7"/>
    <mergeCell ref="F6:O6"/>
    <mergeCell ref="Q6:W6"/>
    <mergeCell ref="C25:C29"/>
    <mergeCell ref="D25:D29"/>
    <mergeCell ref="E25:H25"/>
    <mergeCell ref="A2:S2"/>
    <mergeCell ref="A8:A93"/>
    <mergeCell ref="B8:B24"/>
    <mergeCell ref="C8:C24"/>
    <mergeCell ref="D8:D24"/>
    <mergeCell ref="E8:H8"/>
    <mergeCell ref="E9:H9"/>
    <mergeCell ref="E19:H19"/>
    <mergeCell ref="B25:B29"/>
    <mergeCell ref="E3:W3"/>
    <mergeCell ref="A4:C4"/>
    <mergeCell ref="D4:D7"/>
    <mergeCell ref="E4:W4"/>
    <mergeCell ref="A5:A7"/>
    <mergeCell ref="B5:B7"/>
    <mergeCell ref="C5:C7"/>
  </mergeCells>
  <printOptions horizontalCentered="1" verticalCentered="1"/>
  <pageMargins left="0" right="0" top="0.98425196850393704" bottom="0.98425196850393704" header="0" footer="0"/>
  <pageSetup scale="4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zoomScale="115" zoomScaleNormal="115" zoomScaleSheetLayoutView="100" workbookViewId="0">
      <selection activeCell="D8" sqref="D8"/>
    </sheetView>
  </sheetViews>
  <sheetFormatPr baseColWidth="10" defaultRowHeight="12.75"/>
  <cols>
    <col min="1" max="1" width="47.42578125" style="7" customWidth="1"/>
    <col min="2" max="2" width="84.140625" style="7" customWidth="1"/>
    <col min="3" max="16384" width="11.42578125" style="7"/>
  </cols>
  <sheetData>
    <row r="1" spans="1:2" ht="130.5" customHeight="1" thickBot="1">
      <c r="A1" s="688"/>
      <c r="B1" s="688"/>
    </row>
    <row r="2" spans="1:2" ht="27" customHeight="1" thickBot="1">
      <c r="A2" s="689" t="s">
        <v>29</v>
      </c>
      <c r="B2" s="690"/>
    </row>
    <row r="3" spans="1:2" ht="24.75" customHeight="1" thickBot="1">
      <c r="A3" s="691" t="s">
        <v>30</v>
      </c>
      <c r="B3" s="692"/>
    </row>
    <row r="4" spans="1:2">
      <c r="A4" s="8" t="s">
        <v>31</v>
      </c>
      <c r="B4" s="8" t="s">
        <v>32</v>
      </c>
    </row>
    <row r="5" spans="1:2" ht="36">
      <c r="A5" s="9" t="s">
        <v>33</v>
      </c>
      <c r="B5" s="10" t="s">
        <v>34</v>
      </c>
    </row>
    <row r="6" spans="1:2" ht="34.5" customHeight="1">
      <c r="A6" s="9" t="s">
        <v>35</v>
      </c>
      <c r="B6" s="10" t="s">
        <v>36</v>
      </c>
    </row>
    <row r="7" spans="1:2" ht="24" customHeight="1">
      <c r="A7" s="9" t="s">
        <v>37</v>
      </c>
      <c r="B7" s="10" t="s">
        <v>38</v>
      </c>
    </row>
    <row r="8" spans="1:2" ht="32.25" customHeight="1">
      <c r="A8" s="9" t="s">
        <v>39</v>
      </c>
      <c r="B8" s="10" t="s">
        <v>40</v>
      </c>
    </row>
    <row r="9" spans="1:2" ht="49.5" customHeight="1">
      <c r="A9" s="9" t="s">
        <v>41</v>
      </c>
      <c r="B9" s="10" t="s">
        <v>42</v>
      </c>
    </row>
    <row r="10" spans="1:2" ht="21" customHeight="1">
      <c r="A10" s="9" t="s">
        <v>43</v>
      </c>
      <c r="B10" s="10" t="s">
        <v>44</v>
      </c>
    </row>
    <row r="11" spans="1:2" ht="40.5" customHeight="1">
      <c r="A11" s="9" t="s">
        <v>45</v>
      </c>
      <c r="B11" s="10" t="s">
        <v>46</v>
      </c>
    </row>
    <row r="12" spans="1:2" ht="21.75" customHeight="1">
      <c r="A12" s="9" t="s">
        <v>47</v>
      </c>
      <c r="B12" s="10" t="s">
        <v>48</v>
      </c>
    </row>
    <row r="13" spans="1:2" ht="21.75" customHeight="1">
      <c r="A13" s="9" t="s">
        <v>49</v>
      </c>
      <c r="B13" s="10" t="s">
        <v>50</v>
      </c>
    </row>
    <row r="14" spans="1:2" ht="21" customHeight="1">
      <c r="A14" s="9" t="s">
        <v>51</v>
      </c>
      <c r="B14" s="10" t="s">
        <v>52</v>
      </c>
    </row>
    <row r="15" spans="1:2" ht="24.75" customHeight="1">
      <c r="A15" s="9" t="s">
        <v>53</v>
      </c>
      <c r="B15" s="10" t="s">
        <v>54</v>
      </c>
    </row>
    <row r="16" spans="1:2" ht="22.5" customHeight="1">
      <c r="A16" s="9" t="s">
        <v>55</v>
      </c>
      <c r="B16" s="10" t="s">
        <v>56</v>
      </c>
    </row>
    <row r="17" spans="1:2" ht="39" customHeight="1">
      <c r="A17" s="9" t="s">
        <v>57</v>
      </c>
      <c r="B17" s="10" t="s">
        <v>58</v>
      </c>
    </row>
    <row r="18" spans="1:2" ht="22.5" customHeight="1">
      <c r="A18" s="9" t="s">
        <v>59</v>
      </c>
      <c r="B18" s="10" t="s">
        <v>60</v>
      </c>
    </row>
    <row r="19" spans="1:2" ht="21.75" customHeight="1">
      <c r="A19" s="9" t="s">
        <v>61</v>
      </c>
      <c r="B19" s="10" t="s">
        <v>62</v>
      </c>
    </row>
    <row r="20" spans="1:2" ht="25.5" customHeight="1">
      <c r="A20" s="9" t="s">
        <v>63</v>
      </c>
      <c r="B20" s="10" t="s">
        <v>64</v>
      </c>
    </row>
    <row r="21" spans="1:2" ht="25.5" customHeight="1">
      <c r="A21" s="9" t="s">
        <v>65</v>
      </c>
      <c r="B21" s="10" t="s">
        <v>66</v>
      </c>
    </row>
    <row r="22" spans="1:2" ht="21" customHeight="1">
      <c r="A22" s="9" t="s">
        <v>67</v>
      </c>
      <c r="B22" s="10" t="s">
        <v>68</v>
      </c>
    </row>
    <row r="23" spans="1:2" ht="98.25" customHeight="1" thickBot="1">
      <c r="A23" s="11" t="s">
        <v>69</v>
      </c>
      <c r="B23" s="12" t="s">
        <v>70</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zoomScaleNormal="100" zoomScaleSheetLayoutView="100" workbookViewId="0">
      <selection activeCell="E8" sqref="E8"/>
    </sheetView>
  </sheetViews>
  <sheetFormatPr baseColWidth="10" defaultRowHeight="12.75"/>
  <cols>
    <col min="1" max="1" width="19.28515625" style="14" customWidth="1"/>
    <col min="2" max="2" width="49" style="14" customWidth="1"/>
    <col min="3" max="4" width="20.5703125" style="14" customWidth="1"/>
    <col min="5" max="5" width="20.140625" style="14" customWidth="1"/>
    <col min="6" max="6" width="11.42578125" style="14"/>
    <col min="7" max="7" width="37.42578125" style="14" customWidth="1"/>
    <col min="8" max="9" width="17.5703125" style="14" bestFit="1" customWidth="1"/>
    <col min="10" max="10" width="16.5703125" style="14" bestFit="1" customWidth="1"/>
    <col min="11" max="16384" width="11.42578125" style="14"/>
  </cols>
  <sheetData>
    <row r="1" spans="1:8" ht="130.5" customHeight="1">
      <c r="A1" s="13"/>
      <c r="B1" s="13"/>
      <c r="C1" s="13"/>
      <c r="D1" s="13"/>
    </row>
    <row r="2" spans="1:8" ht="7.5" customHeight="1"/>
    <row r="3" spans="1:8">
      <c r="A3" s="694"/>
      <c r="B3" s="694"/>
      <c r="C3" s="694"/>
      <c r="D3" s="694"/>
    </row>
    <row r="4" spans="1:8">
      <c r="A4" s="693"/>
      <c r="B4" s="693"/>
      <c r="C4" s="693"/>
      <c r="D4" s="693"/>
    </row>
    <row r="5" spans="1:8">
      <c r="A5" s="693"/>
      <c r="B5" s="693"/>
      <c r="C5" s="693"/>
      <c r="D5" s="693"/>
    </row>
    <row r="6" spans="1:8">
      <c r="A6" s="693" t="s">
        <v>391</v>
      </c>
      <c r="B6" s="693"/>
      <c r="C6" s="693"/>
      <c r="D6" s="693"/>
    </row>
    <row r="7" spans="1:8" ht="22.5">
      <c r="A7" s="411" t="s">
        <v>262</v>
      </c>
      <c r="B7" s="357" t="s">
        <v>263</v>
      </c>
      <c r="C7" s="409" t="s">
        <v>357</v>
      </c>
      <c r="D7" s="409" t="s">
        <v>364</v>
      </c>
      <c r="E7" s="410" t="s">
        <v>264</v>
      </c>
    </row>
    <row r="8" spans="1:8">
      <c r="A8" s="358" t="s">
        <v>265</v>
      </c>
      <c r="B8" s="359" t="s">
        <v>373</v>
      </c>
      <c r="C8" s="360">
        <f>C9+C42</f>
        <v>9146700000</v>
      </c>
      <c r="D8" s="360">
        <f>D9+D42</f>
        <v>11984765000</v>
      </c>
      <c r="E8" s="361">
        <f>E9+E42</f>
        <v>6016289913.0700006</v>
      </c>
      <c r="F8" s="536">
        <f>E8/D8</f>
        <v>0.50199481700892767</v>
      </c>
    </row>
    <row r="9" spans="1:8">
      <c r="A9" s="362" t="s">
        <v>266</v>
      </c>
      <c r="B9" s="363" t="s">
        <v>374</v>
      </c>
      <c r="C9" s="364">
        <f>C10+C14</f>
        <v>8867100000</v>
      </c>
      <c r="D9" s="364">
        <f>D10+D14</f>
        <v>11972165000</v>
      </c>
      <c r="E9" s="236">
        <f>E10+E14</f>
        <v>6012051730.6800003</v>
      </c>
      <c r="F9" s="536">
        <f t="shared" ref="F9:F10" si="0">E9/D9</f>
        <v>0.50216913404384256</v>
      </c>
    </row>
    <row r="10" spans="1:8">
      <c r="A10" s="365" t="s">
        <v>267</v>
      </c>
      <c r="B10" s="366" t="s">
        <v>71</v>
      </c>
      <c r="C10" s="367">
        <f>SUM(C11:C13)</f>
        <v>3780000000</v>
      </c>
      <c r="D10" s="367">
        <f>SUM(D11:D13)</f>
        <v>3800000000</v>
      </c>
      <c r="E10" s="237">
        <f>SUM(E11:E13)</f>
        <v>2343290273</v>
      </c>
      <c r="F10" s="536">
        <f t="shared" si="0"/>
        <v>0.61665533500000003</v>
      </c>
    </row>
    <row r="11" spans="1:8">
      <c r="A11" s="368"/>
      <c r="B11" s="369" t="s">
        <v>268</v>
      </c>
      <c r="C11" s="238">
        <v>0</v>
      </c>
      <c r="D11" s="238"/>
      <c r="E11" s="238"/>
    </row>
    <row r="12" spans="1:8">
      <c r="A12" s="370" t="s">
        <v>269</v>
      </c>
      <c r="B12" s="371" t="s">
        <v>270</v>
      </c>
      <c r="C12" s="372">
        <v>3780000000</v>
      </c>
      <c r="D12" s="520">
        <v>3800000000</v>
      </c>
      <c r="E12" s="523">
        <v>2343290273</v>
      </c>
    </row>
    <row r="13" spans="1:8">
      <c r="A13" s="370"/>
      <c r="B13" s="369" t="s">
        <v>72</v>
      </c>
      <c r="C13" s="238">
        <v>0</v>
      </c>
      <c r="D13" s="238"/>
      <c r="E13" s="238"/>
      <c r="H13" s="274"/>
    </row>
    <row r="14" spans="1:8">
      <c r="A14" s="373" t="s">
        <v>271</v>
      </c>
      <c r="B14" s="366" t="s">
        <v>73</v>
      </c>
      <c r="C14" s="367">
        <f>C21+C25+C35+C38</f>
        <v>5087100000</v>
      </c>
      <c r="D14" s="367">
        <f>D21+D25+D35+D38</f>
        <v>8172165000</v>
      </c>
      <c r="E14" s="237">
        <f>E21+E25+E35+E38</f>
        <v>3668761457.6799998</v>
      </c>
      <c r="F14" s="537">
        <f>E14/D14</f>
        <v>0.44893384527600699</v>
      </c>
      <c r="H14" s="274"/>
    </row>
    <row r="15" spans="1:8">
      <c r="A15" s="370"/>
      <c r="B15" s="260" t="s">
        <v>74</v>
      </c>
      <c r="C15" s="239">
        <f>SUM(C16:C17)</f>
        <v>0</v>
      </c>
      <c r="D15" s="239"/>
      <c r="E15" s="239">
        <f>SUM(E16:E17)</f>
        <v>0</v>
      </c>
      <c r="H15" s="274"/>
    </row>
    <row r="16" spans="1:8">
      <c r="A16" s="370"/>
      <c r="B16" s="369" t="s">
        <v>74</v>
      </c>
      <c r="C16" s="238">
        <v>0</v>
      </c>
      <c r="D16" s="238"/>
      <c r="E16" s="238"/>
      <c r="H16" s="274"/>
    </row>
    <row r="17" spans="1:8">
      <c r="A17" s="370"/>
      <c r="B17" s="374" t="s">
        <v>272</v>
      </c>
      <c r="C17" s="238">
        <v>0</v>
      </c>
      <c r="D17" s="238"/>
      <c r="E17" s="238">
        <v>0</v>
      </c>
      <c r="H17" s="274"/>
    </row>
    <row r="18" spans="1:8">
      <c r="A18" s="370"/>
      <c r="B18" s="260" t="s">
        <v>75</v>
      </c>
      <c r="C18" s="240">
        <v>0</v>
      </c>
      <c r="D18" s="240"/>
      <c r="E18" s="240"/>
      <c r="H18" s="275"/>
    </row>
    <row r="19" spans="1:8">
      <c r="A19" s="370"/>
      <c r="B19" s="260" t="s">
        <v>76</v>
      </c>
      <c r="C19" s="240">
        <v>0</v>
      </c>
      <c r="D19" s="240"/>
      <c r="E19" s="240"/>
    </row>
    <row r="20" spans="1:8">
      <c r="A20" s="370"/>
      <c r="B20" s="260" t="s">
        <v>77</v>
      </c>
      <c r="C20" s="240">
        <v>0</v>
      </c>
      <c r="D20" s="240"/>
      <c r="E20" s="240"/>
    </row>
    <row r="21" spans="1:8">
      <c r="A21" s="370"/>
      <c r="B21" s="260" t="s">
        <v>78</v>
      </c>
      <c r="C21" s="375">
        <f>SUM(C22:C24)</f>
        <v>2800000000</v>
      </c>
      <c r="D21" s="375">
        <f>SUM(D22:D24)</f>
        <v>2573765000</v>
      </c>
      <c r="E21" s="240">
        <f>SUM(E22:E24)</f>
        <v>1333108180.5599999</v>
      </c>
    </row>
    <row r="22" spans="1:8">
      <c r="A22" s="370" t="s">
        <v>273</v>
      </c>
      <c r="B22" s="371" t="s">
        <v>79</v>
      </c>
      <c r="C22" s="372">
        <v>2800000000</v>
      </c>
      <c r="D22" s="520">
        <v>2100000000</v>
      </c>
      <c r="E22" s="523">
        <v>1078096344</v>
      </c>
    </row>
    <row r="23" spans="1:8">
      <c r="A23" s="370" t="s">
        <v>274</v>
      </c>
      <c r="B23" s="369" t="s">
        <v>275</v>
      </c>
      <c r="C23" s="325"/>
      <c r="D23" s="325">
        <v>473765000</v>
      </c>
      <c r="E23" s="523">
        <v>255011836.56</v>
      </c>
    </row>
    <row r="24" spans="1:8">
      <c r="A24" s="370"/>
      <c r="B24" s="369" t="s">
        <v>80</v>
      </c>
      <c r="C24" s="325">
        <v>0</v>
      </c>
      <c r="D24" s="325"/>
      <c r="E24" s="238"/>
    </row>
    <row r="25" spans="1:8">
      <c r="A25" s="370" t="s">
        <v>276</v>
      </c>
      <c r="B25" s="260" t="s">
        <v>375</v>
      </c>
      <c r="C25" s="375">
        <f>SUM(C26:C34)</f>
        <v>1620700000</v>
      </c>
      <c r="D25" s="375">
        <f>SUM(D26:D34)</f>
        <v>3672000000</v>
      </c>
      <c r="E25" s="239">
        <f>SUM(E26:E34)</f>
        <v>2224998442.1199999</v>
      </c>
      <c r="F25" s="537">
        <f>E25/D25</f>
        <v>0.605936394912854</v>
      </c>
    </row>
    <row r="26" spans="1:8">
      <c r="A26" s="370" t="s">
        <v>277</v>
      </c>
      <c r="B26" s="371" t="s">
        <v>278</v>
      </c>
      <c r="C26" s="372">
        <v>280000000</v>
      </c>
      <c r="D26" s="520">
        <v>450000000</v>
      </c>
      <c r="E26" s="523">
        <v>292561562</v>
      </c>
    </row>
    <row r="27" spans="1:8">
      <c r="A27" s="370"/>
      <c r="B27" s="371" t="s">
        <v>358</v>
      </c>
      <c r="C27" s="372"/>
      <c r="D27" s="520">
        <v>830000000</v>
      </c>
      <c r="E27" s="238">
        <v>0</v>
      </c>
    </row>
    <row r="28" spans="1:8">
      <c r="A28" s="370"/>
      <c r="B28" s="369" t="s">
        <v>82</v>
      </c>
      <c r="C28" s="325"/>
      <c r="D28" s="325"/>
      <c r="E28" s="238"/>
    </row>
    <row r="29" spans="1:8">
      <c r="A29" s="370" t="s">
        <v>279</v>
      </c>
      <c r="B29" s="371" t="s">
        <v>83</v>
      </c>
      <c r="C29" s="372">
        <v>270000000</v>
      </c>
      <c r="D29" s="520">
        <v>370000000</v>
      </c>
      <c r="E29" s="523">
        <v>381780717.19999999</v>
      </c>
      <c r="F29" s="536">
        <f>E29/D29</f>
        <v>1.0318397762162161</v>
      </c>
    </row>
    <row r="30" spans="1:8">
      <c r="A30" s="370"/>
      <c r="B30" s="371" t="s">
        <v>359</v>
      </c>
      <c r="C30" s="372"/>
      <c r="D30" s="520">
        <v>100000000</v>
      </c>
      <c r="E30" s="238"/>
    </row>
    <row r="31" spans="1:8">
      <c r="A31" s="370" t="s">
        <v>280</v>
      </c>
      <c r="B31" s="371" t="s">
        <v>281</v>
      </c>
      <c r="C31" s="372">
        <v>700000</v>
      </c>
      <c r="D31" s="520">
        <v>2000000</v>
      </c>
      <c r="E31" s="523">
        <v>3053855</v>
      </c>
    </row>
    <row r="32" spans="1:8">
      <c r="A32" s="370" t="s">
        <v>282</v>
      </c>
      <c r="B32" s="371" t="s">
        <v>348</v>
      </c>
      <c r="C32" s="372">
        <v>520000000</v>
      </c>
      <c r="D32" s="520">
        <v>520000000</v>
      </c>
      <c r="E32" s="523">
        <v>502955696.68000001</v>
      </c>
    </row>
    <row r="33" spans="1:8">
      <c r="A33" s="376" t="s">
        <v>283</v>
      </c>
      <c r="B33" s="377" t="s">
        <v>284</v>
      </c>
      <c r="C33" s="378">
        <v>550000000</v>
      </c>
      <c r="D33" s="521">
        <v>1400000000</v>
      </c>
      <c r="E33" s="524">
        <v>1044646611.24</v>
      </c>
    </row>
    <row r="34" spans="1:8">
      <c r="A34" s="370"/>
      <c r="B34" s="379" t="s">
        <v>285</v>
      </c>
      <c r="C34" s="380"/>
      <c r="D34" s="380"/>
      <c r="E34" s="241"/>
    </row>
    <row r="35" spans="1:8">
      <c r="A35" s="370" t="s">
        <v>286</v>
      </c>
      <c r="B35" s="260" t="s">
        <v>287</v>
      </c>
      <c r="C35" s="242">
        <f>C36</f>
        <v>320000000</v>
      </c>
      <c r="D35" s="242">
        <f>D36+D37</f>
        <v>1420000000</v>
      </c>
      <c r="E35" s="240">
        <f>E36</f>
        <v>0</v>
      </c>
    </row>
    <row r="36" spans="1:8">
      <c r="A36" s="376" t="s">
        <v>288</v>
      </c>
      <c r="B36" s="381" t="s">
        <v>289</v>
      </c>
      <c r="C36" s="378">
        <v>320000000</v>
      </c>
      <c r="D36" s="521">
        <v>320000000</v>
      </c>
      <c r="E36" s="238"/>
    </row>
    <row r="37" spans="1:8" ht="22.5">
      <c r="A37" s="376" t="s">
        <v>360</v>
      </c>
      <c r="B37" s="381" t="s">
        <v>361</v>
      </c>
      <c r="C37" s="378"/>
      <c r="D37" s="521">
        <v>1100000000</v>
      </c>
      <c r="E37" s="238"/>
    </row>
    <row r="38" spans="1:8">
      <c r="A38" s="370" t="s">
        <v>290</v>
      </c>
      <c r="B38" s="260" t="s">
        <v>81</v>
      </c>
      <c r="C38" s="242">
        <f>SUM(C39:C41)</f>
        <v>346400000</v>
      </c>
      <c r="D38" s="242">
        <f>SUM(D39:D41)</f>
        <v>506400000</v>
      </c>
      <c r="E38" s="240">
        <f>E39+E40+E41</f>
        <v>110654835</v>
      </c>
      <c r="F38" s="537">
        <f>E38/D38</f>
        <v>0.21851270734597156</v>
      </c>
    </row>
    <row r="39" spans="1:8">
      <c r="A39" s="370" t="s">
        <v>291</v>
      </c>
      <c r="B39" s="381" t="s">
        <v>292</v>
      </c>
      <c r="C39" s="372">
        <v>340000000</v>
      </c>
      <c r="D39" s="520">
        <v>500000000</v>
      </c>
      <c r="E39" s="523">
        <v>101548484</v>
      </c>
    </row>
    <row r="40" spans="1:8">
      <c r="A40" s="370" t="s">
        <v>293</v>
      </c>
      <c r="B40" s="374" t="s">
        <v>294</v>
      </c>
      <c r="C40" s="378">
        <v>5000000</v>
      </c>
      <c r="D40" s="521">
        <v>5000000</v>
      </c>
      <c r="E40" s="525">
        <v>4628273</v>
      </c>
    </row>
    <row r="41" spans="1:8">
      <c r="A41" s="370" t="s">
        <v>295</v>
      </c>
      <c r="B41" s="371" t="s">
        <v>81</v>
      </c>
      <c r="C41" s="372">
        <v>1400000</v>
      </c>
      <c r="D41" s="520">
        <v>1400000</v>
      </c>
      <c r="E41" s="523">
        <v>4478078</v>
      </c>
    </row>
    <row r="42" spans="1:8">
      <c r="A42" s="382" t="s">
        <v>296</v>
      </c>
      <c r="B42" s="383" t="s">
        <v>84</v>
      </c>
      <c r="C42" s="384">
        <f>+C43+C46+C49+C58+C62+C63</f>
        <v>279600000</v>
      </c>
      <c r="D42" s="384">
        <f>+D43+D46+D49+D58+D62+D63</f>
        <v>12600000</v>
      </c>
      <c r="E42" s="243">
        <f>+E43+E46+E49+E63+E58+E62</f>
        <v>4238182.3899999997</v>
      </c>
      <c r="F42" s="537">
        <f>E42/D42</f>
        <v>0.33636368174603171</v>
      </c>
    </row>
    <row r="43" spans="1:8">
      <c r="A43" s="385"/>
      <c r="B43" s="386" t="s">
        <v>85</v>
      </c>
      <c r="C43" s="244">
        <f>SUM(C44:C45)</f>
        <v>0</v>
      </c>
      <c r="D43" s="244"/>
      <c r="E43" s="244">
        <f>SUM(E44:E45)</f>
        <v>0</v>
      </c>
    </row>
    <row r="44" spans="1:8">
      <c r="A44" s="385"/>
      <c r="B44" s="369" t="s">
        <v>86</v>
      </c>
      <c r="C44" s="238">
        <v>0</v>
      </c>
      <c r="D44" s="238"/>
      <c r="E44" s="238"/>
    </row>
    <row r="45" spans="1:8">
      <c r="A45" s="370"/>
      <c r="B45" s="369" t="s">
        <v>87</v>
      </c>
      <c r="C45" s="238">
        <v>0</v>
      </c>
      <c r="D45" s="238"/>
      <c r="E45" s="238"/>
    </row>
    <row r="46" spans="1:8">
      <c r="A46" s="385"/>
      <c r="B46" s="386" t="s">
        <v>88</v>
      </c>
      <c r="C46" s="244">
        <f>SUM(C47:C48)</f>
        <v>0</v>
      </c>
      <c r="D46" s="244"/>
      <c r="E46" s="244">
        <f>SUM(E47:E48)</f>
        <v>0</v>
      </c>
    </row>
    <row r="47" spans="1:8">
      <c r="A47" s="385"/>
      <c r="B47" s="369" t="s">
        <v>86</v>
      </c>
      <c r="C47" s="238">
        <v>0</v>
      </c>
      <c r="D47" s="238"/>
      <c r="E47" s="238"/>
    </row>
    <row r="48" spans="1:8">
      <c r="A48" s="370"/>
      <c r="B48" s="369" t="s">
        <v>87</v>
      </c>
      <c r="C48" s="238">
        <v>0</v>
      </c>
      <c r="D48" s="238"/>
      <c r="E48" s="238"/>
      <c r="H48" s="274"/>
    </row>
    <row r="49" spans="1:9">
      <c r="A49" s="387" t="s">
        <v>297</v>
      </c>
      <c r="B49" s="388" t="s">
        <v>89</v>
      </c>
      <c r="C49" s="389">
        <v>279600000</v>
      </c>
      <c r="D49" s="389">
        <f>SUM(D50:D55)</f>
        <v>12600000</v>
      </c>
      <c r="E49" s="389">
        <f>SUM(E50:E55)</f>
        <v>4238182.3899999997</v>
      </c>
      <c r="H49" s="329"/>
      <c r="I49" s="330"/>
    </row>
    <row r="50" spans="1:9">
      <c r="A50" s="390"/>
      <c r="B50" s="391" t="s">
        <v>362</v>
      </c>
      <c r="C50" s="392"/>
      <c r="D50" s="522">
        <v>3000000</v>
      </c>
      <c r="E50" s="526">
        <v>90522.09</v>
      </c>
      <c r="G50" s="274"/>
      <c r="H50" s="330"/>
      <c r="I50" s="330"/>
    </row>
    <row r="51" spans="1:9">
      <c r="A51" s="390"/>
      <c r="B51" s="391" t="s">
        <v>392</v>
      </c>
      <c r="C51" s="392"/>
      <c r="D51" s="522">
        <v>2000000</v>
      </c>
      <c r="E51" s="526">
        <v>25073.84</v>
      </c>
      <c r="H51" s="329"/>
      <c r="I51" s="329"/>
    </row>
    <row r="52" spans="1:9" ht="22.5">
      <c r="A52" s="390"/>
      <c r="B52" s="412" t="s">
        <v>363</v>
      </c>
      <c r="C52" s="392"/>
      <c r="D52" s="522">
        <v>1600000</v>
      </c>
      <c r="E52" s="526">
        <v>334225.62</v>
      </c>
      <c r="G52" s="274"/>
      <c r="H52" s="330"/>
      <c r="I52" s="329"/>
    </row>
    <row r="53" spans="1:9">
      <c r="A53" s="390"/>
      <c r="B53" s="412" t="s">
        <v>367</v>
      </c>
      <c r="C53" s="392"/>
      <c r="D53" s="522"/>
      <c r="E53" s="526">
        <v>1458722.54</v>
      </c>
      <c r="G53" s="274"/>
      <c r="H53" s="330"/>
      <c r="I53" s="329"/>
    </row>
    <row r="54" spans="1:9">
      <c r="A54" s="390"/>
      <c r="B54" s="391" t="s">
        <v>368</v>
      </c>
      <c r="C54" s="392"/>
      <c r="D54" s="522">
        <v>3000000</v>
      </c>
      <c r="E54" s="526">
        <v>2105125</v>
      </c>
      <c r="G54" s="274"/>
      <c r="H54" s="330"/>
      <c r="I54" s="329"/>
    </row>
    <row r="55" spans="1:9">
      <c r="A55" s="390"/>
      <c r="B55" s="391" t="s">
        <v>369</v>
      </c>
      <c r="C55" s="392"/>
      <c r="D55" s="522">
        <v>3000000</v>
      </c>
      <c r="E55" s="526">
        <v>224513.3</v>
      </c>
      <c r="H55" s="329"/>
      <c r="I55" s="330"/>
    </row>
    <row r="56" spans="1:9">
      <c r="A56" s="393" t="s">
        <v>298</v>
      </c>
      <c r="B56" s="386" t="s">
        <v>90</v>
      </c>
      <c r="C56" s="244">
        <f>C57+C58+C59+C60+C61+C532+C62</f>
        <v>0</v>
      </c>
      <c r="D56" s="244">
        <f>D57+D58+D59+D60+D61+D532+D62</f>
        <v>0</v>
      </c>
      <c r="E56" s="244">
        <f>E57+E58+E59+E60+E61+E532+E62</f>
        <v>0</v>
      </c>
      <c r="H56" s="329"/>
      <c r="I56" s="330"/>
    </row>
    <row r="57" spans="1:9">
      <c r="A57" s="385"/>
      <c r="B57" s="369" t="s">
        <v>91</v>
      </c>
      <c r="C57" s="245">
        <v>0</v>
      </c>
      <c r="D57" s="245"/>
      <c r="E57" s="245"/>
      <c r="G57" s="274"/>
      <c r="H57" s="329"/>
      <c r="I57" s="329"/>
    </row>
    <row r="58" spans="1:9">
      <c r="A58" s="385"/>
      <c r="B58" s="369" t="s">
        <v>92</v>
      </c>
      <c r="C58" s="245"/>
      <c r="D58" s="245"/>
      <c r="E58" s="245"/>
      <c r="G58" s="274"/>
    </row>
    <row r="59" spans="1:9">
      <c r="A59" s="385"/>
      <c r="B59" s="369" t="s">
        <v>93</v>
      </c>
      <c r="C59" s="245">
        <v>0</v>
      </c>
      <c r="D59" s="245"/>
      <c r="E59" s="245"/>
      <c r="G59" s="274"/>
    </row>
    <row r="60" spans="1:9">
      <c r="A60" s="385"/>
      <c r="B60" s="369" t="s">
        <v>94</v>
      </c>
      <c r="C60" s="245"/>
      <c r="D60" s="245"/>
      <c r="E60" s="245"/>
    </row>
    <row r="61" spans="1:9">
      <c r="A61" s="370"/>
      <c r="B61" s="369" t="s">
        <v>95</v>
      </c>
      <c r="C61" s="245">
        <v>0</v>
      </c>
      <c r="D61" s="245"/>
      <c r="E61" s="245"/>
    </row>
    <row r="62" spans="1:9">
      <c r="A62" s="394" t="s">
        <v>298</v>
      </c>
      <c r="B62" s="395" t="s">
        <v>299</v>
      </c>
      <c r="C62" s="396">
        <v>0</v>
      </c>
      <c r="D62" s="396">
        <v>0</v>
      </c>
      <c r="E62" s="396">
        <v>0</v>
      </c>
    </row>
    <row r="63" spans="1:9">
      <c r="A63" s="397"/>
      <c r="B63" s="386" t="s">
        <v>96</v>
      </c>
      <c r="C63" s="398">
        <v>0</v>
      </c>
      <c r="D63" s="398"/>
      <c r="E63" s="398"/>
    </row>
    <row r="64" spans="1:9">
      <c r="A64" s="399" t="s">
        <v>300</v>
      </c>
      <c r="B64" s="400" t="s">
        <v>301</v>
      </c>
      <c r="C64" s="361">
        <f>SUM(C65:C68)</f>
        <v>10160000000</v>
      </c>
      <c r="D64" s="361">
        <f>SUM(D65:D68)</f>
        <v>5651441279</v>
      </c>
      <c r="E64" s="361">
        <f>SUM(E65:E68)</f>
        <v>1688654317.55</v>
      </c>
      <c r="F64" s="537">
        <f>E64/D64</f>
        <v>0.29880064822133312</v>
      </c>
    </row>
    <row r="65" spans="1:10">
      <c r="A65" s="247" t="s">
        <v>302</v>
      </c>
      <c r="B65" s="401" t="s">
        <v>97</v>
      </c>
      <c r="C65" s="372">
        <v>2800000000</v>
      </c>
      <c r="D65" s="520">
        <v>3329833000</v>
      </c>
      <c r="E65" s="402">
        <v>1688654317.55</v>
      </c>
    </row>
    <row r="66" spans="1:10">
      <c r="A66" s="247"/>
      <c r="B66" s="248" t="s">
        <v>303</v>
      </c>
      <c r="C66" s="246">
        <v>320000000</v>
      </c>
      <c r="D66" s="246"/>
      <c r="E66" s="246"/>
      <c r="G66" s="288"/>
      <c r="H66" s="415" t="s">
        <v>372</v>
      </c>
      <c r="I66" s="415" t="s">
        <v>370</v>
      </c>
      <c r="J66" s="416" t="s">
        <v>178</v>
      </c>
    </row>
    <row r="67" spans="1:10">
      <c r="A67" s="247"/>
      <c r="B67" s="248" t="s">
        <v>304</v>
      </c>
      <c r="C67" s="403">
        <v>1340000000</v>
      </c>
      <c r="D67" s="403">
        <f>1488822644+832785635</f>
        <v>2321608279</v>
      </c>
      <c r="E67" s="246"/>
      <c r="G67" s="288" t="str">
        <f>B9</f>
        <v>Ingresos Corrientes</v>
      </c>
      <c r="H67" s="413">
        <f>D9</f>
        <v>11972165000</v>
      </c>
      <c r="I67" s="413">
        <f>E9</f>
        <v>6012051730.6800003</v>
      </c>
      <c r="J67" s="414">
        <f>I67/H67</f>
        <v>0.50216913404384256</v>
      </c>
    </row>
    <row r="68" spans="1:10">
      <c r="A68" s="247"/>
      <c r="B68" s="248" t="s">
        <v>305</v>
      </c>
      <c r="C68" s="246">
        <v>5700000000</v>
      </c>
      <c r="D68" s="246"/>
      <c r="E68" s="404"/>
      <c r="G68" s="288" t="s">
        <v>371</v>
      </c>
      <c r="H68" s="413">
        <f>D42</f>
        <v>12600000</v>
      </c>
      <c r="I68" s="413">
        <f>E42</f>
        <v>4238182.3899999997</v>
      </c>
      <c r="J68" s="414">
        <f t="shared" ref="J68:J70" si="1">I68/H68</f>
        <v>0.33636368174603171</v>
      </c>
    </row>
    <row r="69" spans="1:10">
      <c r="A69" s="247"/>
      <c r="B69" s="248"/>
      <c r="C69" s="246"/>
      <c r="D69" s="246"/>
      <c r="E69" s="404"/>
      <c r="G69" s="288"/>
      <c r="H69" s="413"/>
      <c r="I69" s="413"/>
      <c r="J69" s="414"/>
    </row>
    <row r="70" spans="1:10">
      <c r="A70" s="358"/>
      <c r="B70" s="408" t="s">
        <v>306</v>
      </c>
      <c r="C70" s="361">
        <f>+C8+C64</f>
        <v>19306700000</v>
      </c>
      <c r="D70" s="361">
        <f>+D8+D64</f>
        <v>17636206279</v>
      </c>
      <c r="E70" s="361">
        <f>+E8+E64</f>
        <v>7704944230.6200008</v>
      </c>
      <c r="F70" s="537">
        <f>E70/D70</f>
        <v>0.43688217912230515</v>
      </c>
      <c r="G70" s="289" t="s">
        <v>376</v>
      </c>
      <c r="H70" s="413">
        <f>D64</f>
        <v>5651441279</v>
      </c>
      <c r="I70" s="413">
        <f>E65</f>
        <v>1688654317.55</v>
      </c>
      <c r="J70" s="414">
        <f t="shared" si="1"/>
        <v>0.29880064822133312</v>
      </c>
    </row>
    <row r="71" spans="1:10">
      <c r="A71" s="405"/>
      <c r="B71" s="406"/>
      <c r="C71" s="407"/>
      <c r="D71" s="407"/>
      <c r="E71" s="407"/>
      <c r="G71" s="288" t="s">
        <v>377</v>
      </c>
      <c r="H71" s="413">
        <f ca="1">SUM(H67:H71)</f>
        <v>17636206279</v>
      </c>
      <c r="I71" s="413">
        <f ca="1">SUM(I67:I71)</f>
        <v>7704944230.6200008</v>
      </c>
      <c r="J71" s="414">
        <f ca="1">I71/H71</f>
        <v>0.43688217912230515</v>
      </c>
    </row>
    <row r="76" spans="1:10">
      <c r="I76" s="275"/>
    </row>
  </sheetData>
  <mergeCells count="4">
    <mergeCell ref="A4:D4"/>
    <mergeCell ref="A5:D5"/>
    <mergeCell ref="A6:D6"/>
    <mergeCell ref="A3:D3"/>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topLeftCell="A16" zoomScale="110" zoomScaleNormal="110" zoomScaleSheetLayoutView="100" workbookViewId="0">
      <selection activeCell="H26" sqref="H26"/>
    </sheetView>
  </sheetViews>
  <sheetFormatPr baseColWidth="10" defaultRowHeight="12.75"/>
  <cols>
    <col min="1" max="1" width="46" style="7" customWidth="1"/>
    <col min="2" max="2" width="17" style="7" customWidth="1"/>
    <col min="3" max="3" width="15" style="7" customWidth="1"/>
    <col min="4" max="4" width="15.85546875" style="7" customWidth="1"/>
    <col min="5" max="5" width="15.42578125" style="7" customWidth="1"/>
    <col min="6" max="6" width="15" style="7" customWidth="1"/>
    <col min="7" max="8" width="15.7109375" style="7" customWidth="1"/>
    <col min="9" max="9" width="15" style="7" customWidth="1"/>
    <col min="10" max="10" width="15.85546875" style="7" customWidth="1"/>
    <col min="11" max="11" width="11.42578125" style="7"/>
    <col min="12" max="12" width="20.7109375" style="7" customWidth="1"/>
    <col min="13" max="13" width="20.5703125" style="7" customWidth="1"/>
    <col min="14" max="14" width="22.28515625" style="7" customWidth="1"/>
    <col min="15" max="15" width="21" style="7" customWidth="1"/>
    <col min="16" max="16" width="17.5703125" style="7" bestFit="1" customWidth="1"/>
    <col min="17" max="17" width="11.42578125" style="7"/>
    <col min="18" max="18" width="15.7109375" style="7" customWidth="1"/>
    <col min="19" max="19" width="20" style="7" customWidth="1"/>
    <col min="20" max="21" width="18.85546875" style="7" customWidth="1"/>
    <col min="22" max="16384" width="11.42578125" style="7"/>
  </cols>
  <sheetData>
    <row r="1" spans="1:14" ht="130.5" customHeight="1">
      <c r="A1" s="698"/>
      <c r="B1" s="698"/>
      <c r="C1" s="698"/>
      <c r="D1" s="698"/>
      <c r="E1" s="698"/>
      <c r="F1" s="698"/>
      <c r="G1" s="698"/>
      <c r="H1" s="698"/>
      <c r="I1" s="698"/>
      <c r="J1" s="15"/>
    </row>
    <row r="2" spans="1:14" ht="15.75" thickBot="1">
      <c r="A2" s="699" t="s">
        <v>307</v>
      </c>
      <c r="B2" s="699"/>
      <c r="C2" s="699"/>
      <c r="D2" s="699"/>
      <c r="E2" s="699"/>
      <c r="F2" s="699"/>
      <c r="G2" s="699"/>
      <c r="H2" s="699"/>
      <c r="I2" s="699"/>
      <c r="J2" s="2"/>
      <c r="L2" s="276"/>
    </row>
    <row r="3" spans="1:14" ht="13.5" thickBot="1">
      <c r="A3" s="700" t="s">
        <v>308</v>
      </c>
      <c r="B3" s="701"/>
      <c r="C3" s="701"/>
      <c r="D3" s="701"/>
      <c r="E3" s="701"/>
      <c r="F3" s="701"/>
      <c r="G3" s="701"/>
      <c r="H3" s="701"/>
      <c r="I3" s="701"/>
      <c r="J3" s="702"/>
      <c r="L3" s="276"/>
    </row>
    <row r="4" spans="1:14" ht="13.5" thickBot="1">
      <c r="A4" s="700" t="s">
        <v>309</v>
      </c>
      <c r="B4" s="701"/>
      <c r="C4" s="701"/>
      <c r="D4" s="701"/>
      <c r="E4" s="701"/>
      <c r="F4" s="701"/>
      <c r="G4" s="701"/>
      <c r="H4" s="701"/>
      <c r="I4" s="701"/>
      <c r="J4" s="702"/>
      <c r="L4" s="276"/>
      <c r="N4" s="276"/>
    </row>
    <row r="5" spans="1:14" ht="15.75" thickBot="1">
      <c r="A5" s="249" t="s">
        <v>356</v>
      </c>
      <c r="B5" s="250"/>
      <c r="C5" s="251"/>
      <c r="D5" s="251"/>
      <c r="E5" s="701" t="s">
        <v>380</v>
      </c>
      <c r="F5" s="701"/>
      <c r="G5" s="701"/>
      <c r="H5" s="250"/>
      <c r="I5" s="250"/>
      <c r="J5" s="1"/>
      <c r="L5" s="276"/>
      <c r="N5" s="276"/>
    </row>
    <row r="6" spans="1:14" ht="26.25" customHeight="1" thickBot="1">
      <c r="A6" s="703" t="s">
        <v>98</v>
      </c>
      <c r="B6" s="695" t="s">
        <v>99</v>
      </c>
      <c r="C6" s="696"/>
      <c r="D6" s="697"/>
      <c r="E6" s="695" t="s">
        <v>352</v>
      </c>
      <c r="F6" s="696"/>
      <c r="G6" s="697"/>
      <c r="H6" s="695" t="s">
        <v>310</v>
      </c>
      <c r="I6" s="696"/>
      <c r="J6" s="697"/>
      <c r="N6" s="276"/>
    </row>
    <row r="7" spans="1:14" ht="13.5" thickBot="1">
      <c r="A7" s="704"/>
      <c r="B7" s="252" t="s">
        <v>311</v>
      </c>
      <c r="C7" s="253" t="s">
        <v>312</v>
      </c>
      <c r="D7" s="254" t="s">
        <v>338</v>
      </c>
      <c r="E7" s="252" t="s">
        <v>311</v>
      </c>
      <c r="F7" s="253" t="s">
        <v>312</v>
      </c>
      <c r="G7" s="254" t="s">
        <v>338</v>
      </c>
      <c r="H7" s="252" t="s">
        <v>311</v>
      </c>
      <c r="I7" s="253" t="s">
        <v>312</v>
      </c>
      <c r="J7" s="255" t="s">
        <v>338</v>
      </c>
      <c r="N7" s="276"/>
    </row>
    <row r="8" spans="1:14" ht="13.5" thickBot="1">
      <c r="A8" s="256" t="s">
        <v>100</v>
      </c>
      <c r="B8" s="538">
        <f>1527364314+21275208</f>
        <v>1548639522</v>
      </c>
      <c r="C8" s="539">
        <v>340696742</v>
      </c>
      <c r="D8" s="417">
        <v>245068026</v>
      </c>
      <c r="E8" s="417">
        <v>3002039000</v>
      </c>
      <c r="F8" s="418">
        <v>1689471524</v>
      </c>
      <c r="G8" s="419">
        <v>1671797324</v>
      </c>
      <c r="H8" s="426">
        <f t="shared" ref="H8:H24" si="0">+B8+E8</f>
        <v>4550678522</v>
      </c>
      <c r="I8" s="426">
        <f t="shared" ref="I8:I24" si="1">+C8+F8</f>
        <v>2030168266</v>
      </c>
      <c r="J8" s="426">
        <f t="shared" ref="J8:J24" si="2">+D8+G8</f>
        <v>1916865350</v>
      </c>
      <c r="N8" s="276"/>
    </row>
    <row r="9" spans="1:14" ht="13.5" thickBot="1">
      <c r="A9" s="257" t="s">
        <v>101</v>
      </c>
      <c r="B9" s="422">
        <f>B10+B11</f>
        <v>2994139775</v>
      </c>
      <c r="C9" s="423">
        <f>C10+C11</f>
        <v>1171469433.71</v>
      </c>
      <c r="D9" s="486">
        <f>D10+D11</f>
        <v>846341040.12</v>
      </c>
      <c r="E9" s="487">
        <f>SUM(E10:E11)</f>
        <v>327794000</v>
      </c>
      <c r="F9" s="488">
        <f>F10+F11</f>
        <v>105350600</v>
      </c>
      <c r="G9" s="488">
        <f t="shared" ref="G9" si="3">G10+G11</f>
        <v>86750600</v>
      </c>
      <c r="H9" s="423">
        <f t="shared" si="0"/>
        <v>3321933775</v>
      </c>
      <c r="I9" s="427">
        <f t="shared" si="1"/>
        <v>1276820033.71</v>
      </c>
      <c r="J9" s="426">
        <f t="shared" si="2"/>
        <v>933091640.12</v>
      </c>
    </row>
    <row r="10" spans="1:14">
      <c r="A10" s="258" t="s">
        <v>313</v>
      </c>
      <c r="B10" s="533">
        <f>2956060323+1091356</f>
        <v>2957151679</v>
      </c>
      <c r="C10" s="540">
        <v>1169362457.71</v>
      </c>
      <c r="D10" s="485">
        <v>844234064.12</v>
      </c>
      <c r="E10" s="420">
        <v>299066000</v>
      </c>
      <c r="F10" s="421">
        <v>105350600</v>
      </c>
      <c r="G10" s="421">
        <v>86750600</v>
      </c>
      <c r="H10" s="269">
        <f t="shared" si="0"/>
        <v>3256217679</v>
      </c>
      <c r="I10" s="269">
        <f t="shared" si="1"/>
        <v>1274713057.71</v>
      </c>
      <c r="J10" s="269">
        <f t="shared" si="2"/>
        <v>930984664.12</v>
      </c>
    </row>
    <row r="11" spans="1:14" ht="13.5" thickBot="1">
      <c r="A11" s="259" t="s">
        <v>102</v>
      </c>
      <c r="B11" s="541">
        <f>64109000-27120904</f>
        <v>36988096</v>
      </c>
      <c r="C11" s="421">
        <v>2106976</v>
      </c>
      <c r="D11" s="542">
        <v>2106976</v>
      </c>
      <c r="E11" s="420">
        <v>28728000</v>
      </c>
      <c r="F11" s="421">
        <v>0</v>
      </c>
      <c r="G11" s="421"/>
      <c r="H11" s="273">
        <f t="shared" si="0"/>
        <v>65716096</v>
      </c>
      <c r="I11" s="273">
        <f t="shared" si="1"/>
        <v>2106976</v>
      </c>
      <c r="J11" s="273">
        <f t="shared" si="2"/>
        <v>2106976</v>
      </c>
    </row>
    <row r="12" spans="1:14" ht="13.5" thickBot="1">
      <c r="A12" s="260" t="s">
        <v>103</v>
      </c>
      <c r="B12" s="423">
        <f>+B13+B16+B19</f>
        <v>1016094340</v>
      </c>
      <c r="C12" s="423">
        <f>+C13+C16</f>
        <v>476818616</v>
      </c>
      <c r="D12" s="489">
        <f>+D13+D16</f>
        <v>476818616</v>
      </c>
      <c r="E12" s="490">
        <f>+E13+E16+E19</f>
        <v>0</v>
      </c>
      <c r="F12" s="424">
        <f>+F13+F16+F19</f>
        <v>0</v>
      </c>
      <c r="G12" s="424">
        <f t="shared" ref="G12" si="4">+G13+G16+G19</f>
        <v>0</v>
      </c>
      <c r="H12" s="424">
        <f t="shared" si="0"/>
        <v>1016094340</v>
      </c>
      <c r="I12" s="424">
        <f t="shared" si="1"/>
        <v>476818616</v>
      </c>
      <c r="J12" s="426">
        <f t="shared" si="2"/>
        <v>476818616</v>
      </c>
    </row>
    <row r="13" spans="1:14" ht="13.5" thickBot="1">
      <c r="A13" s="261" t="s">
        <v>104</v>
      </c>
      <c r="B13" s="424">
        <f>SUM(B14:B15)</f>
        <v>979340000</v>
      </c>
      <c r="C13" s="424">
        <f>SUM(C14+C15)</f>
        <v>476818616</v>
      </c>
      <c r="D13" s="489">
        <f>SUM(D14+D15)</f>
        <v>476818616</v>
      </c>
      <c r="E13" s="491">
        <f>SUM(E14:E15)</f>
        <v>0</v>
      </c>
      <c r="F13" s="424">
        <f>SUM(F14:F15)</f>
        <v>0</v>
      </c>
      <c r="G13" s="424">
        <f t="shared" ref="G13" si="5">SUM(G14:G15)</f>
        <v>0</v>
      </c>
      <c r="H13" s="424">
        <f t="shared" si="0"/>
        <v>979340000</v>
      </c>
      <c r="I13" s="428">
        <f t="shared" si="1"/>
        <v>476818616</v>
      </c>
      <c r="J13" s="426">
        <f t="shared" si="2"/>
        <v>476818616</v>
      </c>
    </row>
    <row r="14" spans="1:14" ht="13.5" thickBot="1">
      <c r="A14" s="258" t="s">
        <v>106</v>
      </c>
      <c r="B14" s="543">
        <v>979340000</v>
      </c>
      <c r="C14" s="421">
        <v>476818616</v>
      </c>
      <c r="D14" s="485">
        <v>476818616</v>
      </c>
      <c r="E14" s="420"/>
      <c r="F14" s="421">
        <v>0</v>
      </c>
      <c r="G14" s="421"/>
      <c r="H14" s="269">
        <f t="shared" si="0"/>
        <v>979340000</v>
      </c>
      <c r="I14" s="269">
        <f t="shared" si="1"/>
        <v>476818616</v>
      </c>
      <c r="J14" s="269">
        <f t="shared" si="2"/>
        <v>476818616</v>
      </c>
    </row>
    <row r="15" spans="1:14" ht="13.5" thickBot="1">
      <c r="A15" s="258" t="s">
        <v>314</v>
      </c>
      <c r="B15" s="421">
        <v>0</v>
      </c>
      <c r="C15" s="492">
        <v>0</v>
      </c>
      <c r="D15" s="493"/>
      <c r="E15" s="420">
        <v>0</v>
      </c>
      <c r="F15" s="421">
        <v>0</v>
      </c>
      <c r="G15" s="421"/>
      <c r="H15" s="269">
        <f t="shared" si="0"/>
        <v>0</v>
      </c>
      <c r="I15" s="429">
        <f t="shared" si="1"/>
        <v>0</v>
      </c>
      <c r="J15" s="426">
        <f t="shared" si="2"/>
        <v>0</v>
      </c>
    </row>
    <row r="16" spans="1:14" ht="13.5" thickBot="1">
      <c r="A16" s="261" t="s">
        <v>107</v>
      </c>
      <c r="B16" s="424">
        <f>SUM(B17:B18)</f>
        <v>0</v>
      </c>
      <c r="C16" s="424">
        <f>SUM(C17:C18)</f>
        <v>0</v>
      </c>
      <c r="D16" s="489"/>
      <c r="E16" s="491">
        <f>SUM(E17:E18)</f>
        <v>0</v>
      </c>
      <c r="F16" s="424">
        <f>SUM(F17:F18)</f>
        <v>0</v>
      </c>
      <c r="G16" s="424"/>
      <c r="H16" s="269">
        <f t="shared" si="0"/>
        <v>0</v>
      </c>
      <c r="I16" s="428">
        <f t="shared" si="1"/>
        <v>0</v>
      </c>
      <c r="J16" s="426">
        <f t="shared" si="2"/>
        <v>0</v>
      </c>
    </row>
    <row r="17" spans="1:16" ht="13.5" thickBot="1">
      <c r="A17" s="258" t="s">
        <v>108</v>
      </c>
      <c r="B17" s="421">
        <v>0</v>
      </c>
      <c r="C17" s="421">
        <v>0</v>
      </c>
      <c r="D17" s="485"/>
      <c r="E17" s="420">
        <v>0</v>
      </c>
      <c r="F17" s="421">
        <v>0</v>
      </c>
      <c r="G17" s="421"/>
      <c r="H17" s="269">
        <f t="shared" si="0"/>
        <v>0</v>
      </c>
      <c r="I17" s="429">
        <f t="shared" si="1"/>
        <v>0</v>
      </c>
      <c r="J17" s="426">
        <f t="shared" si="2"/>
        <v>0</v>
      </c>
    </row>
    <row r="18" spans="1:16" ht="13.5" thickBot="1">
      <c r="A18" s="258" t="s">
        <v>109</v>
      </c>
      <c r="B18" s="421">
        <v>0</v>
      </c>
      <c r="C18" s="421">
        <v>0</v>
      </c>
      <c r="D18" s="485"/>
      <c r="E18" s="420">
        <v>0</v>
      </c>
      <c r="F18" s="421">
        <v>0</v>
      </c>
      <c r="G18" s="421"/>
      <c r="H18" s="269">
        <f t="shared" si="0"/>
        <v>0</v>
      </c>
      <c r="I18" s="429">
        <f t="shared" si="1"/>
        <v>0</v>
      </c>
      <c r="J18" s="426">
        <f t="shared" si="2"/>
        <v>0</v>
      </c>
    </row>
    <row r="19" spans="1:16" ht="13.5" thickBot="1">
      <c r="A19" s="261" t="s">
        <v>110</v>
      </c>
      <c r="B19" s="424">
        <f>B20+B22+B23</f>
        <v>36754340</v>
      </c>
      <c r="C19" s="424">
        <f>+C20+C22+C23</f>
        <v>19754340</v>
      </c>
      <c r="D19" s="489">
        <f>+D20+D22+D23</f>
        <v>19754340</v>
      </c>
      <c r="E19" s="491">
        <f>+E20+E23</f>
        <v>0</v>
      </c>
      <c r="F19" s="424">
        <f>+F20+F23</f>
        <v>0</v>
      </c>
      <c r="G19" s="424">
        <f>+G20+G23</f>
        <v>0</v>
      </c>
      <c r="H19" s="424">
        <f t="shared" si="0"/>
        <v>36754340</v>
      </c>
      <c r="I19" s="424">
        <f t="shared" si="1"/>
        <v>19754340</v>
      </c>
      <c r="J19" s="426">
        <f t="shared" si="2"/>
        <v>19754340</v>
      </c>
      <c r="M19" s="290"/>
      <c r="N19" s="290" t="s">
        <v>97</v>
      </c>
      <c r="O19" s="290" t="s">
        <v>339</v>
      </c>
      <c r="P19" s="290" t="s">
        <v>5</v>
      </c>
    </row>
    <row r="20" spans="1:16" ht="13.5" thickBot="1">
      <c r="A20" s="261" t="s">
        <v>111</v>
      </c>
      <c r="B20" s="424">
        <f>B21</f>
        <v>0</v>
      </c>
      <c r="C20" s="424">
        <f>+C21</f>
        <v>0</v>
      </c>
      <c r="D20" s="424">
        <f>+D21</f>
        <v>0</v>
      </c>
      <c r="E20" s="491">
        <f>+E21</f>
        <v>0</v>
      </c>
      <c r="F20" s="424">
        <f>+F21</f>
        <v>0</v>
      </c>
      <c r="G20" s="424">
        <f>+G21</f>
        <v>0</v>
      </c>
      <c r="H20" s="424">
        <f t="shared" si="0"/>
        <v>0</v>
      </c>
      <c r="I20" s="428">
        <f t="shared" si="1"/>
        <v>0</v>
      </c>
      <c r="J20" s="426">
        <f t="shared" si="2"/>
        <v>0</v>
      </c>
      <c r="M20" s="290" t="str">
        <f>H7</f>
        <v>PRESUPUESTADO</v>
      </c>
      <c r="N20" s="291">
        <f>H24</f>
        <v>8888706637</v>
      </c>
      <c r="O20" s="291">
        <f>H26</f>
        <v>8667499642</v>
      </c>
      <c r="P20" s="291">
        <f>N20+O20</f>
        <v>17556206279</v>
      </c>
    </row>
    <row r="21" spans="1:16" ht="13.5" thickBot="1">
      <c r="A21" s="258" t="s">
        <v>112</v>
      </c>
      <c r="B21" s="421"/>
      <c r="C21" s="421"/>
      <c r="D21" s="485"/>
      <c r="E21" s="420"/>
      <c r="F21" s="421"/>
      <c r="G21" s="421"/>
      <c r="H21" s="269">
        <f t="shared" si="0"/>
        <v>0</v>
      </c>
      <c r="I21" s="269">
        <f t="shared" si="1"/>
        <v>0</v>
      </c>
      <c r="J21" s="426">
        <f t="shared" si="2"/>
        <v>0</v>
      </c>
      <c r="M21" s="290" t="str">
        <f>I7</f>
        <v>COMPROMETIDO</v>
      </c>
      <c r="N21" s="291">
        <f>I24</f>
        <v>3803561255.71</v>
      </c>
      <c r="O21" s="291">
        <f>I26</f>
        <v>4113204783.6500001</v>
      </c>
      <c r="P21" s="291">
        <f t="shared" ref="P21:P22" si="6">N21+O21</f>
        <v>7916766039.3600006</v>
      </c>
    </row>
    <row r="22" spans="1:16">
      <c r="A22" s="258" t="s">
        <v>105</v>
      </c>
      <c r="B22" s="421">
        <v>17000000</v>
      </c>
      <c r="C22" s="421"/>
      <c r="D22" s="485"/>
      <c r="E22" s="494">
        <v>0</v>
      </c>
      <c r="F22" s="421">
        <v>0</v>
      </c>
      <c r="G22" s="421"/>
      <c r="H22" s="269">
        <f t="shared" si="0"/>
        <v>17000000</v>
      </c>
      <c r="I22" s="269">
        <f t="shared" si="1"/>
        <v>0</v>
      </c>
      <c r="J22" s="269">
        <f t="shared" si="2"/>
        <v>0</v>
      </c>
      <c r="M22" s="290" t="str">
        <f>J7</f>
        <v>PAGOS</v>
      </c>
      <c r="N22" s="291">
        <f>J24</f>
        <v>3346529946.1199999</v>
      </c>
      <c r="O22" s="291">
        <f>J26</f>
        <v>2846343126</v>
      </c>
      <c r="P22" s="291">
        <f t="shared" si="6"/>
        <v>6192873072.1199999</v>
      </c>
    </row>
    <row r="23" spans="1:16" ht="13.5" thickBot="1">
      <c r="A23" s="262" t="s">
        <v>337</v>
      </c>
      <c r="B23" s="425">
        <f>15000000+4754340</f>
        <v>19754340</v>
      </c>
      <c r="C23" s="425">
        <v>19754340</v>
      </c>
      <c r="D23" s="495">
        <v>19754340</v>
      </c>
      <c r="E23" s="496">
        <v>0</v>
      </c>
      <c r="F23" s="497">
        <v>0</v>
      </c>
      <c r="G23" s="425"/>
      <c r="H23" s="430">
        <f t="shared" si="0"/>
        <v>19754340</v>
      </c>
      <c r="I23" s="430">
        <f t="shared" si="1"/>
        <v>19754340</v>
      </c>
      <c r="J23" s="430">
        <f t="shared" si="2"/>
        <v>19754340</v>
      </c>
      <c r="K23" s="7" t="s">
        <v>340</v>
      </c>
      <c r="L23" s="7" t="s">
        <v>341</v>
      </c>
    </row>
    <row r="24" spans="1:16" ht="13.5" thickBot="1">
      <c r="A24" s="326" t="s">
        <v>113</v>
      </c>
      <c r="B24" s="431">
        <f>B8+B9+B12</f>
        <v>5558873637</v>
      </c>
      <c r="C24" s="431">
        <f>+C8+C9+C12+C19</f>
        <v>2008739131.71</v>
      </c>
      <c r="D24" s="498">
        <f>+D8+D9+D12+D19</f>
        <v>1587982022.1199999</v>
      </c>
      <c r="E24" s="484">
        <f>+E8+E9+E12</f>
        <v>3329833000</v>
      </c>
      <c r="F24" s="499">
        <f>F8+F9+F12</f>
        <v>1794822124</v>
      </c>
      <c r="G24" s="499">
        <f>G8+G9+G12</f>
        <v>1758547924</v>
      </c>
      <c r="H24" s="431">
        <f t="shared" si="0"/>
        <v>8888706637</v>
      </c>
      <c r="I24" s="431">
        <f t="shared" si="1"/>
        <v>3803561255.71</v>
      </c>
      <c r="J24" s="431">
        <f t="shared" si="2"/>
        <v>3346529946.1199999</v>
      </c>
      <c r="K24" s="287">
        <f>I24/H24</f>
        <v>0.42790941483852685</v>
      </c>
      <c r="L24" s="287">
        <f>J24/I24</f>
        <v>0.87984121225761946</v>
      </c>
    </row>
    <row r="25" spans="1:16" ht="13.5" thickBot="1">
      <c r="A25" s="263"/>
      <c r="B25" s="264"/>
      <c r="C25" s="264"/>
      <c r="D25" s="264"/>
      <c r="E25" s="264"/>
      <c r="F25" s="264"/>
      <c r="G25" s="264"/>
      <c r="H25" s="265"/>
      <c r="I25" s="265"/>
      <c r="J25" s="265"/>
    </row>
    <row r="26" spans="1:16" ht="13.5" thickBot="1">
      <c r="A26" s="500" t="s">
        <v>114</v>
      </c>
      <c r="B26" s="432">
        <f>B27+B31+B34+B38+B41+B44+B47</f>
        <v>6345891363</v>
      </c>
      <c r="C26" s="432">
        <f>C27+C31+C34+C38+C41+C44+C47</f>
        <v>3280601413.6500001</v>
      </c>
      <c r="D26" s="432">
        <f>D27+D31+D34+D38+D41+D44+D47</f>
        <v>2846343126</v>
      </c>
      <c r="E26" s="433">
        <f>E27+E31+E34+E38+E41+E44+E47+E48</f>
        <v>2321608279</v>
      </c>
      <c r="F26" s="434">
        <f>F27+F31+F34+F38+F41+F44+F47+F48</f>
        <v>832603370</v>
      </c>
      <c r="G26" s="432">
        <f>G27+G31+G34+G38+G41+G44+G47+G48</f>
        <v>0</v>
      </c>
      <c r="H26" s="432">
        <f t="shared" ref="H26:J27" si="7">+B26+E26</f>
        <v>8667499642</v>
      </c>
      <c r="I26" s="432">
        <f t="shared" si="7"/>
        <v>4113204783.6500001</v>
      </c>
      <c r="J26" s="432">
        <f t="shared" si="7"/>
        <v>2846343126</v>
      </c>
      <c r="K26" s="287">
        <f>I26/H26</f>
        <v>0.47455494127956954</v>
      </c>
      <c r="L26" s="287">
        <f>J26/I26</f>
        <v>0.69200131666534603</v>
      </c>
    </row>
    <row r="27" spans="1:16">
      <c r="A27" s="501" t="s">
        <v>315</v>
      </c>
      <c r="B27" s="435">
        <f>SUM(B28:B30)</f>
        <v>608677376</v>
      </c>
      <c r="C27" s="435">
        <f>SUM(C28:C30)</f>
        <v>277131009</v>
      </c>
      <c r="D27" s="436">
        <f>SUM(D28:D30)</f>
        <v>228960144</v>
      </c>
      <c r="E27" s="437">
        <f>SUM(E28:E29)</f>
        <v>0</v>
      </c>
      <c r="F27" s="438">
        <f>SUM(F28:F29)</f>
        <v>0</v>
      </c>
      <c r="G27" s="435">
        <f t="shared" ref="G27" si="8">SUM(G28:G29)</f>
        <v>0</v>
      </c>
      <c r="H27" s="439">
        <f t="shared" si="7"/>
        <v>608677376</v>
      </c>
      <c r="I27" s="439">
        <f t="shared" si="7"/>
        <v>277131009</v>
      </c>
      <c r="J27" s="439">
        <f t="shared" si="7"/>
        <v>228960144</v>
      </c>
    </row>
    <row r="28" spans="1:16" ht="21.75" customHeight="1">
      <c r="A28" s="502" t="s">
        <v>316</v>
      </c>
      <c r="B28" s="527">
        <f>293943139-10000000</f>
        <v>283943139</v>
      </c>
      <c r="C28" s="528">
        <v>108377510</v>
      </c>
      <c r="D28" s="529">
        <v>87951010</v>
      </c>
      <c r="E28" s="440"/>
      <c r="F28" s="441"/>
      <c r="G28" s="442"/>
      <c r="H28" s="443">
        <f>SUM(B28+E28)</f>
        <v>283943139</v>
      </c>
      <c r="I28" s="443">
        <f t="shared" ref="I28:J30" si="9">C28+F28</f>
        <v>108377510</v>
      </c>
      <c r="J28" s="443">
        <f t="shared" si="9"/>
        <v>87951010</v>
      </c>
      <c r="N28" s="276"/>
    </row>
    <row r="29" spans="1:16" ht="22.5">
      <c r="A29" s="503" t="s">
        <v>317</v>
      </c>
      <c r="B29" s="530">
        <v>164099217</v>
      </c>
      <c r="C29" s="531">
        <v>92560286</v>
      </c>
      <c r="D29" s="532">
        <v>64838121</v>
      </c>
      <c r="E29" s="445"/>
      <c r="F29" s="445"/>
      <c r="G29" s="446"/>
      <c r="H29" s="443">
        <f>SUM(B29+E29)</f>
        <v>164099217</v>
      </c>
      <c r="I29" s="443">
        <f t="shared" si="9"/>
        <v>92560286</v>
      </c>
      <c r="J29" s="443">
        <f t="shared" si="9"/>
        <v>64838121</v>
      </c>
    </row>
    <row r="30" spans="1:16">
      <c r="A30" s="504" t="s">
        <v>318</v>
      </c>
      <c r="B30" s="533">
        <v>160635020</v>
      </c>
      <c r="C30" s="446">
        <v>76193213</v>
      </c>
      <c r="D30" s="444">
        <v>76171013</v>
      </c>
      <c r="E30" s="445"/>
      <c r="F30" s="446"/>
      <c r="G30" s="446"/>
      <c r="H30" s="443">
        <f>SUM(B30+E30)</f>
        <v>160635020</v>
      </c>
      <c r="I30" s="443">
        <f t="shared" si="9"/>
        <v>76193213</v>
      </c>
      <c r="J30" s="443">
        <f t="shared" si="9"/>
        <v>76171013</v>
      </c>
    </row>
    <row r="31" spans="1:16">
      <c r="A31" s="505" t="s">
        <v>319</v>
      </c>
      <c r="B31" s="447">
        <f>SUM(B32:B33)</f>
        <v>1449997263</v>
      </c>
      <c r="C31" s="447">
        <f>SUM(C32:C33)</f>
        <v>930643017.64999998</v>
      </c>
      <c r="D31" s="448">
        <f>SUM(D32:D33)</f>
        <v>774276214</v>
      </c>
      <c r="E31" s="449">
        <f>SUM(E32:E33)</f>
        <v>0</v>
      </c>
      <c r="F31" s="447">
        <f>SUM(F32:F33)</f>
        <v>0</v>
      </c>
      <c r="G31" s="447">
        <f t="shared" ref="G31" si="10">SUM(G32:G33)</f>
        <v>0</v>
      </c>
      <c r="H31" s="450">
        <f>+B31+E31</f>
        <v>1449997263</v>
      </c>
      <c r="I31" s="450">
        <f>+C31+F31</f>
        <v>930643017.64999998</v>
      </c>
      <c r="J31" s="450">
        <f>+D31+G31</f>
        <v>774276214</v>
      </c>
    </row>
    <row r="32" spans="1:16" ht="22.5">
      <c r="A32" s="503" t="s">
        <v>320</v>
      </c>
      <c r="B32" s="530">
        <f>786650999+200000000</f>
        <v>986650999</v>
      </c>
      <c r="C32" s="451">
        <v>633349358.64999998</v>
      </c>
      <c r="D32" s="452">
        <v>498336155</v>
      </c>
      <c r="E32" s="445"/>
      <c r="F32" s="445"/>
      <c r="G32" s="446"/>
      <c r="H32" s="443">
        <f t="shared" ref="H32:J33" si="11">B32+E32</f>
        <v>986650999</v>
      </c>
      <c r="I32" s="443">
        <f t="shared" si="11"/>
        <v>633349358.64999998</v>
      </c>
      <c r="J32" s="443">
        <f t="shared" si="11"/>
        <v>498336155</v>
      </c>
      <c r="N32" s="276"/>
    </row>
    <row r="33" spans="1:14">
      <c r="A33" s="503" t="s">
        <v>321</v>
      </c>
      <c r="B33" s="446">
        <v>463346264</v>
      </c>
      <c r="C33" s="446">
        <v>297293659</v>
      </c>
      <c r="D33" s="444">
        <v>275940059</v>
      </c>
      <c r="E33" s="445"/>
      <c r="F33" s="446"/>
      <c r="G33" s="446"/>
      <c r="H33" s="443">
        <f t="shared" si="11"/>
        <v>463346264</v>
      </c>
      <c r="I33" s="443">
        <f t="shared" si="11"/>
        <v>297293659</v>
      </c>
      <c r="J33" s="443">
        <f t="shared" si="11"/>
        <v>275940059</v>
      </c>
    </row>
    <row r="34" spans="1:14" ht="22.5">
      <c r="A34" s="506" t="s">
        <v>322</v>
      </c>
      <c r="B34" s="454">
        <f>SUM(B35:B37)</f>
        <v>1492919537</v>
      </c>
      <c r="C34" s="455">
        <f>SUM(C35:C37)</f>
        <v>628696514</v>
      </c>
      <c r="D34" s="456">
        <f>SUM(D35:D37)</f>
        <v>573105484</v>
      </c>
      <c r="E34" s="456">
        <f>SUM(E35:E37)</f>
        <v>1488822644</v>
      </c>
      <c r="F34" s="456">
        <f>SUM(F35:F37)</f>
        <v>0</v>
      </c>
      <c r="G34" s="455">
        <f t="shared" ref="G34" si="12">SUM(G35:G36)</f>
        <v>0</v>
      </c>
      <c r="H34" s="457">
        <f>+B34+E34</f>
        <v>2981742181</v>
      </c>
      <c r="I34" s="457">
        <f>+C34+F34</f>
        <v>628696514</v>
      </c>
      <c r="J34" s="457">
        <f>+D34+G34</f>
        <v>573105484</v>
      </c>
    </row>
    <row r="35" spans="1:14" ht="22.5">
      <c r="A35" s="507" t="s">
        <v>323</v>
      </c>
      <c r="B35" s="530">
        <f>814108862-40000000</f>
        <v>774108862</v>
      </c>
      <c r="C35" s="453">
        <v>363103273</v>
      </c>
      <c r="D35" s="532">
        <v>335290308</v>
      </c>
      <c r="E35" s="458">
        <v>1488822644</v>
      </c>
      <c r="F35" s="458"/>
      <c r="G35" s="446"/>
      <c r="H35" s="459">
        <f t="shared" ref="H35:J37" si="13">B35+E35</f>
        <v>2262931506</v>
      </c>
      <c r="I35" s="459">
        <f t="shared" si="13"/>
        <v>363103273</v>
      </c>
      <c r="J35" s="459">
        <f t="shared" si="13"/>
        <v>335290308</v>
      </c>
    </row>
    <row r="36" spans="1:14">
      <c r="A36" s="508" t="s">
        <v>324</v>
      </c>
      <c r="B36" s="534">
        <f>701551405-16146001-40000000</f>
        <v>645405404</v>
      </c>
      <c r="C36" s="446">
        <v>223258172</v>
      </c>
      <c r="D36" s="444">
        <v>195488107</v>
      </c>
      <c r="E36" s="445"/>
      <c r="F36" s="446"/>
      <c r="G36" s="446"/>
      <c r="H36" s="459">
        <f t="shared" si="13"/>
        <v>645405404</v>
      </c>
      <c r="I36" s="459">
        <f t="shared" si="13"/>
        <v>223258172</v>
      </c>
      <c r="J36" s="459">
        <f t="shared" si="13"/>
        <v>195488107</v>
      </c>
    </row>
    <row r="37" spans="1:14">
      <c r="A37" s="507" t="s">
        <v>325</v>
      </c>
      <c r="B37" s="460">
        <f>57259270+16146001</f>
        <v>73405271</v>
      </c>
      <c r="C37" s="446">
        <v>42335069</v>
      </c>
      <c r="D37" s="444">
        <v>42327069</v>
      </c>
      <c r="E37" s="445"/>
      <c r="F37" s="445"/>
      <c r="G37" s="446"/>
      <c r="H37" s="459">
        <f t="shared" si="13"/>
        <v>73405271</v>
      </c>
      <c r="I37" s="459">
        <f t="shared" si="13"/>
        <v>42335069</v>
      </c>
      <c r="J37" s="459">
        <f t="shared" si="13"/>
        <v>42327069</v>
      </c>
    </row>
    <row r="38" spans="1:14">
      <c r="A38" s="506" t="s">
        <v>326</v>
      </c>
      <c r="B38" s="461">
        <f>SUM(B39:B40)</f>
        <v>805239070</v>
      </c>
      <c r="C38" s="447">
        <f>SUM(C39:C40)</f>
        <v>490345576</v>
      </c>
      <c r="D38" s="447">
        <f>SUM(D39:D40)</f>
        <v>409249611</v>
      </c>
      <c r="E38" s="449">
        <f>SUM(E39:E40)</f>
        <v>0</v>
      </c>
      <c r="F38" s="447">
        <f>SUM(F39:F40)</f>
        <v>0</v>
      </c>
      <c r="G38" s="447">
        <f t="shared" ref="G38" si="14">SUM(G39:G40)</f>
        <v>0</v>
      </c>
      <c r="H38" s="450">
        <f>+B38+E38</f>
        <v>805239070</v>
      </c>
      <c r="I38" s="450">
        <f>+C38+F38</f>
        <v>490345576</v>
      </c>
      <c r="J38" s="450">
        <f>+D38+G38</f>
        <v>409249611</v>
      </c>
    </row>
    <row r="39" spans="1:14">
      <c r="A39" s="509" t="s">
        <v>327</v>
      </c>
      <c r="B39" s="460">
        <f>317231656-10000000</f>
        <v>307231656</v>
      </c>
      <c r="C39" s="462">
        <v>138916185</v>
      </c>
      <c r="D39" s="535">
        <v>138868085</v>
      </c>
      <c r="E39" s="463"/>
      <c r="F39" s="446"/>
      <c r="G39" s="462"/>
      <c r="H39" s="266">
        <f>SUM(B39+E39)</f>
        <v>307231656</v>
      </c>
      <c r="I39" s="266">
        <f>C39+F39</f>
        <v>138916185</v>
      </c>
      <c r="J39" s="266">
        <f>D39+G39</f>
        <v>138868085</v>
      </c>
      <c r="N39" s="276"/>
    </row>
    <row r="40" spans="1:14">
      <c r="A40" s="507" t="s">
        <v>328</v>
      </c>
      <c r="B40" s="451">
        <f>304242414+193765000</f>
        <v>498007414</v>
      </c>
      <c r="C40" s="451">
        <v>351429391</v>
      </c>
      <c r="D40" s="452">
        <v>270381526</v>
      </c>
      <c r="E40" s="445"/>
      <c r="F40" s="446"/>
      <c r="G40" s="446"/>
      <c r="H40" s="266">
        <f>SUM(B40+E40)</f>
        <v>498007414</v>
      </c>
      <c r="I40" s="266">
        <f>C40+F40</f>
        <v>351429391</v>
      </c>
      <c r="J40" s="266">
        <f>D40+G40</f>
        <v>270381526</v>
      </c>
    </row>
    <row r="41" spans="1:14">
      <c r="A41" s="510" t="s">
        <v>329</v>
      </c>
      <c r="B41" s="464">
        <f>SUM(B42:B43)</f>
        <v>605310667</v>
      </c>
      <c r="C41" s="464">
        <f>SUM(C42:C43)</f>
        <v>269814592</v>
      </c>
      <c r="D41" s="464">
        <f>SUM(D42:D43)</f>
        <v>269733492</v>
      </c>
      <c r="E41" s="465">
        <f>SUM(E42:E43)</f>
        <v>0</v>
      </c>
      <c r="F41" s="447">
        <f>SUM(F42:F43)</f>
        <v>0</v>
      </c>
      <c r="G41" s="447">
        <f t="shared" ref="G41" si="15">SUM(G42:G43)</f>
        <v>0</v>
      </c>
      <c r="H41" s="466">
        <f>+B41+E41</f>
        <v>605310667</v>
      </c>
      <c r="I41" s="466">
        <f>+C41+F41</f>
        <v>269814592</v>
      </c>
      <c r="J41" s="466">
        <f>+D41+G41</f>
        <v>269733492</v>
      </c>
    </row>
    <row r="42" spans="1:14">
      <c r="A42" s="507" t="s">
        <v>330</v>
      </c>
      <c r="B42" s="460">
        <f>416789977-20000000</f>
        <v>396789977</v>
      </c>
      <c r="C42" s="446">
        <v>189139129</v>
      </c>
      <c r="D42" s="444">
        <v>189081829</v>
      </c>
      <c r="E42" s="467"/>
      <c r="F42" s="446"/>
      <c r="G42" s="468"/>
      <c r="H42" s="469">
        <f t="shared" ref="H42:J43" si="16">B42+E42</f>
        <v>396789977</v>
      </c>
      <c r="I42" s="469">
        <f t="shared" si="16"/>
        <v>189139129</v>
      </c>
      <c r="J42" s="469">
        <f t="shared" si="16"/>
        <v>189081829</v>
      </c>
    </row>
    <row r="43" spans="1:14">
      <c r="A43" s="507" t="s">
        <v>331</v>
      </c>
      <c r="B43" s="470">
        <f>228520690-20000000</f>
        <v>208520690</v>
      </c>
      <c r="C43" s="451">
        <v>80675463</v>
      </c>
      <c r="D43" s="452">
        <v>80651663</v>
      </c>
      <c r="E43" s="445"/>
      <c r="F43" s="446"/>
      <c r="G43" s="468"/>
      <c r="H43" s="469">
        <f t="shared" si="16"/>
        <v>208520690</v>
      </c>
      <c r="I43" s="469">
        <f t="shared" si="16"/>
        <v>80675463</v>
      </c>
      <c r="J43" s="469">
        <f t="shared" si="16"/>
        <v>80651663</v>
      </c>
    </row>
    <row r="44" spans="1:14">
      <c r="A44" s="506" t="s">
        <v>332</v>
      </c>
      <c r="B44" s="461">
        <f>SUM(B45:B46)</f>
        <v>1383747450</v>
      </c>
      <c r="C44" s="461">
        <f t="shared" ref="C44:G44" si="17">SUM(C45:C46)</f>
        <v>683970705</v>
      </c>
      <c r="D44" s="461">
        <f t="shared" si="17"/>
        <v>591018181</v>
      </c>
      <c r="E44" s="461">
        <f t="shared" si="17"/>
        <v>832785635</v>
      </c>
      <c r="F44" s="461">
        <f t="shared" si="17"/>
        <v>832603370</v>
      </c>
      <c r="G44" s="461">
        <f t="shared" si="17"/>
        <v>0</v>
      </c>
      <c r="H44" s="450">
        <f>+B44+E44</f>
        <v>2216533085</v>
      </c>
      <c r="I44" s="450">
        <f>+C44+F44</f>
        <v>1516574075</v>
      </c>
      <c r="J44" s="450">
        <f>+D44+G44</f>
        <v>591018181</v>
      </c>
    </row>
    <row r="45" spans="1:14" ht="22.5">
      <c r="A45" s="507" t="s">
        <v>333</v>
      </c>
      <c r="B45" s="451">
        <f>970579806+150000000</f>
        <v>1120579806</v>
      </c>
      <c r="C45" s="451">
        <v>472402685</v>
      </c>
      <c r="D45" s="451">
        <v>444537671</v>
      </c>
      <c r="E45" s="453">
        <v>832785635</v>
      </c>
      <c r="F45" s="453">
        <v>832603370</v>
      </c>
      <c r="G45" s="446"/>
      <c r="H45" s="443">
        <f t="shared" ref="H45:J46" si="18">B45+E45</f>
        <v>1953365441</v>
      </c>
      <c r="I45" s="443">
        <f t="shared" si="18"/>
        <v>1305006055</v>
      </c>
      <c r="J45" s="443">
        <f t="shared" si="18"/>
        <v>444537671</v>
      </c>
    </row>
    <row r="46" spans="1:14" ht="13.5" thickBot="1">
      <c r="A46" s="511" t="s">
        <v>334</v>
      </c>
      <c r="B46" s="451">
        <f>273167644-10000000</f>
        <v>263167644</v>
      </c>
      <c r="C46" s="471">
        <v>211568020</v>
      </c>
      <c r="D46" s="472">
        <v>146480510</v>
      </c>
      <c r="E46" s="467"/>
      <c r="F46" s="446"/>
      <c r="G46" s="468"/>
      <c r="H46" s="443">
        <f t="shared" si="18"/>
        <v>263167644</v>
      </c>
      <c r="I46" s="266">
        <f t="shared" si="18"/>
        <v>211568020</v>
      </c>
      <c r="J46" s="266">
        <f t="shared" si="18"/>
        <v>146480510</v>
      </c>
    </row>
    <row r="47" spans="1:14" ht="13.5" thickBot="1">
      <c r="A47" s="512" t="s">
        <v>335</v>
      </c>
      <c r="B47" s="266"/>
      <c r="C47" s="266"/>
      <c r="D47" s="267"/>
      <c r="E47" s="268"/>
      <c r="F47" s="269"/>
      <c r="G47" s="269"/>
      <c r="H47" s="266">
        <f>+B47+E47</f>
        <v>0</v>
      </c>
      <c r="I47" s="473">
        <f>+C47+F47</f>
        <v>0</v>
      </c>
      <c r="J47" s="474">
        <f>+D47+G47+I47</f>
        <v>0</v>
      </c>
    </row>
    <row r="48" spans="1:14" ht="13.5" thickBot="1">
      <c r="A48" s="513" t="s">
        <v>336</v>
      </c>
      <c r="B48" s="270"/>
      <c r="C48" s="270"/>
      <c r="D48" s="271"/>
      <c r="E48" s="272"/>
      <c r="F48" s="273"/>
      <c r="G48" s="273"/>
      <c r="H48" s="270"/>
      <c r="I48" s="475"/>
      <c r="J48" s="474">
        <f>+D48+G48+I48</f>
        <v>0</v>
      </c>
    </row>
    <row r="49" spans="1:15" ht="13.5" thickBot="1">
      <c r="A49" s="514"/>
      <c r="B49" s="476"/>
      <c r="C49" s="476"/>
      <c r="D49" s="476"/>
      <c r="E49" s="477"/>
      <c r="F49" s="478"/>
      <c r="G49" s="476"/>
      <c r="H49" s="479"/>
      <c r="I49" s="480">
        <f>+C49+F49</f>
        <v>0</v>
      </c>
      <c r="J49" s="474">
        <f>+D49+G49+I49</f>
        <v>0</v>
      </c>
    </row>
    <row r="50" spans="1:15" ht="13.5" thickBot="1">
      <c r="A50" s="515" t="s">
        <v>115</v>
      </c>
      <c r="B50" s="481">
        <f>B24+B26</f>
        <v>11904765000</v>
      </c>
      <c r="C50" s="481">
        <f>C24+C26</f>
        <v>5289340545.3600006</v>
      </c>
      <c r="D50" s="482">
        <f>D24+D26</f>
        <v>4434325148.1199999</v>
      </c>
      <c r="E50" s="483">
        <f>E24+E26</f>
        <v>5651441279</v>
      </c>
      <c r="F50" s="484">
        <f>F24+F26</f>
        <v>2627425494</v>
      </c>
      <c r="G50" s="484">
        <f t="shared" ref="G50" si="19">G24+G26</f>
        <v>1758547924</v>
      </c>
      <c r="H50" s="484">
        <f>H24+H26</f>
        <v>17556206279</v>
      </c>
      <c r="I50" s="484">
        <f t="shared" ref="I50:J50" si="20">I24+I26</f>
        <v>7916766039.3600006</v>
      </c>
      <c r="J50" s="484">
        <f t="shared" si="20"/>
        <v>6192873072.1199999</v>
      </c>
      <c r="K50" s="287">
        <f>I50/H50</f>
        <v>0.4509383128420919</v>
      </c>
      <c r="L50" s="287">
        <f>J50/I50</f>
        <v>0.78224783217423943</v>
      </c>
    </row>
    <row r="52" spans="1:15">
      <c r="L52" s="290"/>
      <c r="M52" s="290" t="s">
        <v>97</v>
      </c>
      <c r="N52" s="290" t="s">
        <v>339</v>
      </c>
      <c r="O52" s="290" t="s">
        <v>5</v>
      </c>
    </row>
    <row r="53" spans="1:15">
      <c r="B53" s="287"/>
      <c r="L53" s="290" t="s">
        <v>312</v>
      </c>
      <c r="M53" s="331">
        <f>I24</f>
        <v>3803561255.71</v>
      </c>
      <c r="N53" s="331">
        <f>I26</f>
        <v>4113204783.6500001</v>
      </c>
      <c r="O53" s="331">
        <f>M53+N53</f>
        <v>7916766039.3600006</v>
      </c>
    </row>
    <row r="54" spans="1:15">
      <c r="L54" s="290" t="s">
        <v>338</v>
      </c>
      <c r="M54" s="331">
        <f>J24</f>
        <v>3346529946.1199999</v>
      </c>
      <c r="N54" s="331">
        <f>J26</f>
        <v>2846343126</v>
      </c>
      <c r="O54" s="331">
        <f>M54+N54</f>
        <v>6192873072.1199999</v>
      </c>
    </row>
    <row r="56" spans="1:15">
      <c r="E56" s="287"/>
    </row>
    <row r="57" spans="1:15">
      <c r="E57" s="276"/>
    </row>
    <row r="63" spans="1:15">
      <c r="A63" s="7">
        <f>1781112742.5-1781058322.5</f>
        <v>54420</v>
      </c>
    </row>
    <row r="64" spans="1:15">
      <c r="A64" s="276"/>
    </row>
  </sheetData>
  <mergeCells count="9">
    <mergeCell ref="E6:G6"/>
    <mergeCell ref="H6:J6"/>
    <mergeCell ref="A1:I1"/>
    <mergeCell ref="A2:I2"/>
    <mergeCell ref="A3:J3"/>
    <mergeCell ref="A4:J4"/>
    <mergeCell ref="E5:G5"/>
    <mergeCell ref="A6:A7"/>
    <mergeCell ref="B6:D6"/>
  </mergeCells>
  <printOptions horizontalCentered="1" verticalCentered="1"/>
  <pageMargins left="0.78740157480314965" right="0.78740157480314965" top="0.98425196850393704" bottom="0.98425196850393704" header="0" footer="0"/>
  <pageSetup paperSize="9" scale="7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Datos Generales</vt:lpstr>
      <vt:lpstr>Anexo 1 Matriz Inf Gestión</vt:lpstr>
      <vt:lpstr>Anexo 2 Protocolo Inf Gestión</vt:lpstr>
      <vt:lpstr>Anexo 5-1 Ingresos</vt:lpstr>
      <vt:lpstr>Anexo 5-2 Gastos</vt:lpstr>
      <vt:lpstr>Hoja1</vt:lpstr>
      <vt:lpstr>'Anexo 1 Matriz Inf Gestión'!Área_de_impresión</vt:lpstr>
      <vt:lpstr>'Anexo 2 Protocolo Inf Gestión'!Área_de_impresión</vt:lpstr>
      <vt:lpstr>'Anexo 5-1 Ingresos'!Área_de_impresión</vt:lpstr>
      <vt:lpstr>'Anexo 5-2 Gastos'!Área_de_impresión</vt:lpstr>
      <vt:lpstr>Lista_CAR</vt:lpstr>
      <vt:lpstr>Vigencias</vt:lpstr>
    </vt:vector>
  </TitlesOfParts>
  <Manager>nortiz@claro.net.co</Manager>
  <Company>Derechos protegidos de autor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PC1</cp:lastModifiedBy>
  <cp:lastPrinted>2018-03-13T14:47:56Z</cp:lastPrinted>
  <dcterms:created xsi:type="dcterms:W3CDTF">2016-11-26T19:57:08Z</dcterms:created>
  <dcterms:modified xsi:type="dcterms:W3CDTF">2018-07-27T14:26:56Z</dcterms:modified>
  <cp:category>Capacitación</cp:category>
  <cp:contentStatus>Preliminar</cp:contentStatus>
</cp:coreProperties>
</file>