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 yWindow="-120" windowWidth="17520" windowHeight="11760" tabRatio="647" activeTab="1"/>
  </bookViews>
  <sheets>
    <sheet name="Datos Generales" sheetId="38" r:id="rId1"/>
    <sheet name="Anexo 1 Matriz Inf Gestión" sheetId="34" r:id="rId2"/>
    <sheet name="Anexo 2 Protocolo Inf Gestión" sheetId="35" r:id="rId3"/>
    <sheet name="Anexo 3 Matriz IMG" sheetId="19" r:id="rId4"/>
    <sheet name="Anexo 5-1 Ingresos" sheetId="36" r:id="rId5"/>
    <sheet name="Anexo 5-2 Gastos" sheetId="37" r:id="rId6"/>
    <sheet name="1POMCAS" sheetId="1" r:id="rId7"/>
    <sheet name="2PORH" sheetId="2" r:id="rId8"/>
    <sheet name="3PSMV" sheetId="3" r:id="rId9"/>
    <sheet name="4UsoAguas" sheetId="4" r:id="rId10"/>
    <sheet name="5PUEAA" sheetId="5" r:id="rId11"/>
    <sheet name="6POMCASejec" sheetId="6" r:id="rId12"/>
    <sheet name="7Clima" sheetId="8" r:id="rId13"/>
    <sheet name="8Suelo" sheetId="9" r:id="rId14"/>
    <sheet name="9RUNAP" sheetId="10" r:id="rId15"/>
    <sheet name="10Paramos" sheetId="11" r:id="rId16"/>
    <sheet name="11Forest" sheetId="12" r:id="rId17"/>
    <sheet name="12PlanesAP" sheetId="13" r:id="rId18"/>
    <sheet name="13Amenaz" sheetId="14" r:id="rId19"/>
    <sheet name="14Invasor" sheetId="15" r:id="rId20"/>
    <sheet name="15Restaura" sheetId="16" r:id="rId21"/>
    <sheet name="16MIZC" sheetId="17" r:id="rId22"/>
    <sheet name="17PGIRS" sheetId="18" r:id="rId23"/>
    <sheet name="18Sector" sheetId="20" r:id="rId24"/>
    <sheet name="19GAU" sheetId="21" r:id="rId25"/>
    <sheet name="20Negoc" sheetId="22" r:id="rId26"/>
    <sheet name="21TiempoT" sheetId="23" r:id="rId27"/>
    <sheet name="22Autor" sheetId="24" r:id="rId28"/>
    <sheet name="23Sanc" sheetId="25" r:id="rId29"/>
    <sheet name="24POT" sheetId="26" r:id="rId30"/>
    <sheet name="25Redes" sheetId="27" r:id="rId31"/>
    <sheet name="26SIAC" sheetId="28" r:id="rId32"/>
    <sheet name="27Educa" sheetId="29" r:id="rId33"/>
    <sheet name="Observa" sheetId="32" r:id="rId34"/>
    <sheet name="Formulas" sheetId="33" r:id="rId35"/>
    <sheet name="Obs Generales" sheetId="39" r:id="rId36"/>
  </sheets>
  <externalReferences>
    <externalReference r:id="rId37"/>
    <externalReference r:id="rId38"/>
    <externalReference r:id="rId39"/>
    <externalReference r:id="rId40"/>
  </externalReferences>
  <definedNames>
    <definedName name="_xlnm._FilterDatabase" localSheetId="8" hidden="1">'3PSMV'!$E$6:$E$75</definedName>
    <definedName name="_Toc467769469" localSheetId="7">'2PORH'!#REF!</definedName>
    <definedName name="_Toc467769470" localSheetId="8">'3PSMV'!#REF!</definedName>
    <definedName name="_Toc467769471" localSheetId="9">'4UsoAguas'!#REF!</definedName>
    <definedName name="_Toc467769472" localSheetId="10">'5PUEAA'!#REF!</definedName>
    <definedName name="_Toc467769473" localSheetId="11">'6POMCASejec'!#REF!</definedName>
    <definedName name="_Toc467769474" localSheetId="12">'7Clima'!#REF!</definedName>
    <definedName name="_Toc467769475" localSheetId="13">'8Suelo'!#REF!</definedName>
    <definedName name="_Toc467769476" localSheetId="14">'9RUNAP'!$B$6</definedName>
    <definedName name="_Toc467769477" localSheetId="15">'10Paramos'!#REF!</definedName>
    <definedName name="_Toc467769478" localSheetId="16">'11Forest'!#REF!</definedName>
    <definedName name="_Toc467769479" localSheetId="17">'12PlanesAP'!#REF!</definedName>
    <definedName name="_Toc467769480" localSheetId="18">'13Amenaz'!#REF!</definedName>
    <definedName name="_Toc467769481" localSheetId="19">'14Invasor'!#REF!</definedName>
    <definedName name="_Toc467769482" localSheetId="20">'15Restaura'!#REF!</definedName>
    <definedName name="_Toc467769483" localSheetId="21">'16MIZC'!#REF!</definedName>
    <definedName name="_Toc467769484" localSheetId="22">'17PGIRS'!#REF!</definedName>
    <definedName name="_Toc467769485" localSheetId="23">'18Sector'!#REF!</definedName>
    <definedName name="_Toc467769486" localSheetId="24">'19GAU'!#REF!</definedName>
    <definedName name="_Toc467769487" localSheetId="25">'20Negoc'!#REF!</definedName>
    <definedName name="_Toc467769488" localSheetId="26">'21TiempoT'!#REF!</definedName>
    <definedName name="_Toc467769489" localSheetId="27">'22Autor'!#REF!</definedName>
    <definedName name="_Toc467769490" localSheetId="28">'23Sanc'!#REF!</definedName>
    <definedName name="_Toc467769491" localSheetId="29">'24POT'!#REF!</definedName>
    <definedName name="_Toc467769492" localSheetId="30">'25Redes'!#REF!</definedName>
    <definedName name="_Toc467769493" localSheetId="31">'26SIAC'!#REF!</definedName>
    <definedName name="_Toc467769494" localSheetId="32">'27Educa'!#REF!</definedName>
    <definedName name="_xlnm.Print_Area" localSheetId="1">'Anexo 1 Matriz Inf Gestión'!$A$2:$R$2</definedName>
    <definedName name="_xlnm.Print_Area" localSheetId="2">'Anexo 2 Protocolo Inf Gestión'!$A$1:$B$23</definedName>
    <definedName name="_xlnm.Print_Area" localSheetId="4">'Anexo 5-1 Ingresos'!$A$2:$D$2</definedName>
    <definedName name="_xlnm.Print_Area" localSheetId="5">'Anexo 5-2 Gastos'!$A$1:$L$2</definedName>
    <definedName name="Lista_CAR">'Datos Generales'!$H$5:$H$36</definedName>
    <definedName name="REPORTE" comment="SI SE REPORTA">Formulas!$F$33:$F$34</definedName>
    <definedName name="SI" comment="OPCION SI O NO">Formulas!$D$33:$D$34</definedName>
    <definedName name="Vigencias">'Datos Generales'!$H$38:$H$45</definedName>
  </definedNames>
  <calcPr calcId="144525" fullPrecision="0"/>
</workbook>
</file>

<file path=xl/calcChain.xml><?xml version="1.0" encoding="utf-8"?>
<calcChain xmlns="http://schemas.openxmlformats.org/spreadsheetml/2006/main">
  <c r="N94" i="34" l="1"/>
  <c r="I25" i="34" l="1"/>
  <c r="I13" i="34" l="1"/>
  <c r="H40" i="23" l="1"/>
  <c r="H41" i="23"/>
  <c r="H26" i="23"/>
  <c r="H27" i="23"/>
  <c r="I22" i="18" l="1"/>
  <c r="H22" i="24"/>
  <c r="H21" i="18"/>
  <c r="H54" i="24"/>
  <c r="H21" i="5"/>
  <c r="S88" i="34" l="1"/>
  <c r="S80" i="34"/>
  <c r="S77" i="34"/>
  <c r="S75" i="34"/>
  <c r="S72" i="34"/>
  <c r="S70" i="34"/>
  <c r="S67" i="34"/>
  <c r="S60" i="34"/>
  <c r="S49" i="34"/>
  <c r="S31" i="34"/>
  <c r="S25" i="34"/>
  <c r="S19" i="34"/>
  <c r="S9" i="34"/>
  <c r="G27" i="22" l="1"/>
  <c r="G26" i="22"/>
  <c r="G25" i="22"/>
  <c r="H113" i="24" l="1"/>
  <c r="H112" i="24"/>
  <c r="H92" i="24"/>
  <c r="H24" i="29" l="1"/>
  <c r="H48" i="21"/>
  <c r="G48" i="21"/>
  <c r="I29" i="20" l="1"/>
  <c r="H8" i="37" l="1"/>
  <c r="H48" i="37"/>
  <c r="I44" i="37"/>
  <c r="H44" i="37"/>
  <c r="I42" i="37"/>
  <c r="H42" i="37"/>
  <c r="I41" i="37"/>
  <c r="H41" i="37"/>
  <c r="J38" i="37"/>
  <c r="I38" i="37"/>
  <c r="L38" i="37" s="1"/>
  <c r="J37" i="37"/>
  <c r="I37" i="37"/>
  <c r="L37" i="37" s="1"/>
  <c r="H38" i="37"/>
  <c r="K38" i="37" s="1"/>
  <c r="H37" i="37"/>
  <c r="I34" i="37"/>
  <c r="L34" i="37" s="1"/>
  <c r="H34" i="37"/>
  <c r="J30" i="37"/>
  <c r="I30" i="37"/>
  <c r="L30" i="37" s="1"/>
  <c r="H30" i="37"/>
  <c r="I31" i="37"/>
  <c r="H31" i="37"/>
  <c r="B47" i="37"/>
  <c r="B48" i="37"/>
  <c r="B45" i="37"/>
  <c r="B44" i="37"/>
  <c r="K44" i="37" s="1"/>
  <c r="G33" i="20" l="1"/>
  <c r="B42" i="37" l="1"/>
  <c r="I41" i="21"/>
  <c r="H41" i="21"/>
  <c r="G41" i="21"/>
  <c r="B41" i="37"/>
  <c r="K41" i="37" s="1"/>
  <c r="B39" i="37" l="1"/>
  <c r="B37" i="37"/>
  <c r="K37" i="37" s="1"/>
  <c r="B34" i="37"/>
  <c r="K34" i="37" s="1"/>
  <c r="B32" i="37"/>
  <c r="B30" i="37" l="1"/>
  <c r="K30" i="37" s="1"/>
  <c r="B31" i="37"/>
  <c r="K31" i="37" s="1"/>
  <c r="B19" i="37"/>
  <c r="B14" i="37"/>
  <c r="B10" i="37"/>
  <c r="B8" i="37"/>
  <c r="F80" i="36" l="1"/>
  <c r="E80" i="36"/>
  <c r="C62" i="36" l="1"/>
  <c r="E27" i="36" l="1"/>
  <c r="E26" i="36"/>
  <c r="E12" i="36"/>
  <c r="I57" i="34" l="1"/>
  <c r="H27" i="16" l="1"/>
  <c r="I27" i="16"/>
  <c r="G27" i="16"/>
  <c r="J25" i="9" l="1"/>
  <c r="I25" i="9"/>
  <c r="J28" i="16"/>
  <c r="I28" i="16"/>
  <c r="P20" i="14" l="1"/>
  <c r="O20" i="14"/>
  <c r="N20" i="14"/>
  <c r="M56" i="34" l="1"/>
  <c r="N56" i="34" s="1"/>
  <c r="H19" i="9"/>
  <c r="G19" i="9"/>
  <c r="F19" i="9"/>
  <c r="F25" i="9"/>
  <c r="H22" i="16"/>
  <c r="E22" i="16"/>
  <c r="M10" i="34" l="1"/>
  <c r="M87" i="34"/>
  <c r="G12" i="36" l="1"/>
  <c r="S40" i="34" l="1"/>
  <c r="M17" i="37" l="1"/>
  <c r="M18" i="37"/>
  <c r="M19" i="37"/>
  <c r="L17" i="37"/>
  <c r="L18" i="37"/>
  <c r="L19" i="37"/>
  <c r="K17" i="37"/>
  <c r="D16" i="37"/>
  <c r="I81" i="36" l="1"/>
  <c r="E39" i="36"/>
  <c r="F62" i="36"/>
  <c r="E62" i="36"/>
  <c r="E49" i="36"/>
  <c r="F58" i="36"/>
  <c r="E58" i="36"/>
  <c r="E29" i="36"/>
  <c r="G29" i="36" s="1"/>
  <c r="E22" i="36"/>
  <c r="E42" i="36" l="1"/>
  <c r="I79" i="36" s="1"/>
  <c r="F38" i="36"/>
  <c r="E38" i="36"/>
  <c r="F35" i="36"/>
  <c r="F25" i="36"/>
  <c r="G19" i="25"/>
  <c r="G38" i="36" l="1"/>
  <c r="G19" i="13"/>
  <c r="E24" i="10" l="1"/>
  <c r="F24" i="10" l="1"/>
  <c r="F21" i="10"/>
  <c r="E21" i="10"/>
  <c r="M18" i="34" l="1"/>
  <c r="E32" i="19" l="1"/>
  <c r="E31" i="19"/>
  <c r="E30" i="19"/>
  <c r="E29" i="19"/>
  <c r="E28" i="19"/>
  <c r="E27" i="19"/>
  <c r="E26" i="19"/>
  <c r="E25" i="19"/>
  <c r="E24" i="19"/>
  <c r="E23" i="19"/>
  <c r="E22" i="19"/>
  <c r="E21" i="19"/>
  <c r="E20" i="19"/>
  <c r="E19" i="19"/>
  <c r="E18" i="19"/>
  <c r="E17" i="19"/>
  <c r="E15" i="19" l="1"/>
  <c r="E14" i="19"/>
  <c r="E13" i="19"/>
  <c r="E12" i="19"/>
  <c r="E11" i="19"/>
  <c r="E10" i="19"/>
  <c r="E9" i="19"/>
  <c r="E8" i="19"/>
  <c r="F7" i="19" l="1"/>
  <c r="K19" i="37" l="1"/>
  <c r="B18" i="37"/>
  <c r="K18" i="37" s="1"/>
  <c r="B11" i="37" l="1"/>
  <c r="F22" i="17" l="1"/>
  <c r="I30" i="17"/>
  <c r="I24" i="17" l="1"/>
  <c r="I25" i="17"/>
  <c r="I26" i="17"/>
  <c r="I27" i="17"/>
  <c r="I28" i="17"/>
  <c r="F19" i="22" l="1"/>
  <c r="F18" i="22"/>
  <c r="H18" i="29" l="1"/>
  <c r="F18" i="29"/>
  <c r="E18" i="29" l="1"/>
  <c r="M92" i="34" l="1"/>
  <c r="N92" i="34" s="1"/>
  <c r="M91" i="34"/>
  <c r="N91" i="34" s="1"/>
  <c r="M90" i="34"/>
  <c r="N90" i="34" s="1"/>
  <c r="I90" i="34"/>
  <c r="I91" i="34"/>
  <c r="I92" i="34"/>
  <c r="I93" i="34"/>
  <c r="I89" i="34"/>
  <c r="M86" i="34"/>
  <c r="M84" i="34"/>
  <c r="N84" i="34" s="1"/>
  <c r="M85" i="34"/>
  <c r="M64" i="34"/>
  <c r="M63" i="34"/>
  <c r="M62" i="34"/>
  <c r="I58" i="34"/>
  <c r="N46" i="34"/>
  <c r="N45" i="34"/>
  <c r="N43" i="34"/>
  <c r="N44" i="34"/>
  <c r="N42" i="34"/>
  <c r="N41" i="34"/>
  <c r="I41" i="34"/>
  <c r="D8" i="4"/>
  <c r="F9" i="19" s="1"/>
  <c r="I37" i="34"/>
  <c r="I38" i="34"/>
  <c r="I39" i="34"/>
  <c r="D8" i="2"/>
  <c r="N35" i="34"/>
  <c r="F8" i="19" l="1"/>
  <c r="E7" i="19"/>
  <c r="H32" i="34"/>
  <c r="I88" i="34"/>
  <c r="H34" i="34"/>
  <c r="I33" i="34"/>
  <c r="M39" i="34"/>
  <c r="M38" i="34"/>
  <c r="M37" i="34"/>
  <c r="M36" i="34"/>
  <c r="M34" i="34"/>
  <c r="M33" i="34"/>
  <c r="M32" i="34"/>
  <c r="M29" i="34"/>
  <c r="M28" i="34"/>
  <c r="M27" i="34"/>
  <c r="N27" i="34" s="1"/>
  <c r="M26" i="34"/>
  <c r="M24" i="34"/>
  <c r="M23" i="34"/>
  <c r="M22" i="34"/>
  <c r="M17" i="34"/>
  <c r="N17" i="34" s="1"/>
  <c r="M16" i="34"/>
  <c r="N16" i="34" s="1"/>
  <c r="M15" i="34"/>
  <c r="N15" i="34" s="1"/>
  <c r="M14" i="34"/>
  <c r="N14" i="34" s="1"/>
  <c r="M66" i="34" l="1"/>
  <c r="M65" i="34"/>
  <c r="G95" i="10"/>
  <c r="H63" i="10"/>
  <c r="L42" i="10"/>
  <c r="H56" i="10"/>
  <c r="H52" i="10"/>
  <c r="L57" i="10"/>
  <c r="E75" i="36" l="1"/>
  <c r="I80" i="36" s="1"/>
  <c r="E35" i="36"/>
  <c r="E25" i="36"/>
  <c r="G25" i="36" s="1"/>
  <c r="E21" i="36"/>
  <c r="E10" i="36"/>
  <c r="E14" i="36" l="1"/>
  <c r="E9" i="36" s="1"/>
  <c r="E8" i="36" l="1"/>
  <c r="E82" i="36" s="1"/>
  <c r="I78" i="36"/>
  <c r="C35" i="36"/>
  <c r="T88" i="34" l="1"/>
  <c r="T80" i="34"/>
  <c r="T77" i="34"/>
  <c r="T75" i="34"/>
  <c r="T72" i="34"/>
  <c r="T70" i="34"/>
  <c r="T67" i="34"/>
  <c r="G18" i="25" l="1"/>
  <c r="G22" i="16" l="1"/>
  <c r="F22" i="16"/>
  <c r="G17" i="13"/>
  <c r="I25" i="21" l="1"/>
  <c r="D8" i="16"/>
  <c r="F20" i="19" s="1"/>
  <c r="G18" i="13"/>
  <c r="G20" i="13" s="1"/>
  <c r="I18" i="9"/>
  <c r="I19" i="9" s="1"/>
  <c r="I17" i="9"/>
  <c r="I35" i="34"/>
  <c r="G41" i="23"/>
  <c r="G40" i="23"/>
  <c r="G34" i="23"/>
  <c r="G33" i="23"/>
  <c r="G19" i="29"/>
  <c r="G18" i="29"/>
  <c r="J81" i="36"/>
  <c r="O79" i="34"/>
  <c r="O69" i="34"/>
  <c r="C14" i="19"/>
  <c r="L14" i="19" s="1"/>
  <c r="C6" i="19"/>
  <c r="L6" i="19" s="1"/>
  <c r="D32" i="19"/>
  <c r="D31" i="19"/>
  <c r="D30" i="19"/>
  <c r="D29" i="19"/>
  <c r="D28" i="19"/>
  <c r="D27" i="19"/>
  <c r="D26" i="19"/>
  <c r="D25" i="19"/>
  <c r="D24" i="19"/>
  <c r="D23" i="19"/>
  <c r="D22" i="19"/>
  <c r="J21" i="19"/>
  <c r="N21" i="19" s="1"/>
  <c r="D21" i="19"/>
  <c r="D20" i="19"/>
  <c r="D19" i="19"/>
  <c r="D18" i="19"/>
  <c r="D17" i="19"/>
  <c r="D16" i="19"/>
  <c r="D15" i="19"/>
  <c r="D14" i="19"/>
  <c r="D13" i="19"/>
  <c r="D12" i="19"/>
  <c r="D11" i="19"/>
  <c r="I36" i="34"/>
  <c r="M55" i="34"/>
  <c r="M61" i="34"/>
  <c r="G21" i="23"/>
  <c r="G49" i="23"/>
  <c r="G35" i="23"/>
  <c r="F49" i="36"/>
  <c r="E4" i="29"/>
  <c r="E95" i="10"/>
  <c r="H94" i="10"/>
  <c r="E94" i="10"/>
  <c r="G94" i="10"/>
  <c r="F75" i="36"/>
  <c r="G75" i="36" s="1"/>
  <c r="D75" i="36"/>
  <c r="C75" i="36"/>
  <c r="D62" i="36"/>
  <c r="D49" i="36"/>
  <c r="D42" i="36" s="1"/>
  <c r="F46" i="36"/>
  <c r="C46" i="36"/>
  <c r="F43" i="36"/>
  <c r="C43" i="36"/>
  <c r="D38" i="36"/>
  <c r="C38" i="36"/>
  <c r="D35" i="36"/>
  <c r="D25" i="36"/>
  <c r="C25" i="36"/>
  <c r="F21" i="36"/>
  <c r="G21" i="36" s="1"/>
  <c r="D21" i="36"/>
  <c r="C21" i="36"/>
  <c r="F15" i="36"/>
  <c r="C15" i="36"/>
  <c r="F10" i="36"/>
  <c r="G10" i="36" s="1"/>
  <c r="D10" i="36"/>
  <c r="C10" i="36"/>
  <c r="N93" i="34"/>
  <c r="M89" i="34"/>
  <c r="N87" i="34"/>
  <c r="M59" i="34"/>
  <c r="M58" i="34"/>
  <c r="M57" i="34"/>
  <c r="N39" i="34"/>
  <c r="N37" i="34"/>
  <c r="N22" i="34"/>
  <c r="E12" i="23"/>
  <c r="D51" i="21"/>
  <c r="E43" i="21"/>
  <c r="E12" i="8"/>
  <c r="G22" i="37"/>
  <c r="G21" i="37" s="1"/>
  <c r="D22" i="37"/>
  <c r="I23" i="24"/>
  <c r="I22" i="24"/>
  <c r="H9" i="37"/>
  <c r="H26" i="37" s="1"/>
  <c r="I9" i="37"/>
  <c r="C32" i="19"/>
  <c r="L32" i="19" s="1"/>
  <c r="C31" i="19"/>
  <c r="L31" i="19" s="1"/>
  <c r="C30" i="19"/>
  <c r="L30" i="19" s="1"/>
  <c r="C29" i="19"/>
  <c r="L29" i="19" s="1"/>
  <c r="C28" i="19"/>
  <c r="L28" i="19" s="1"/>
  <c r="C27" i="19"/>
  <c r="L27" i="19" s="1"/>
  <c r="C26" i="19"/>
  <c r="L26" i="19" s="1"/>
  <c r="C25" i="19"/>
  <c r="L25" i="19" s="1"/>
  <c r="C24" i="19"/>
  <c r="L24" i="19" s="1"/>
  <c r="C23" i="19"/>
  <c r="L23" i="19" s="1"/>
  <c r="C22" i="19"/>
  <c r="L22" i="19" s="1"/>
  <c r="C21" i="19"/>
  <c r="L21" i="19" s="1"/>
  <c r="C20" i="19"/>
  <c r="L20" i="19" s="1"/>
  <c r="C19" i="19"/>
  <c r="L19" i="19" s="1"/>
  <c r="C18" i="19"/>
  <c r="L18" i="19" s="1"/>
  <c r="C17" i="19"/>
  <c r="L17" i="19" s="1"/>
  <c r="C16" i="19"/>
  <c r="C15" i="19"/>
  <c r="C13" i="19"/>
  <c r="C12" i="19"/>
  <c r="L12" i="19" s="1"/>
  <c r="C11" i="19"/>
  <c r="L11" i="19" s="1"/>
  <c r="C10" i="19"/>
  <c r="L10" i="19" s="1"/>
  <c r="C9" i="19"/>
  <c r="C8" i="19"/>
  <c r="L8" i="19" s="1"/>
  <c r="C7" i="19"/>
  <c r="D9" i="19"/>
  <c r="F21" i="23"/>
  <c r="D62" i="1"/>
  <c r="D80" i="1" s="1"/>
  <c r="H80" i="1"/>
  <c r="E62" i="1"/>
  <c r="E80" i="1" s="1"/>
  <c r="F62" i="1"/>
  <c r="F80" i="1" s="1"/>
  <c r="G80" i="1"/>
  <c r="I80" i="1"/>
  <c r="J80" i="1"/>
  <c r="D63" i="1"/>
  <c r="D81" i="1" s="1"/>
  <c r="E63" i="1"/>
  <c r="E81" i="1" s="1"/>
  <c r="F63" i="1"/>
  <c r="F81" i="1" s="1"/>
  <c r="G81" i="1"/>
  <c r="I81" i="1"/>
  <c r="J81" i="1"/>
  <c r="D64" i="1"/>
  <c r="D82" i="1" s="1"/>
  <c r="E64" i="1"/>
  <c r="E82" i="1" s="1"/>
  <c r="F64" i="1"/>
  <c r="F82" i="1" s="1"/>
  <c r="G82" i="1"/>
  <c r="I82" i="1"/>
  <c r="J82" i="1"/>
  <c r="D65" i="1"/>
  <c r="D83" i="1" s="1"/>
  <c r="E65" i="1"/>
  <c r="E83" i="1" s="1"/>
  <c r="F65" i="1"/>
  <c r="F83" i="1" s="1"/>
  <c r="G83" i="1"/>
  <c r="I83" i="1"/>
  <c r="J83" i="1"/>
  <c r="D66" i="1"/>
  <c r="D84" i="1" s="1"/>
  <c r="E66" i="1"/>
  <c r="E84" i="1" s="1"/>
  <c r="F66" i="1"/>
  <c r="F84" i="1" s="1"/>
  <c r="G84" i="1"/>
  <c r="I84" i="1"/>
  <c r="J84" i="1"/>
  <c r="D67" i="1"/>
  <c r="D85" i="1" s="1"/>
  <c r="E67" i="1"/>
  <c r="E85" i="1" s="1"/>
  <c r="F67" i="1"/>
  <c r="F85" i="1" s="1"/>
  <c r="G85" i="1"/>
  <c r="I85" i="1"/>
  <c r="J85" i="1"/>
  <c r="D68" i="1"/>
  <c r="D86" i="1" s="1"/>
  <c r="E68" i="1"/>
  <c r="E86" i="1" s="1"/>
  <c r="F68" i="1"/>
  <c r="F86" i="1" s="1"/>
  <c r="G86" i="1"/>
  <c r="I86" i="1"/>
  <c r="J86" i="1"/>
  <c r="D69" i="1"/>
  <c r="D87" i="1" s="1"/>
  <c r="E69" i="1"/>
  <c r="E87" i="1" s="1"/>
  <c r="F69" i="1"/>
  <c r="F87" i="1" s="1"/>
  <c r="G87" i="1"/>
  <c r="I87" i="1"/>
  <c r="J87" i="1"/>
  <c r="D70" i="1"/>
  <c r="D88" i="1" s="1"/>
  <c r="E70" i="1"/>
  <c r="E88" i="1" s="1"/>
  <c r="F70" i="1"/>
  <c r="F88" i="1" s="1"/>
  <c r="G88" i="1"/>
  <c r="I88" i="1"/>
  <c r="J88" i="1"/>
  <c r="D71" i="1"/>
  <c r="D89" i="1" s="1"/>
  <c r="E71" i="1"/>
  <c r="E89" i="1" s="1"/>
  <c r="F71" i="1"/>
  <c r="F89" i="1" s="1"/>
  <c r="G89" i="1"/>
  <c r="I89" i="1"/>
  <c r="J89" i="1"/>
  <c r="D72" i="1"/>
  <c r="D90" i="1" s="1"/>
  <c r="E72" i="1"/>
  <c r="E90" i="1" s="1"/>
  <c r="F72" i="1"/>
  <c r="F90" i="1" s="1"/>
  <c r="G90" i="1"/>
  <c r="I90" i="1"/>
  <c r="J90" i="1"/>
  <c r="D73" i="1"/>
  <c r="D91" i="1" s="1"/>
  <c r="E73" i="1"/>
  <c r="E91" i="1" s="1"/>
  <c r="F73" i="1"/>
  <c r="F91" i="1" s="1"/>
  <c r="G91" i="1"/>
  <c r="I91" i="1"/>
  <c r="J91" i="1"/>
  <c r="D74" i="1"/>
  <c r="D92" i="1" s="1"/>
  <c r="E74" i="1"/>
  <c r="E92" i="1" s="1"/>
  <c r="F74" i="1"/>
  <c r="F92" i="1" s="1"/>
  <c r="G92" i="1"/>
  <c r="I92" i="1"/>
  <c r="J92" i="1"/>
  <c r="D75" i="1"/>
  <c r="D93" i="1" s="1"/>
  <c r="E75" i="1"/>
  <c r="E93" i="1" s="1"/>
  <c r="F75" i="1"/>
  <c r="F93" i="1" s="1"/>
  <c r="G93" i="1"/>
  <c r="I93" i="1"/>
  <c r="J93" i="1"/>
  <c r="H81" i="1"/>
  <c r="H82" i="1"/>
  <c r="H83" i="1"/>
  <c r="H84" i="1"/>
  <c r="H85" i="1"/>
  <c r="H86" i="1"/>
  <c r="H87" i="1"/>
  <c r="H88" i="1"/>
  <c r="H89" i="1"/>
  <c r="H90" i="1"/>
  <c r="H91" i="1"/>
  <c r="H92" i="1"/>
  <c r="H93" i="1"/>
  <c r="F24" i="24"/>
  <c r="F55" i="24"/>
  <c r="F76" i="24"/>
  <c r="F94" i="24"/>
  <c r="F114" i="24"/>
  <c r="F22" i="3"/>
  <c r="F22" i="5"/>
  <c r="F22" i="18"/>
  <c r="F42" i="23"/>
  <c r="F49" i="23"/>
  <c r="F35" i="23"/>
  <c r="I87" i="34"/>
  <c r="F21" i="25"/>
  <c r="Q21" i="14"/>
  <c r="Q20" i="14"/>
  <c r="I65" i="34"/>
  <c r="E37" i="22"/>
  <c r="E38" i="22"/>
  <c r="E39" i="22"/>
  <c r="E36" i="22"/>
  <c r="E40" i="22"/>
  <c r="E41" i="22"/>
  <c r="F95" i="10"/>
  <c r="F94" i="10"/>
  <c r="I56" i="34"/>
  <c r="G20" i="15"/>
  <c r="J20" i="15"/>
  <c r="G19" i="15"/>
  <c r="J19" i="15"/>
  <c r="I64" i="34"/>
  <c r="I66" i="34"/>
  <c r="I42" i="34"/>
  <c r="I43" i="34"/>
  <c r="I44" i="34"/>
  <c r="I45" i="34"/>
  <c r="I46" i="34"/>
  <c r="I47" i="34"/>
  <c r="I14" i="34"/>
  <c r="I15" i="34"/>
  <c r="I16" i="34"/>
  <c r="I17" i="34"/>
  <c r="I18" i="34"/>
  <c r="I23" i="34"/>
  <c r="F17" i="26"/>
  <c r="F19" i="8"/>
  <c r="J20" i="27"/>
  <c r="E24" i="27" s="1"/>
  <c r="I20" i="27"/>
  <c r="E23" i="27" s="1"/>
  <c r="E46" i="27"/>
  <c r="E47" i="27" s="1"/>
  <c r="F46" i="27"/>
  <c r="F47" i="27" s="1"/>
  <c r="G46" i="27"/>
  <c r="G47" i="27" s="1"/>
  <c r="H43" i="27"/>
  <c r="E68" i="27"/>
  <c r="E69" i="27" s="1"/>
  <c r="H69" i="27" s="1"/>
  <c r="H65" i="27"/>
  <c r="I22" i="34"/>
  <c r="I24" i="34"/>
  <c r="I27" i="34"/>
  <c r="N89" i="34"/>
  <c r="E36" i="29"/>
  <c r="E37" i="29"/>
  <c r="E39" i="29"/>
  <c r="E40" i="29"/>
  <c r="E41" i="29"/>
  <c r="F20" i="20"/>
  <c r="I23" i="21"/>
  <c r="I24" i="21"/>
  <c r="I26" i="21"/>
  <c r="I27" i="21"/>
  <c r="I28" i="21"/>
  <c r="I29" i="21"/>
  <c r="I30" i="21"/>
  <c r="I31" i="21"/>
  <c r="I32" i="21"/>
  <c r="I33" i="21"/>
  <c r="I34" i="21"/>
  <c r="E21" i="28"/>
  <c r="F21" i="28"/>
  <c r="G21" i="28"/>
  <c r="E27" i="28"/>
  <c r="F27" i="28"/>
  <c r="N66" i="34"/>
  <c r="N57" i="34"/>
  <c r="N55" i="34"/>
  <c r="N26" i="34"/>
  <c r="N18" i="34"/>
  <c r="F20" i="11"/>
  <c r="D8" i="11"/>
  <c r="F15" i="19" s="1"/>
  <c r="F9" i="37"/>
  <c r="C13" i="37"/>
  <c r="C16" i="37"/>
  <c r="C22" i="37"/>
  <c r="C21" i="37" s="1"/>
  <c r="C9" i="37"/>
  <c r="I26" i="37"/>
  <c r="C29" i="37"/>
  <c r="C33" i="37"/>
  <c r="C36" i="37"/>
  <c r="C40" i="37"/>
  <c r="C43" i="37"/>
  <c r="C46" i="37"/>
  <c r="F29" i="37"/>
  <c r="F33" i="37"/>
  <c r="F36" i="37"/>
  <c r="F40" i="37"/>
  <c r="F43" i="37"/>
  <c r="F46" i="37"/>
  <c r="I29" i="37"/>
  <c r="I33" i="37"/>
  <c r="I36" i="37"/>
  <c r="I40" i="37"/>
  <c r="I43" i="37"/>
  <c r="I46" i="37"/>
  <c r="D29" i="37"/>
  <c r="D33" i="37"/>
  <c r="D36" i="37"/>
  <c r="D40" i="37"/>
  <c r="D43" i="37"/>
  <c r="D46" i="37"/>
  <c r="G29" i="37"/>
  <c r="G33" i="37"/>
  <c r="G36" i="37"/>
  <c r="G40" i="37"/>
  <c r="M40" i="37" s="1"/>
  <c r="G43" i="37"/>
  <c r="G46" i="37"/>
  <c r="J29" i="37"/>
  <c r="J33" i="37"/>
  <c r="J36" i="37"/>
  <c r="J40" i="37"/>
  <c r="J43" i="37"/>
  <c r="J46" i="37"/>
  <c r="M31" i="37"/>
  <c r="L32" i="37"/>
  <c r="L31" i="37"/>
  <c r="Q19" i="34" s="1"/>
  <c r="Q9" i="34"/>
  <c r="K45" i="37"/>
  <c r="H19" i="29" s="1"/>
  <c r="K42" i="37"/>
  <c r="P72" i="34" s="1"/>
  <c r="P70" i="34"/>
  <c r="D16" i="39" s="1"/>
  <c r="H36" i="37"/>
  <c r="H29" i="37"/>
  <c r="K47" i="37"/>
  <c r="P80" i="34" s="1"/>
  <c r="M47" i="37"/>
  <c r="L47" i="37"/>
  <c r="Q80" i="34" s="1"/>
  <c r="E22" i="39" s="1"/>
  <c r="M48" i="37"/>
  <c r="L48" i="37"/>
  <c r="Q88" i="34" s="1"/>
  <c r="K48" i="37"/>
  <c r="P88" i="34" s="1"/>
  <c r="M45" i="37"/>
  <c r="J25" i="29" s="1"/>
  <c r="M44" i="37"/>
  <c r="J24" i="29" s="1"/>
  <c r="L45" i="37"/>
  <c r="Q77" i="34" s="1"/>
  <c r="L44" i="37"/>
  <c r="M42" i="37"/>
  <c r="L42" i="37"/>
  <c r="Q72" i="34" s="1"/>
  <c r="M41" i="37"/>
  <c r="L41" i="37"/>
  <c r="Q70" i="34" s="1"/>
  <c r="M38" i="37"/>
  <c r="M39" i="37"/>
  <c r="M37" i="37"/>
  <c r="Q60" i="34"/>
  <c r="E13" i="39" s="1"/>
  <c r="L39" i="37"/>
  <c r="Q67" i="34" s="1"/>
  <c r="Q49" i="34"/>
  <c r="M35" i="37"/>
  <c r="L35" i="37"/>
  <c r="Q40" i="34" s="1"/>
  <c r="M34" i="37"/>
  <c r="Q31" i="34"/>
  <c r="M32" i="37"/>
  <c r="M30" i="37"/>
  <c r="P60" i="34"/>
  <c r="T60" i="34" s="1"/>
  <c r="K39" i="37"/>
  <c r="P67" i="34" s="1"/>
  <c r="D14" i="39" s="1"/>
  <c r="P49" i="34"/>
  <c r="T49" i="34" s="1"/>
  <c r="K35" i="37"/>
  <c r="P40" i="34" s="1"/>
  <c r="T40" i="34" s="1"/>
  <c r="P31" i="34"/>
  <c r="T31" i="34" s="1"/>
  <c r="P19" i="34"/>
  <c r="T19" i="34" s="1"/>
  <c r="U19" i="34" s="1"/>
  <c r="K32" i="37"/>
  <c r="P25" i="34" s="1"/>
  <c r="T25" i="34" s="1"/>
  <c r="P9" i="34"/>
  <c r="T9" i="34" s="1"/>
  <c r="G20" i="10"/>
  <c r="H35" i="20"/>
  <c r="I35" i="20"/>
  <c r="J35" i="20"/>
  <c r="G35" i="20"/>
  <c r="D8" i="12"/>
  <c r="F23" i="4"/>
  <c r="G41" i="22"/>
  <c r="G40" i="22"/>
  <c r="G39" i="22"/>
  <c r="G36" i="22"/>
  <c r="G37" i="22"/>
  <c r="G38" i="22"/>
  <c r="J26" i="37"/>
  <c r="L8" i="37"/>
  <c r="M8" i="37"/>
  <c r="K8" i="37"/>
  <c r="L25" i="37"/>
  <c r="M25" i="37"/>
  <c r="L24" i="37"/>
  <c r="M24" i="37"/>
  <c r="L14" i="37"/>
  <c r="M14" i="37"/>
  <c r="L11" i="37"/>
  <c r="M11" i="37"/>
  <c r="M10" i="37"/>
  <c r="L10" i="37"/>
  <c r="H43" i="37"/>
  <c r="K25" i="37"/>
  <c r="K24" i="37"/>
  <c r="K14" i="37"/>
  <c r="K11" i="37"/>
  <c r="K10" i="37"/>
  <c r="H46" i="37"/>
  <c r="H33" i="37"/>
  <c r="F53" i="21"/>
  <c r="K50" i="21"/>
  <c r="J50" i="21"/>
  <c r="K44" i="21"/>
  <c r="K45" i="21"/>
  <c r="K46" i="21"/>
  <c r="K47" i="21"/>
  <c r="J44" i="21"/>
  <c r="J45" i="21"/>
  <c r="J46" i="21"/>
  <c r="J47" i="21"/>
  <c r="E41" i="21"/>
  <c r="D50" i="21"/>
  <c r="D47" i="21"/>
  <c r="D46" i="21"/>
  <c r="D45" i="21"/>
  <c r="D44" i="21"/>
  <c r="E12" i="20"/>
  <c r="F46" i="20"/>
  <c r="E46" i="20"/>
  <c r="I17" i="22"/>
  <c r="I20" i="18"/>
  <c r="M37" i="27"/>
  <c r="M38" i="27" s="1"/>
  <c r="N37" i="27"/>
  <c r="N38" i="27" s="1"/>
  <c r="E12" i="11"/>
  <c r="I15" i="19" s="1"/>
  <c r="M15" i="19" s="1"/>
  <c r="E12" i="14"/>
  <c r="I18" i="19" s="1"/>
  <c r="M18" i="19" s="1"/>
  <c r="E12" i="15"/>
  <c r="E12" i="17"/>
  <c r="I21" i="19" s="1"/>
  <c r="M21" i="19" s="1"/>
  <c r="E12" i="18"/>
  <c r="I22" i="19" s="1"/>
  <c r="M22" i="19" s="1"/>
  <c r="E11" i="26"/>
  <c r="I29" i="19" s="1"/>
  <c r="M29" i="19" s="1"/>
  <c r="E12" i="24"/>
  <c r="I28" i="19" s="1"/>
  <c r="M28" i="19" s="1"/>
  <c r="E12" i="25"/>
  <c r="E12" i="13"/>
  <c r="I17" i="19" s="1"/>
  <c r="M17" i="19" s="1"/>
  <c r="E12" i="12"/>
  <c r="I16" i="19" s="1"/>
  <c r="M16" i="19" s="1"/>
  <c r="E13" i="10"/>
  <c r="I14" i="19" s="1"/>
  <c r="M14" i="19" s="1"/>
  <c r="E12" i="9"/>
  <c r="I13" i="19" s="1"/>
  <c r="M13" i="19" s="1"/>
  <c r="E12" i="5"/>
  <c r="I10" i="19" s="1"/>
  <c r="M10" i="19" s="1"/>
  <c r="E12" i="4"/>
  <c r="I9" i="19" s="1"/>
  <c r="M9" i="19" s="1"/>
  <c r="E12" i="3"/>
  <c r="I8" i="19" s="1"/>
  <c r="M8" i="19" s="1"/>
  <c r="E12" i="2"/>
  <c r="I7" i="19" s="1"/>
  <c r="M7" i="19" s="1"/>
  <c r="E12" i="28"/>
  <c r="I31" i="19" s="1"/>
  <c r="M31" i="19" s="1"/>
  <c r="E12" i="29"/>
  <c r="I32" i="19" s="1"/>
  <c r="M32" i="19" s="1"/>
  <c r="E12" i="22"/>
  <c r="I25" i="19" s="1"/>
  <c r="M25" i="19" s="1"/>
  <c r="E12" i="21"/>
  <c r="E12" i="16"/>
  <c r="I20" i="19" s="1"/>
  <c r="M20" i="19" s="1"/>
  <c r="H78" i="36"/>
  <c r="P24" i="37"/>
  <c r="P23" i="37"/>
  <c r="P22" i="37"/>
  <c r="E36" i="37"/>
  <c r="L51" i="37"/>
  <c r="M51" i="37" s="1"/>
  <c r="M50" i="37"/>
  <c r="L49" i="37"/>
  <c r="M49" i="37" s="1"/>
  <c r="K49" i="37"/>
  <c r="E46" i="37"/>
  <c r="E43" i="37"/>
  <c r="B43" i="37"/>
  <c r="E40" i="37"/>
  <c r="B40" i="37"/>
  <c r="E33" i="37"/>
  <c r="B33" i="37"/>
  <c r="Q25" i="34"/>
  <c r="E7" i="39" s="1"/>
  <c r="E29" i="37"/>
  <c r="M23" i="37"/>
  <c r="L23" i="37"/>
  <c r="K23" i="37"/>
  <c r="M22" i="37"/>
  <c r="F22" i="37"/>
  <c r="E22" i="37"/>
  <c r="E21" i="37" s="1"/>
  <c r="E13" i="37"/>
  <c r="E16" i="37"/>
  <c r="B22" i="37"/>
  <c r="B21" i="37" s="1"/>
  <c r="D21" i="37"/>
  <c r="M20" i="37"/>
  <c r="L20" i="37"/>
  <c r="K20" i="37"/>
  <c r="M16" i="37"/>
  <c r="F16" i="37"/>
  <c r="L16" i="37" s="1"/>
  <c r="B16" i="37"/>
  <c r="M15" i="37"/>
  <c r="L15" i="37"/>
  <c r="K15" i="37"/>
  <c r="G13" i="37"/>
  <c r="F13" i="37"/>
  <c r="L13" i="37" s="1"/>
  <c r="D13" i="37"/>
  <c r="B13" i="37"/>
  <c r="K13" i="37" s="1"/>
  <c r="E9" i="37"/>
  <c r="B9" i="37"/>
  <c r="G9" i="37"/>
  <c r="D9" i="37"/>
  <c r="B29" i="37"/>
  <c r="K29" i="37" s="1"/>
  <c r="B36" i="37"/>
  <c r="B46" i="37"/>
  <c r="M94" i="34"/>
  <c r="O74" i="34"/>
  <c r="N65" i="34"/>
  <c r="N61" i="34"/>
  <c r="N59" i="34"/>
  <c r="N58" i="34"/>
  <c r="O48" i="34"/>
  <c r="N47" i="34"/>
  <c r="N34" i="34"/>
  <c r="N33" i="34"/>
  <c r="O30" i="34"/>
  <c r="N24" i="34"/>
  <c r="N23" i="34"/>
  <c r="O8" i="34"/>
  <c r="A2" i="29"/>
  <c r="E4" i="28"/>
  <c r="A2" i="28"/>
  <c r="E4" i="27"/>
  <c r="A2" i="27"/>
  <c r="E4" i="26"/>
  <c r="A2" i="26"/>
  <c r="E4" i="25"/>
  <c r="A2" i="25"/>
  <c r="E4" i="24"/>
  <c r="A2" i="24"/>
  <c r="E4" i="23"/>
  <c r="A2" i="23"/>
  <c r="E4" i="22"/>
  <c r="A2" i="22"/>
  <c r="E4" i="21"/>
  <c r="A2" i="21"/>
  <c r="E4" i="20"/>
  <c r="A2" i="20"/>
  <c r="E4" i="18"/>
  <c r="A2" i="18"/>
  <c r="E4" i="17"/>
  <c r="A2" i="17"/>
  <c r="E4" i="16"/>
  <c r="A2" i="16"/>
  <c r="E4" i="15"/>
  <c r="A2" i="15"/>
  <c r="E4" i="14"/>
  <c r="A2" i="14"/>
  <c r="E4" i="13"/>
  <c r="A2" i="13"/>
  <c r="E4" i="12"/>
  <c r="A2" i="12"/>
  <c r="E4" i="11"/>
  <c r="A2" i="11"/>
  <c r="E4" i="10"/>
  <c r="A2" i="10"/>
  <c r="E4" i="9"/>
  <c r="A2" i="9"/>
  <c r="E4" i="8"/>
  <c r="A2" i="8"/>
  <c r="E4" i="6"/>
  <c r="A2" i="6"/>
  <c r="E4" i="5"/>
  <c r="A2" i="5"/>
  <c r="E4" i="4"/>
  <c r="A2" i="4"/>
  <c r="E4" i="3"/>
  <c r="A2" i="3"/>
  <c r="E4" i="2"/>
  <c r="A2" i="2"/>
  <c r="E4" i="1"/>
  <c r="A2" i="1"/>
  <c r="C4" i="19"/>
  <c r="A2" i="19"/>
  <c r="D11" i="22"/>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0" i="19"/>
  <c r="N20" i="19" s="1"/>
  <c r="J19" i="19"/>
  <c r="N19" i="19" s="1"/>
  <c r="J18" i="19"/>
  <c r="N18" i="19" s="1"/>
  <c r="J17" i="19"/>
  <c r="N17" i="19" s="1"/>
  <c r="J16" i="19"/>
  <c r="N16" i="19"/>
  <c r="J15" i="19"/>
  <c r="N15" i="19" s="1"/>
  <c r="J14" i="19"/>
  <c r="N14" i="19" s="1"/>
  <c r="J13" i="19"/>
  <c r="N13" i="19" s="1"/>
  <c r="J12" i="19"/>
  <c r="N12" i="19" s="1"/>
  <c r="H6" i="19"/>
  <c r="I30" i="19"/>
  <c r="M30" i="19" s="1"/>
  <c r="I26" i="19"/>
  <c r="M26" i="19" s="1"/>
  <c r="I24" i="19"/>
  <c r="M24" i="19" s="1"/>
  <c r="I23" i="19"/>
  <c r="M23" i="19" s="1"/>
  <c r="I19" i="19"/>
  <c r="M19" i="19" s="1"/>
  <c r="I12" i="19"/>
  <c r="M12" i="19" s="1"/>
  <c r="I11" i="19"/>
  <c r="M11"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F10" i="11"/>
  <c r="D12" i="12"/>
  <c r="D11" i="12"/>
  <c r="F10" i="12"/>
  <c r="D12" i="13"/>
  <c r="D11" i="13"/>
  <c r="F10" i="13"/>
  <c r="D12" i="14"/>
  <c r="D11" i="14"/>
  <c r="F10" i="14"/>
  <c r="D12" i="15"/>
  <c r="D11" i="15"/>
  <c r="F10" i="15"/>
  <c r="D12" i="16"/>
  <c r="D11" i="16"/>
  <c r="F10" i="16"/>
  <c r="D12" i="17"/>
  <c r="D11" i="17"/>
  <c r="F10"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F10" i="1"/>
  <c r="G30" i="29"/>
  <c r="D29" i="33"/>
  <c r="F57" i="23"/>
  <c r="D56" i="23"/>
  <c r="D55" i="23"/>
  <c r="D54" i="23"/>
  <c r="D53" i="23"/>
  <c r="D52" i="23"/>
  <c r="D26" i="33"/>
  <c r="F122" i="24" s="1"/>
  <c r="D117" i="24"/>
  <c r="D118" i="24"/>
  <c r="D119" i="24"/>
  <c r="D120" i="24"/>
  <c r="D121" i="24"/>
  <c r="D20" i="33"/>
  <c r="H36" i="17" s="1"/>
  <c r="I23" i="17"/>
  <c r="H21" i="16"/>
  <c r="Q19" i="14"/>
  <c r="L45" i="12"/>
  <c r="M27" i="12"/>
  <c r="N17" i="12"/>
  <c r="N18" i="12" s="1"/>
  <c r="N19" i="12" s="1"/>
  <c r="N20" i="12" s="1"/>
  <c r="N21" i="12" s="1"/>
  <c r="M22" i="12"/>
  <c r="M46" i="12"/>
  <c r="M33" i="12" s="1"/>
  <c r="K28" i="12"/>
  <c r="K43" i="12" s="1"/>
  <c r="K27" i="12"/>
  <c r="K42" i="12" s="1"/>
  <c r="K26" i="12"/>
  <c r="K41" i="12" s="1"/>
  <c r="K29" i="12"/>
  <c r="K44" i="12" s="1"/>
  <c r="M29" i="12"/>
  <c r="M28" i="12"/>
  <c r="M26" i="12"/>
  <c r="E20" i="12"/>
  <c r="D15" i="33" s="1"/>
  <c r="E30" i="12" s="1"/>
  <c r="E69" i="10"/>
  <c r="H58" i="10"/>
  <c r="G58" i="10"/>
  <c r="F58" i="10"/>
  <c r="E58" i="10"/>
  <c r="E46" i="10"/>
  <c r="E35" i="10"/>
  <c r="J18" i="11"/>
  <c r="H69" i="10"/>
  <c r="G69" i="10"/>
  <c r="F69" i="10"/>
  <c r="H95" i="10"/>
  <c r="H96" i="10" s="1"/>
  <c r="D9" i="10" s="1"/>
  <c r="G96" i="10"/>
  <c r="H46" i="10"/>
  <c r="G46" i="10"/>
  <c r="F46" i="10"/>
  <c r="H35" i="10"/>
  <c r="G35" i="10"/>
  <c r="F35" i="10"/>
  <c r="F48" i="20"/>
  <c r="F45" i="20"/>
  <c r="F44" i="20"/>
  <c r="F43" i="20"/>
  <c r="F42" i="20"/>
  <c r="F41" i="20"/>
  <c r="E45" i="20"/>
  <c r="E44" i="20"/>
  <c r="E43" i="20"/>
  <c r="E42" i="20"/>
  <c r="E41" i="20"/>
  <c r="E48" i="20"/>
  <c r="E20" i="20"/>
  <c r="I18" i="20"/>
  <c r="D52" i="21"/>
  <c r="D49" i="21"/>
  <c r="D48" i="21"/>
  <c r="D43" i="21"/>
  <c r="E42" i="21"/>
  <c r="D42" i="21"/>
  <c r="D41" i="21"/>
  <c r="G53" i="21"/>
  <c r="H53" i="21"/>
  <c r="I53" i="21"/>
  <c r="F36" i="22"/>
  <c r="G41" i="29"/>
  <c r="G40" i="29"/>
  <c r="G39" i="29"/>
  <c r="G38" i="29"/>
  <c r="F41" i="22"/>
  <c r="F40" i="22"/>
  <c r="F39" i="22"/>
  <c r="F38" i="22"/>
  <c r="F37" i="22"/>
  <c r="E21" i="25"/>
  <c r="F41" i="29"/>
  <c r="F40" i="29"/>
  <c r="F39" i="29"/>
  <c r="E81" i="27"/>
  <c r="J41" i="21"/>
  <c r="H20" i="20"/>
  <c r="D8" i="20" s="1"/>
  <c r="G20" i="20"/>
  <c r="H22" i="18"/>
  <c r="D8" i="18" s="1"/>
  <c r="F22" i="19" s="1"/>
  <c r="G22" i="18"/>
  <c r="E22" i="18"/>
  <c r="I21" i="15"/>
  <c r="H21" i="15"/>
  <c r="F21" i="15"/>
  <c r="E21" i="15"/>
  <c r="P22" i="14"/>
  <c r="O22" i="14"/>
  <c r="N22" i="14"/>
  <c r="M22" i="14"/>
  <c r="L22" i="14"/>
  <c r="K22" i="14"/>
  <c r="J22" i="14"/>
  <c r="I22" i="14"/>
  <c r="H22" i="14"/>
  <c r="G22" i="14"/>
  <c r="F22" i="14"/>
  <c r="E22" i="14"/>
  <c r="E20" i="13"/>
  <c r="F20" i="13"/>
  <c r="I20" i="11"/>
  <c r="H20" i="11"/>
  <c r="G20" i="11"/>
  <c r="E20" i="11"/>
  <c r="D8" i="9"/>
  <c r="F13" i="19" s="1"/>
  <c r="E19" i="9"/>
  <c r="H19" i="8"/>
  <c r="D8" i="8" s="1"/>
  <c r="F12" i="19" s="1"/>
  <c r="G19" i="8"/>
  <c r="E19" i="8"/>
  <c r="H22" i="5"/>
  <c r="D8" i="5" s="1"/>
  <c r="F10" i="19" s="1"/>
  <c r="G22" i="5"/>
  <c r="E22" i="5"/>
  <c r="H23" i="4"/>
  <c r="G23" i="4"/>
  <c r="E23" i="4"/>
  <c r="H22" i="3"/>
  <c r="D8" i="3" s="1"/>
  <c r="G22" i="3"/>
  <c r="E22" i="3"/>
  <c r="H23" i="2"/>
  <c r="G23" i="2"/>
  <c r="F23" i="2"/>
  <c r="E23" i="2"/>
  <c r="H144" i="13"/>
  <c r="I52" i="10"/>
  <c r="N32" i="34"/>
  <c r="D24" i="33"/>
  <c r="D42" i="22" s="1"/>
  <c r="D23" i="33"/>
  <c r="H35" i="21" s="1"/>
  <c r="D22" i="33"/>
  <c r="D49" i="20" s="1"/>
  <c r="D5" i="33"/>
  <c r="D100" i="1" s="1"/>
  <c r="I17" i="29"/>
  <c r="D31" i="33"/>
  <c r="D42" i="29" s="1"/>
  <c r="E24" i="6"/>
  <c r="H26" i="6"/>
  <c r="G26" i="6"/>
  <c r="F26" i="6"/>
  <c r="H25" i="6"/>
  <c r="G25" i="6"/>
  <c r="F25" i="6"/>
  <c r="H24" i="6"/>
  <c r="G24" i="6"/>
  <c r="F24" i="6"/>
  <c r="E25" i="6"/>
  <c r="E26" i="6"/>
  <c r="L59" i="27"/>
  <c r="L60" i="27" s="1"/>
  <c r="K59" i="27"/>
  <c r="K60" i="27" s="1"/>
  <c r="J59" i="27"/>
  <c r="J60" i="27" s="1"/>
  <c r="I59" i="27"/>
  <c r="I60" i="27" s="1"/>
  <c r="H59" i="27"/>
  <c r="H60" i="27" s="1"/>
  <c r="G59" i="27"/>
  <c r="G60" i="27" s="1"/>
  <c r="F59" i="27"/>
  <c r="F60" i="27" s="1"/>
  <c r="E59" i="27"/>
  <c r="E60" i="27" s="1"/>
  <c r="L37" i="27"/>
  <c r="L38" i="27" s="1"/>
  <c r="K37" i="27"/>
  <c r="K38" i="27" s="1"/>
  <c r="J37" i="27"/>
  <c r="J38" i="27" s="1"/>
  <c r="I37" i="27"/>
  <c r="I38" i="27" s="1"/>
  <c r="H37" i="27"/>
  <c r="H38" i="27" s="1"/>
  <c r="G37" i="27"/>
  <c r="G38" i="27" s="1"/>
  <c r="F37" i="27"/>
  <c r="F38" i="27" s="1"/>
  <c r="E37" i="27"/>
  <c r="E38" i="27"/>
  <c r="G68" i="27"/>
  <c r="G69" i="27" s="1"/>
  <c r="F68" i="27"/>
  <c r="F69" i="27" s="1"/>
  <c r="H67" i="27"/>
  <c r="H66" i="27"/>
  <c r="H45" i="27"/>
  <c r="H44" i="27"/>
  <c r="H17" i="26"/>
  <c r="D7" i="26" s="1"/>
  <c r="F29" i="19" s="1"/>
  <c r="G17" i="26"/>
  <c r="E17" i="26"/>
  <c r="H21" i="25"/>
  <c r="D8" i="25" s="1"/>
  <c r="F28" i="19" s="1"/>
  <c r="G21" i="25"/>
  <c r="H114" i="24"/>
  <c r="E121" i="24" s="1"/>
  <c r="G121" i="24" s="1"/>
  <c r="G114" i="24"/>
  <c r="E114" i="24"/>
  <c r="H101" i="24"/>
  <c r="G101" i="24"/>
  <c r="F101" i="24"/>
  <c r="E101" i="24"/>
  <c r="I100" i="24"/>
  <c r="I99" i="24"/>
  <c r="H94" i="24"/>
  <c r="E120" i="24" s="1"/>
  <c r="G94" i="24"/>
  <c r="E94" i="24"/>
  <c r="H83" i="24"/>
  <c r="G83" i="24"/>
  <c r="F83" i="24"/>
  <c r="E83" i="24"/>
  <c r="H76" i="24"/>
  <c r="E119" i="24" s="1"/>
  <c r="G76" i="24"/>
  <c r="E76" i="24"/>
  <c r="H62" i="24"/>
  <c r="G62" i="24"/>
  <c r="F62" i="24"/>
  <c r="E62" i="24"/>
  <c r="H55" i="24"/>
  <c r="E118" i="24" s="1"/>
  <c r="G55" i="24"/>
  <c r="E55" i="24"/>
  <c r="H41" i="24"/>
  <c r="G41" i="24"/>
  <c r="E41" i="24"/>
  <c r="F41" i="24"/>
  <c r="H24" i="24"/>
  <c r="E117" i="24" s="1"/>
  <c r="G24" i="24"/>
  <c r="E24" i="24"/>
  <c r="H49" i="23"/>
  <c r="E56" i="23" s="1"/>
  <c r="G56" i="23" s="1"/>
  <c r="E49" i="23"/>
  <c r="H42" i="23"/>
  <c r="E55" i="23" s="1"/>
  <c r="G42" i="23"/>
  <c r="E42" i="23"/>
  <c r="H35" i="23"/>
  <c r="E54" i="23" s="1"/>
  <c r="G54" i="23" s="1"/>
  <c r="E35" i="23"/>
  <c r="H28" i="23"/>
  <c r="E53" i="23" s="1"/>
  <c r="G28" i="23"/>
  <c r="F28" i="23"/>
  <c r="E28" i="23"/>
  <c r="E52" i="23"/>
  <c r="G52" i="23" s="1"/>
  <c r="E21" i="23"/>
  <c r="J30" i="22"/>
  <c r="K52" i="21"/>
  <c r="J52" i="21"/>
  <c r="K51" i="21"/>
  <c r="J51" i="21"/>
  <c r="K49" i="21"/>
  <c r="J49" i="21"/>
  <c r="K48" i="21"/>
  <c r="J48" i="21"/>
  <c r="K43" i="21"/>
  <c r="J43" i="21"/>
  <c r="K42" i="21"/>
  <c r="J42" i="21"/>
  <c r="K41" i="21"/>
  <c r="I35" i="17"/>
  <c r="I34" i="17"/>
  <c r="I33" i="17"/>
  <c r="I32" i="17"/>
  <c r="I31" i="17"/>
  <c r="I29" i="17"/>
  <c r="J18" i="15"/>
  <c r="K18" i="15" s="1"/>
  <c r="G18" i="15"/>
  <c r="I22" i="4"/>
  <c r="I21" i="4"/>
  <c r="I51" i="6"/>
  <c r="H51" i="6"/>
  <c r="G51" i="6"/>
  <c r="F51" i="6"/>
  <c r="J37" i="9"/>
  <c r="I37" i="9"/>
  <c r="H37" i="9"/>
  <c r="G37" i="9"/>
  <c r="F37" i="9"/>
  <c r="G23" i="10"/>
  <c r="G22" i="10"/>
  <c r="G21" i="10"/>
  <c r="G19" i="10"/>
  <c r="K144" i="13"/>
  <c r="J144" i="13"/>
  <c r="I144" i="13"/>
  <c r="K74" i="14"/>
  <c r="J74" i="14"/>
  <c r="I74" i="14"/>
  <c r="H74" i="14"/>
  <c r="K37" i="15"/>
  <c r="J37" i="15"/>
  <c r="H37" i="15"/>
  <c r="I37" i="15"/>
  <c r="F35" i="16"/>
  <c r="J35" i="16"/>
  <c r="I35" i="16"/>
  <c r="H35" i="16"/>
  <c r="G35" i="16"/>
  <c r="K30" i="22"/>
  <c r="I30" i="22"/>
  <c r="H30" i="22"/>
  <c r="I18" i="22"/>
  <c r="I20" i="25"/>
  <c r="I19" i="25"/>
  <c r="I18" i="25"/>
  <c r="I113" i="24"/>
  <c r="I112" i="24"/>
  <c r="I93" i="24"/>
  <c r="I92" i="24"/>
  <c r="I82" i="24"/>
  <c r="I81" i="24"/>
  <c r="I75" i="24"/>
  <c r="I74" i="24"/>
  <c r="I61" i="24"/>
  <c r="I60" i="24"/>
  <c r="I54" i="24"/>
  <c r="I53" i="24"/>
  <c r="I24" i="24"/>
  <c r="I48" i="23"/>
  <c r="I47" i="23"/>
  <c r="I41" i="23"/>
  <c r="I40" i="23"/>
  <c r="I34" i="23"/>
  <c r="I33" i="23"/>
  <c r="I27" i="23"/>
  <c r="I26" i="23"/>
  <c r="I20" i="23"/>
  <c r="I19" i="23"/>
  <c r="I19" i="20"/>
  <c r="I20" i="20" s="1"/>
  <c r="I21" i="18"/>
  <c r="I18" i="17"/>
  <c r="J19" i="11"/>
  <c r="J20" i="11" s="1"/>
  <c r="I63" i="10"/>
  <c r="I40" i="10"/>
  <c r="I29" i="10"/>
  <c r="I22" i="2"/>
  <c r="I23" i="2" s="1"/>
  <c r="I21" i="2"/>
  <c r="I19" i="22"/>
  <c r="J21" i="15"/>
  <c r="G21" i="15"/>
  <c r="S8" i="34"/>
  <c r="M13" i="37"/>
  <c r="K22" i="37"/>
  <c r="M46" i="37"/>
  <c r="S74" i="34"/>
  <c r="F21" i="16"/>
  <c r="G21" i="16"/>
  <c r="L46" i="37"/>
  <c r="K19" i="15"/>
  <c r="E96" i="10"/>
  <c r="U67" i="34"/>
  <c r="L22" i="37"/>
  <c r="F21" i="37"/>
  <c r="I18" i="29"/>
  <c r="D8" i="13"/>
  <c r="F17" i="19" s="1"/>
  <c r="P75" i="34"/>
  <c r="D19" i="39" s="1"/>
  <c r="D12" i="37"/>
  <c r="E25" i="27"/>
  <c r="E79" i="27" s="1"/>
  <c r="S48" i="34"/>
  <c r="I27" i="19"/>
  <c r="M27" i="19" s="1"/>
  <c r="N11" i="34"/>
  <c r="C23" i="39"/>
  <c r="N88" i="34"/>
  <c r="N40" i="34"/>
  <c r="K36" i="37"/>
  <c r="L33" i="37"/>
  <c r="I95" i="10"/>
  <c r="K9" i="37"/>
  <c r="K16" i="37"/>
  <c r="E42" i="29"/>
  <c r="D8" i="29" s="1"/>
  <c r="J53" i="21"/>
  <c r="J28" i="37"/>
  <c r="U75" i="34"/>
  <c r="I19" i="29"/>
  <c r="D6" i="39"/>
  <c r="M33" i="37"/>
  <c r="H54" i="34"/>
  <c r="I54" i="34" s="1"/>
  <c r="M54" i="34" s="1"/>
  <c r="I94" i="10"/>
  <c r="I49" i="34" l="1"/>
  <c r="I42" i="23"/>
  <c r="I101" i="24"/>
  <c r="E42" i="22"/>
  <c r="D8" i="22" s="1"/>
  <c r="F25" i="19" s="1"/>
  <c r="E12" i="37"/>
  <c r="E26" i="37" s="1"/>
  <c r="I23" i="4"/>
  <c r="G15" i="33"/>
  <c r="H30" i="12" s="1"/>
  <c r="K21" i="37"/>
  <c r="L36" i="37"/>
  <c r="I76" i="24"/>
  <c r="Q22" i="14"/>
  <c r="D8" i="14" s="1"/>
  <c r="F18" i="19" s="1"/>
  <c r="F28" i="37"/>
  <c r="L29" i="37"/>
  <c r="C28" i="37"/>
  <c r="D26" i="37"/>
  <c r="F12" i="37"/>
  <c r="B12" i="37"/>
  <c r="K12" i="37" s="1"/>
  <c r="L40" i="37"/>
  <c r="M43" i="37"/>
  <c r="K33" i="37"/>
  <c r="F24" i="33"/>
  <c r="G42" i="22" s="1"/>
  <c r="E24" i="33"/>
  <c r="F42" i="22"/>
  <c r="E14" i="39"/>
  <c r="F14" i="39" s="1"/>
  <c r="R67" i="34"/>
  <c r="B28" i="37"/>
  <c r="N52" i="34"/>
  <c r="O94" i="34"/>
  <c r="E28" i="37"/>
  <c r="E52" i="37" s="1"/>
  <c r="U49" i="34"/>
  <c r="H47" i="27"/>
  <c r="H48" i="27" s="1"/>
  <c r="E73" i="27" s="1"/>
  <c r="I40" i="34"/>
  <c r="C10" i="39" s="1"/>
  <c r="G49" i="36"/>
  <c r="F42" i="36"/>
  <c r="G42" i="36" s="1"/>
  <c r="F16" i="19"/>
  <c r="E16" i="19"/>
  <c r="H61" i="34"/>
  <c r="L21" i="37"/>
  <c r="N25" i="34"/>
  <c r="I28" i="23"/>
  <c r="I62" i="24"/>
  <c r="F14" i="19"/>
  <c r="H50" i="34"/>
  <c r="U31" i="34"/>
  <c r="I55" i="24"/>
  <c r="I21" i="25"/>
  <c r="S69" i="34"/>
  <c r="U9" i="34"/>
  <c r="U40" i="34"/>
  <c r="J52" i="37"/>
  <c r="M29" i="37"/>
  <c r="E16" i="39"/>
  <c r="F16" i="39" s="1"/>
  <c r="R70" i="34"/>
  <c r="D28" i="37"/>
  <c r="K81" i="36"/>
  <c r="C42" i="36"/>
  <c r="H86" i="34"/>
  <c r="I86" i="34" s="1"/>
  <c r="H78" i="34"/>
  <c r="F32" i="19"/>
  <c r="I31" i="34"/>
  <c r="I30" i="34" s="1"/>
  <c r="C8" i="39" s="1"/>
  <c r="I114" i="24"/>
  <c r="I83" i="24"/>
  <c r="G119" i="24"/>
  <c r="G118" i="24"/>
  <c r="G117" i="24"/>
  <c r="I94" i="24"/>
  <c r="G120" i="24"/>
  <c r="I21" i="23"/>
  <c r="I49" i="23"/>
  <c r="I35" i="23"/>
  <c r="G53" i="23"/>
  <c r="H12" i="34"/>
  <c r="M12" i="34" s="1"/>
  <c r="N12" i="34" s="1"/>
  <c r="D9" i="39"/>
  <c r="L16" i="19"/>
  <c r="K53" i="21"/>
  <c r="K20" i="15"/>
  <c r="K21" i="15" s="1"/>
  <c r="D8" i="15" s="1"/>
  <c r="F19" i="19" s="1"/>
  <c r="H53" i="34"/>
  <c r="N31" i="34"/>
  <c r="N30" i="34"/>
  <c r="I96" i="10"/>
  <c r="D7" i="39"/>
  <c r="F7" i="39" s="1"/>
  <c r="R25" i="34"/>
  <c r="C14" i="36"/>
  <c r="C9" i="36" s="1"/>
  <c r="C8" i="36" s="1"/>
  <c r="C82" i="36" s="1"/>
  <c r="K46" i="37"/>
  <c r="P30" i="34"/>
  <c r="D8" i="39" s="1"/>
  <c r="D10" i="39"/>
  <c r="H20" i="34"/>
  <c r="M20" i="34" s="1"/>
  <c r="N20" i="34" s="1"/>
  <c r="R31" i="34"/>
  <c r="E9" i="39"/>
  <c r="J97" i="1"/>
  <c r="G98" i="1"/>
  <c r="H97" i="1"/>
  <c r="J98" i="1"/>
  <c r="G99" i="1"/>
  <c r="H98" i="1"/>
  <c r="I97" i="1"/>
  <c r="J99" i="1"/>
  <c r="H99" i="1"/>
  <c r="I98" i="1"/>
  <c r="I99" i="1"/>
  <c r="G97" i="1"/>
  <c r="L9" i="19"/>
  <c r="L13" i="19"/>
  <c r="N86" i="34"/>
  <c r="E27" i="6"/>
  <c r="G12" i="37"/>
  <c r="G26" i="37" s="1"/>
  <c r="M26" i="37" s="1"/>
  <c r="L15" i="19"/>
  <c r="H27" i="6"/>
  <c r="D8" i="6" s="1"/>
  <c r="F11" i="19" s="1"/>
  <c r="F27" i="6"/>
  <c r="M30" i="12"/>
  <c r="M34" i="12" s="1"/>
  <c r="S30" i="34"/>
  <c r="S79" i="34"/>
  <c r="F96" i="10"/>
  <c r="J80" i="36"/>
  <c r="K80" i="36" s="1"/>
  <c r="C12" i="37"/>
  <c r="C7" i="39"/>
  <c r="E30" i="28"/>
  <c r="D8" i="28" s="1"/>
  <c r="F31" i="19" s="1"/>
  <c r="H82" i="34"/>
  <c r="M82" i="34" s="1"/>
  <c r="N82" i="34" s="1"/>
  <c r="D12" i="39"/>
  <c r="R19" i="34"/>
  <c r="E6" i="39"/>
  <c r="F6" i="39" s="1"/>
  <c r="I28" i="37"/>
  <c r="I52" i="37" s="1"/>
  <c r="G27" i="6"/>
  <c r="G24" i="10"/>
  <c r="D14" i="36"/>
  <c r="D9" i="36" s="1"/>
  <c r="F14" i="36"/>
  <c r="G14" i="36" s="1"/>
  <c r="H68" i="34"/>
  <c r="M68" i="34" s="1"/>
  <c r="G55" i="23"/>
  <c r="G57" i="23" s="1"/>
  <c r="E57" i="23"/>
  <c r="H85" i="34" s="1"/>
  <c r="H62" i="34"/>
  <c r="I62" i="34" s="1"/>
  <c r="H81" i="34"/>
  <c r="M81" i="34" s="1"/>
  <c r="N81" i="34" s="1"/>
  <c r="I15" i="33"/>
  <c r="I25" i="12" s="1"/>
  <c r="M31" i="12" s="1"/>
  <c r="E15" i="33"/>
  <c r="F30" i="12" s="1"/>
  <c r="E20" i="33"/>
  <c r="I36" i="17" s="1"/>
  <c r="D8" i="17" s="1"/>
  <c r="I12" i="34"/>
  <c r="B26" i="37"/>
  <c r="B52" i="37" s="1"/>
  <c r="H83" i="34"/>
  <c r="M83" i="34" s="1"/>
  <c r="N83" i="34" s="1"/>
  <c r="H73" i="34"/>
  <c r="M73" i="34" s="1"/>
  <c r="H70" i="27"/>
  <c r="E74" i="27" s="1"/>
  <c r="E75" i="27" s="1"/>
  <c r="E80" i="27" s="1"/>
  <c r="E29" i="33" s="1"/>
  <c r="F81" i="27" s="1"/>
  <c r="D8" i="27" s="1"/>
  <c r="F15" i="33"/>
  <c r="G30" i="12" s="1"/>
  <c r="M45" i="12"/>
  <c r="M32" i="12" s="1"/>
  <c r="I24" i="29"/>
  <c r="G36" i="29" s="1"/>
  <c r="Q75" i="34"/>
  <c r="M21" i="37"/>
  <c r="I25" i="29"/>
  <c r="G37" i="29" s="1"/>
  <c r="G28" i="37"/>
  <c r="D7" i="19"/>
  <c r="U25" i="34"/>
  <c r="K43" i="37"/>
  <c r="F26" i="37"/>
  <c r="F52" i="37" s="1"/>
  <c r="L43" i="37"/>
  <c r="L54" i="37" s="1"/>
  <c r="L7" i="19"/>
  <c r="E49" i="20"/>
  <c r="F47" i="20"/>
  <c r="E47" i="20"/>
  <c r="F49" i="20"/>
  <c r="E23" i="33"/>
  <c r="I35" i="21" s="1"/>
  <c r="D8" i="21" s="1"/>
  <c r="I78" i="34"/>
  <c r="I77" i="34" s="1"/>
  <c r="C20" i="39" s="1"/>
  <c r="N78" i="34"/>
  <c r="N77" i="34" s="1"/>
  <c r="H76" i="34"/>
  <c r="M36" i="37"/>
  <c r="M9" i="37"/>
  <c r="L9" i="37"/>
  <c r="R80" i="34"/>
  <c r="U80" i="34"/>
  <c r="D22" i="39"/>
  <c r="F22" i="39" s="1"/>
  <c r="E23" i="39"/>
  <c r="Q79" i="34"/>
  <c r="E21" i="39" s="1"/>
  <c r="P79" i="34"/>
  <c r="R88" i="34"/>
  <c r="D23" i="39"/>
  <c r="E20" i="39"/>
  <c r="H30" i="29"/>
  <c r="P77" i="34"/>
  <c r="J30" i="29"/>
  <c r="E17" i="39"/>
  <c r="Q69" i="34"/>
  <c r="E15" i="39" s="1"/>
  <c r="P69" i="34"/>
  <c r="R72" i="34"/>
  <c r="U72" i="34"/>
  <c r="D17" i="39"/>
  <c r="U70" i="34"/>
  <c r="D13" i="39"/>
  <c r="F13" i="39" s="1"/>
  <c r="R60" i="34"/>
  <c r="P48" i="34"/>
  <c r="D11" i="39" s="1"/>
  <c r="R49" i="34"/>
  <c r="E12" i="39"/>
  <c r="F12" i="39" s="1"/>
  <c r="Q48" i="34"/>
  <c r="E10" i="39"/>
  <c r="F10" i="39" s="1"/>
  <c r="Q30" i="34"/>
  <c r="R40" i="34"/>
  <c r="T30" i="34"/>
  <c r="E5" i="39"/>
  <c r="Q8" i="34"/>
  <c r="D5" i="39"/>
  <c r="P8" i="34"/>
  <c r="R9" i="34"/>
  <c r="D52" i="37"/>
  <c r="C9" i="39" l="1"/>
  <c r="G122" i="24"/>
  <c r="D8" i="24" s="1"/>
  <c r="F27" i="19" s="1"/>
  <c r="F37" i="29"/>
  <c r="S94" i="34"/>
  <c r="D8" i="23"/>
  <c r="I85" i="34" s="1"/>
  <c r="I50" i="34"/>
  <c r="M50" i="34"/>
  <c r="N50" i="34" s="1"/>
  <c r="I60" i="34"/>
  <c r="I48" i="34" s="1"/>
  <c r="H63" i="34"/>
  <c r="H21" i="34"/>
  <c r="M21" i="34" s="1"/>
  <c r="N21" i="34" s="1"/>
  <c r="N19" i="34" s="1"/>
  <c r="F30" i="19"/>
  <c r="I9" i="34"/>
  <c r="I8" i="34" s="1"/>
  <c r="F24" i="19"/>
  <c r="F21" i="19"/>
  <c r="F9" i="39"/>
  <c r="H55" i="34"/>
  <c r="I55" i="34" s="1"/>
  <c r="I53" i="34"/>
  <c r="M53" i="34"/>
  <c r="E5" i="33"/>
  <c r="G100" i="1" s="1"/>
  <c r="G5" i="33"/>
  <c r="I100" i="1" s="1"/>
  <c r="P56" i="37"/>
  <c r="Q24" i="37"/>
  <c r="G52" i="37"/>
  <c r="F5" i="33"/>
  <c r="H100" i="1" s="1"/>
  <c r="H5" i="33"/>
  <c r="J100" i="1" s="1"/>
  <c r="D8" i="1" s="1"/>
  <c r="I20" i="34"/>
  <c r="U30" i="34"/>
  <c r="M28" i="37"/>
  <c r="R24" i="37" s="1"/>
  <c r="M12" i="37"/>
  <c r="N63" i="34"/>
  <c r="L12" i="37"/>
  <c r="C26" i="37"/>
  <c r="C52" i="37" s="1"/>
  <c r="H13" i="34"/>
  <c r="M13" i="34" s="1"/>
  <c r="N13" i="34" s="1"/>
  <c r="I82" i="34"/>
  <c r="F23" i="39"/>
  <c r="T69" i="34"/>
  <c r="U69" i="34" s="1"/>
  <c r="L28" i="37"/>
  <c r="H51" i="34"/>
  <c r="F9" i="36"/>
  <c r="I83" i="34"/>
  <c r="I30" i="29"/>
  <c r="G42" i="29" s="1"/>
  <c r="F36" i="29"/>
  <c r="F42" i="29" s="1"/>
  <c r="J79" i="36"/>
  <c r="K79" i="36" s="1"/>
  <c r="I68" i="34"/>
  <c r="I67" i="34" s="1"/>
  <c r="C14" i="39" s="1"/>
  <c r="N68" i="34"/>
  <c r="N67" i="34" s="1"/>
  <c r="F5" i="39"/>
  <c r="N73" i="34"/>
  <c r="I73" i="34"/>
  <c r="I72" i="34" s="1"/>
  <c r="C17" i="39" s="1"/>
  <c r="D8" i="36"/>
  <c r="D82" i="36" s="1"/>
  <c r="I82" i="36"/>
  <c r="I81" i="34"/>
  <c r="N85" i="34"/>
  <c r="E19" i="39"/>
  <c r="F19" i="39" s="1"/>
  <c r="R75" i="34"/>
  <c r="N62" i="34"/>
  <c r="K26" i="37"/>
  <c r="Q74" i="34"/>
  <c r="E18" i="39" s="1"/>
  <c r="H71" i="34"/>
  <c r="N76" i="34"/>
  <c r="I76" i="34"/>
  <c r="I75" i="34" s="1"/>
  <c r="T79" i="34"/>
  <c r="U79" i="34" s="1"/>
  <c r="U88" i="34"/>
  <c r="R79" i="34"/>
  <c r="D21" i="39"/>
  <c r="F21" i="39" s="1"/>
  <c r="P74" i="34"/>
  <c r="P94" i="34" s="1"/>
  <c r="D20" i="39"/>
  <c r="F20" i="39" s="1"/>
  <c r="R77" i="34"/>
  <c r="F17" i="39"/>
  <c r="R69" i="34"/>
  <c r="D15" i="39"/>
  <c r="F15" i="39" s="1"/>
  <c r="U60" i="34"/>
  <c r="T48" i="34"/>
  <c r="U48" i="34" s="1"/>
  <c r="R48" i="34"/>
  <c r="E11" i="39"/>
  <c r="F11" i="39" s="1"/>
  <c r="E8" i="39"/>
  <c r="F8" i="39" s="1"/>
  <c r="R30" i="34"/>
  <c r="E4" i="39"/>
  <c r="T8" i="34"/>
  <c r="U8" i="34" s="1"/>
  <c r="R8" i="34"/>
  <c r="D4" i="39"/>
  <c r="F26" i="19" l="1"/>
  <c r="H84" i="34"/>
  <c r="I84" i="34" s="1"/>
  <c r="N70" i="34"/>
  <c r="M71" i="34"/>
  <c r="F8" i="36"/>
  <c r="F82" i="36" s="1"/>
  <c r="G9" i="36"/>
  <c r="M52" i="37"/>
  <c r="S24" i="37"/>
  <c r="Q56" i="37"/>
  <c r="R56" i="37" s="1"/>
  <c r="C12" i="39"/>
  <c r="M51" i="34"/>
  <c r="N49" i="34" s="1"/>
  <c r="N48" i="34" s="1"/>
  <c r="I21" i="34"/>
  <c r="F6" i="19"/>
  <c r="C13" i="39"/>
  <c r="H10" i="34"/>
  <c r="L26" i="37"/>
  <c r="I71" i="34"/>
  <c r="I70" i="34" s="1"/>
  <c r="J78" i="36"/>
  <c r="J82" i="36" s="1"/>
  <c r="K82" i="36" s="1"/>
  <c r="Q94" i="34"/>
  <c r="R94" i="34" s="1"/>
  <c r="Q55" i="37"/>
  <c r="R23" i="37"/>
  <c r="O28" i="37"/>
  <c r="N60" i="34"/>
  <c r="N72" i="34"/>
  <c r="N69" i="34"/>
  <c r="N80" i="34"/>
  <c r="Q22" i="37"/>
  <c r="I74" i="34"/>
  <c r="C18" i="39" s="1"/>
  <c r="C19" i="39"/>
  <c r="N75" i="34"/>
  <c r="N74" i="34"/>
  <c r="T74" i="34"/>
  <c r="U74" i="34" s="1"/>
  <c r="U77" i="34"/>
  <c r="D18" i="39"/>
  <c r="F18" i="39" s="1"/>
  <c r="R74" i="34"/>
  <c r="E24" i="39"/>
  <c r="F4" i="39"/>
  <c r="I19" i="34" l="1"/>
  <c r="C6" i="39" s="1"/>
  <c r="G8" i="36"/>
  <c r="C11" i="39"/>
  <c r="D24" i="39"/>
  <c r="F24" i="39" s="1"/>
  <c r="K78" i="36"/>
  <c r="T94" i="34"/>
  <c r="U94" i="34" s="1"/>
  <c r="C4" i="39"/>
  <c r="N26" i="37"/>
  <c r="O26" i="37"/>
  <c r="P55" i="37"/>
  <c r="R55" i="37" s="1"/>
  <c r="Q23" i="37"/>
  <c r="S23" i="37" s="1"/>
  <c r="L52" i="37"/>
  <c r="O52" i="37" s="1"/>
  <c r="I69" i="34"/>
  <c r="C15" i="39" s="1"/>
  <c r="C16" i="39"/>
  <c r="I80" i="34"/>
  <c r="N79" i="34"/>
  <c r="C22" i="39" l="1"/>
  <c r="I79" i="34"/>
  <c r="G82" i="36"/>
  <c r="N8" i="34"/>
  <c r="N9" i="34"/>
  <c r="C5" i="39"/>
  <c r="I94" i="34" l="1"/>
  <c r="C24" i="39" s="1"/>
  <c r="C21" i="39"/>
  <c r="E6" i="19"/>
  <c r="H40" i="37"/>
  <c r="H28" i="37" s="1"/>
  <c r="K28" i="37" l="1"/>
  <c r="H52" i="37"/>
  <c r="K40" i="37"/>
  <c r="K52" i="37" l="1"/>
  <c r="N52" i="37" s="1"/>
  <c r="N28" i="37"/>
  <c r="R22" i="37"/>
  <c r="S22" i="37" s="1"/>
</calcChain>
</file>

<file path=xl/sharedStrings.xml><?xml version="1.0" encoding="utf-8"?>
<sst xmlns="http://schemas.openxmlformats.org/spreadsheetml/2006/main" count="5024" uniqueCount="2104">
  <si>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</si>
  <si>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</si>
  <si>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</si>
  <si>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</si>
  <si>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</si>
  <si>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</si>
  <si>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Número de cuencas con POMCAS aprobados, bajo el nuevo marco normativo (Decreto 1076 de 2015) a 31 de diciembre de 2015:</t>
  </si>
  <si>
    <t>Meta de POMCAS aprobados para el cuatrienio 2016-2019 (número):</t>
  </si>
  <si>
    <t>Meta de PMA aprobados para el cuatrienio 2016-2019 (número):</t>
  </si>
  <si>
    <t>Meta de PMM aprobados para el cuatrienio 2016-2019 (número):</t>
  </si>
  <si>
    <t>Datos generales de los POMCAS:</t>
  </si>
  <si>
    <t>Cuencas, acuíferos y microcuencas objeto de planes en la jurisdicción de la CAR</t>
  </si>
  <si>
    <t>Tipo de Plan (a)</t>
  </si>
  <si>
    <t>Código (b)</t>
  </si>
  <si>
    <t>Nombre de Cuenca, Microcuenca, Acuífero</t>
  </si>
  <si>
    <t>Estado de avance a 31 de diciembre de 2015 (c)</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</si>
  <si>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</si>
  <si>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</si>
  <si>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</si>
  <si>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</si>
  <si>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</si>
  <si>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</si>
  <si>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</si>
  <si>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</si>
  <si>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</si>
  <si>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</si>
  <si>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</si>
  <si>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</si>
  <si>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</si>
  <si>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</si>
  <si>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</si>
  <si>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</si>
  <si>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</si>
  <si>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</si>
  <si>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</si>
  <si>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</si>
  <si>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</si>
  <si>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</si>
  <si>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</si>
  <si>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</si>
  <si>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</si>
  <si>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</si>
  <si>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</si>
  <si>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</si>
  <si>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</si>
  <si>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</si>
  <si>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</si>
  <si>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</si>
  <si>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</si>
  <si>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</si>
  <si>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</si>
  <si>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</si>
  <si>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</si>
  <si>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</si>
  <si>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</si>
  <si>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</si>
  <si>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</si>
  <si>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</si>
  <si>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</si>
  <si>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</si>
  <si>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</si>
  <si>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</si>
  <si>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</si>
  <si>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</si>
  <si>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</si>
  <si>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</si>
  <si>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</si>
  <si>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</si>
  <si>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</si>
  <si>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</si>
  <si>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</si>
  <si>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</si>
  <si>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</si>
  <si>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</si>
  <si>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</si>
  <si>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</si>
  <si>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</si>
  <si>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</si>
  <si>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</si>
  <si>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</si>
  <si>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</si>
  <si>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</si>
  <si>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</si>
  <si>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</si>
  <si>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</si>
  <si>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</si>
  <si>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</si>
  <si>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</si>
  <si>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</si>
  <si>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</si>
  <si>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</si>
  <si>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</si>
  <si>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</si>
  <si>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</si>
  <si>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</si>
  <si>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</si>
  <si>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</si>
  <si>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</si>
  <si>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</si>
  <si>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</si>
  <si>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</si>
  <si>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</si>
  <si>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</si>
  <si>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</si>
  <si>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</si>
  <si>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</si>
  <si>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</si>
  <si>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</si>
  <si>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</si>
  <si>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</si>
  <si>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</si>
  <si>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</si>
  <si>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</si>
  <si>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</si>
  <si>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</si>
  <si>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</si>
  <si>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</si>
  <si>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</si>
  <si>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</si>
  <si>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</si>
  <si>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</si>
  <si>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</si>
  <si>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</si>
  <si>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</si>
  <si>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</si>
  <si>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</si>
  <si>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</si>
  <si>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</si>
  <si>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</si>
  <si>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</si>
  <si>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</si>
  <si>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</si>
  <si>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</si>
  <si>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</si>
  <si>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</si>
  <si>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</si>
  <si>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</si>
  <si>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</si>
  <si>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</si>
  <si>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</si>
  <si>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</si>
  <si>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</si>
  <si>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</si>
  <si>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</si>
  <si>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</si>
  <si>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</si>
  <si>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</si>
  <si>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</si>
  <si>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</si>
  <si>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</si>
  <si>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</si>
  <si>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</si>
  <si>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</si>
  <si>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</si>
  <si>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sujeto de reglamentación de planes de ordenamiento del recurso hídrico (PORH) adoptados a 31/12/2015:</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</si>
  <si>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</si>
  <si>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</si>
  <si>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</si>
  <si>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</si>
  <si>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</si>
  <si>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</si>
  <si>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</si>
  <si>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</si>
  <si>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</si>
  <si>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</si>
  <si>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</si>
  <si>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</si>
  <si>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</si>
  <si>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</si>
  <si>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</si>
  <si>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</si>
  <si>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</si>
  <si>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</si>
  <si>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</si>
  <si>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</si>
  <si>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</si>
  <si>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</si>
  <si>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</si>
  <si>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</si>
  <si>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</si>
  <si>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</si>
  <si>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</si>
  <si>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</si>
  <si>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</si>
  <si>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</si>
  <si>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</si>
  <si>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</si>
  <si>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</si>
  <si>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</si>
  <si>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</si>
  <si>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</si>
  <si>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</si>
  <si>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</si>
  <si>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</si>
  <si>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</si>
  <si>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</si>
  <si>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</si>
  <si>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</si>
  <si>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</si>
  <si>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</si>
  <si>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con reglamentación del uso de las aguas a 31/12/2015:</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</si>
  <si>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</si>
  <si>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</si>
  <si>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</si>
  <si>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</si>
  <si>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</si>
  <si>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</si>
  <si>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</si>
  <si>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</si>
  <si>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</si>
  <si>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</si>
  <si>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</si>
  <si>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</si>
  <si>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</si>
  <si>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</si>
  <si>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</si>
  <si>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</si>
  <si>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</si>
  <si>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</si>
  <si>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</si>
  <si>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</si>
  <si>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aprobados por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</si>
  <si>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</si>
  <si>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</si>
  <si>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</si>
  <si>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</si>
  <si>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</si>
  <si>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</si>
  <si>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</si>
  <si>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</si>
  <si>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</si>
  <si>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</si>
  <si>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</si>
  <si>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</si>
  <si>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</si>
  <si>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</si>
  <si>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</si>
  <si>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</si>
  <si>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</si>
  <si>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</si>
  <si>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</si>
  <si>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</si>
  <si>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</si>
  <si>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</si>
  <si>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</si>
  <si>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</si>
  <si>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</si>
  <si>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</si>
  <si>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</si>
  <si>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</si>
  <si>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</si>
  <si>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</si>
  <si>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</si>
  <si>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</si>
  <si>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</si>
  <si>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</si>
  <si>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</si>
  <si>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</si>
  <si>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</si>
  <si>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</si>
  <si>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</si>
  <si>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</si>
  <si>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</si>
  <si>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</si>
  <si>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</si>
  <si>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</si>
  <si>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</si>
  <si>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</si>
  <si>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</si>
  <si>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</si>
  <si>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</si>
  <si>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</si>
  <si>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</si>
  <si>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</si>
  <si>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</si>
  <si>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</si>
  <si>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</si>
  <si>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</si>
  <si>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</si>
  <si>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</si>
  <si>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</si>
  <si>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</si>
  <si>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</si>
  <si>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</si>
  <si>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</si>
  <si>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</si>
  <si>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</si>
  <si>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</si>
  <si>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</si>
  <si>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</si>
  <si>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</si>
  <si>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</si>
  <si>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</si>
  <si>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</si>
  <si>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</si>
  <si>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</si>
  <si>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</si>
  <si>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</si>
  <si>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</si>
  <si>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</si>
  <si>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</si>
  <si>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</si>
  <si>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</si>
  <si>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</si>
  <si>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</si>
  <si>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</si>
  <si>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</si>
  <si>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</si>
  <si>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</si>
  <si>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</si>
  <si>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</si>
  <si>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</si>
  <si>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</si>
  <si>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</si>
  <si>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</si>
  <si>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</si>
  <si>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</si>
  <si>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</si>
  <si>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</si>
  <si>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</si>
  <si>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</si>
  <si>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</si>
  <si>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</si>
  <si>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</si>
  <si>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</si>
  <si>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</si>
  <si>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</si>
  <si>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</si>
  <si>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</si>
  <si>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</si>
  <si>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</si>
  <si>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</si>
  <si>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</si>
  <si>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</si>
  <si>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</si>
  <si>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</si>
  <si>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</si>
  <si>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</si>
  <si>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</si>
  <si>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</si>
  <si>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</si>
  <si>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</si>
  <si>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</si>
  <si>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</si>
  <si>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</si>
  <si>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</si>
  <si>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</si>
  <si>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</si>
  <si>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</si>
  <si>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</si>
  <si>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</si>
  <si>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</si>
  <si>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</si>
  <si>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</si>
  <si>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</si>
  <si>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</si>
  <si>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</si>
  <si>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</si>
  <si>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</si>
  <si>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</si>
  <si>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</si>
  <si>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</si>
  <si>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</si>
  <si>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</si>
  <si>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</si>
  <si>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</si>
  <si>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</si>
  <si>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</si>
  <si>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</si>
  <si>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</si>
  <si>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</si>
  <si>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</si>
  <si>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</si>
  <si>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</si>
  <si>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</si>
  <si>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</si>
  <si>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</si>
  <si>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</si>
  <si>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</si>
  <si>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</si>
  <si>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</si>
  <si>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</si>
  <si>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</si>
  <si>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</si>
  <si>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</si>
  <si>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</si>
  <si>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</si>
  <si>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</si>
  <si>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</si>
  <si>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</si>
  <si>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</si>
  <si>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</si>
  <si>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</si>
  <si>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</si>
  <si>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</si>
  <si>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</si>
  <si>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</si>
  <si>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</si>
  <si>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</si>
  <si>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</si>
  <si>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</si>
  <si>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</si>
  <si>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</si>
  <si>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</si>
  <si>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</si>
  <si>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</si>
  <si>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</si>
  <si>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</si>
  <si>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</si>
  <si>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</si>
  <si>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</si>
  <si>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</si>
  <si>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</si>
  <si>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</si>
  <si>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</si>
  <si>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</si>
  <si>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</si>
  <si>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</si>
  <si>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</si>
  <si>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</si>
  <si>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Año 0 (2015) (*)</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</si>
  <si>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</si>
  <si>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</si>
  <si>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</si>
  <si>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</si>
  <si>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</si>
  <si>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</si>
  <si>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</si>
  <si>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</si>
  <si>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</si>
  <si>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</si>
  <si>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</si>
  <si>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</si>
  <si>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</si>
  <si>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</si>
  <si>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</si>
  <si>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</si>
  <si>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</si>
  <si>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</si>
  <si>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</si>
  <si>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</si>
  <si>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total del Plan de Ordenación Forestal a 31/12/2019 (ha)</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</si>
  <si>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</si>
  <si>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</si>
  <si>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</si>
  <si>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</si>
  <si>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</si>
  <si>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</si>
  <si>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</si>
  <si>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</si>
  <si>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</si>
  <si>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</si>
  <si>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</si>
  <si>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</si>
  <si>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</si>
  <si>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</si>
  <si>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</si>
  <si>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</si>
  <si>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</si>
  <si>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</si>
  <si>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</si>
  <si>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</si>
  <si>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</si>
  <si>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</si>
  <si>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</si>
  <si>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</si>
  <si>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</si>
  <si>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</si>
  <si>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</si>
  <si>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</si>
  <si>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</si>
  <si>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</si>
  <si>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</si>
  <si>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</si>
  <si>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</si>
  <si>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</si>
  <si>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</si>
  <si>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</si>
  <si>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</si>
  <si>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</si>
  <si>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</si>
  <si>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</si>
  <si>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</si>
  <si>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</si>
  <si>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</si>
  <si>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</si>
  <si>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</si>
  <si>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</si>
  <si>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</si>
  <si>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</si>
  <si>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</si>
  <si>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</si>
  <si>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</si>
  <si>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</si>
  <si>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</si>
  <si>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</si>
  <si>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</si>
  <si>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</si>
  <si>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</si>
  <si>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</si>
  <si>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</si>
  <si>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</si>
  <si>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</si>
  <si>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</si>
  <si>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</si>
  <si>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</si>
  <si>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</si>
  <si>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</si>
  <si>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</si>
  <si>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</si>
  <si>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</si>
  <si>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</si>
  <si>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</si>
  <si>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</si>
  <si>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</si>
  <si>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</si>
  <si>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</si>
  <si>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</si>
  <si>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</si>
  <si>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</si>
  <si>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</si>
  <si>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</si>
  <si>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</si>
  <si>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</si>
  <si>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</si>
  <si>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</si>
  <si>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</si>
  <si>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</si>
  <si>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</si>
  <si>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</si>
  <si>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</si>
  <si>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</si>
  <si>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</si>
  <si>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</si>
  <si>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</si>
  <si>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</si>
  <si>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</si>
  <si>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</si>
  <si>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</si>
  <si>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</si>
  <si>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</si>
  <si>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</si>
  <si>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</si>
  <si>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</si>
  <si>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</si>
  <si>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</si>
  <si>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</si>
  <si>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</si>
  <si>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</si>
  <si>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</si>
  <si>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</si>
  <si>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</si>
  <si>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</si>
  <si>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</si>
  <si>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</si>
  <si>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</si>
  <si>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</si>
  <si>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</si>
  <si>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</si>
  <si>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</si>
  <si>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</si>
  <si>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</si>
  <si>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</si>
  <si>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</si>
  <si>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</si>
  <si>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</si>
  <si>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</si>
  <si>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</si>
  <si>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</si>
  <si>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</si>
  <si>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</si>
  <si>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</si>
  <si>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</si>
  <si>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</si>
  <si>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</si>
  <si>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</si>
  <si>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</si>
  <si>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</si>
  <si>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</si>
  <si>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</si>
  <si>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</si>
  <si>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</si>
  <si>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</si>
  <si>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</si>
  <si>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</si>
  <si>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</si>
  <si>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</si>
  <si>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</si>
  <si>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</si>
  <si>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</si>
  <si>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</si>
  <si>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</si>
  <si>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</si>
  <si>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</si>
  <si>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</si>
  <si>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</si>
  <si>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</si>
  <si>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</si>
  <si>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</si>
  <si>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</si>
  <si>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</si>
  <si>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</si>
  <si>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</si>
  <si>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</si>
  <si>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</si>
  <si>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</si>
  <si>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</si>
  <si>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</si>
  <si>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</si>
  <si>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</si>
  <si>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</si>
  <si>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</si>
  <si>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</si>
  <si>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</si>
  <si>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</si>
  <si>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</si>
  <si>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</si>
  <si>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</si>
  <si>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</si>
  <si>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</si>
  <si>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</si>
  <si>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</si>
  <si>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</si>
  <si>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</si>
  <si>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</si>
  <si>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</si>
  <si>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</si>
  <si>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</si>
  <si>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</si>
  <si>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</si>
  <si>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</si>
  <si>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</si>
  <si>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</si>
  <si>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</si>
  <si>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</si>
  <si>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</si>
  <si>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</si>
  <si>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</si>
  <si>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</si>
  <si>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</si>
  <si>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</si>
  <si>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</si>
  <si>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</si>
  <si>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</si>
  <si>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</si>
  <si>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</si>
  <si>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</si>
  <si>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</si>
  <si>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</si>
  <si>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</si>
  <si>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</si>
  <si>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</si>
  <si>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</si>
  <si>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</si>
  <si>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</si>
  <si>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</si>
  <si>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</si>
  <si>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</si>
  <si>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</si>
  <si>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</si>
  <si>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</si>
  <si>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</si>
  <si>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</si>
  <si>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</si>
  <si>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</si>
  <si>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</si>
  <si>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</si>
  <si>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</si>
  <si>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</si>
  <si>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</si>
  <si>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</si>
  <si>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</si>
  <si>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</si>
  <si>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</si>
  <si>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</si>
  <si>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</si>
  <si>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</si>
  <si>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</si>
  <si>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</si>
  <si>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</si>
  <si>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</si>
  <si>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</si>
  <si>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</si>
  <si>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</si>
  <si>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</si>
  <si>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</si>
  <si>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</si>
  <si>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</si>
  <si>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</si>
  <si>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</si>
  <si>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</si>
  <si>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</si>
  <si>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</si>
  <si>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</si>
  <si>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</si>
  <si>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</si>
  <si>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</si>
  <si>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</si>
  <si>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</si>
  <si>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</si>
  <si>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</si>
  <si>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</si>
  <si>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</si>
  <si>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</si>
  <si>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Construcción de agendas sectoriales conjuntas</t>
  </si>
  <si>
    <t>Seguimiento al cumplimiento de las agendas sectoriales.</t>
  </si>
  <si>
    <t>Materiales y guías para el producción y consumo sostenible</t>
  </si>
  <si>
    <t>Eventos de capacitación</t>
  </si>
  <si>
    <t>Eventos de socialización</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</si>
  <si>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</si>
  <si>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</si>
  <si>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</si>
  <si>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</si>
  <si>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</si>
  <si>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</si>
  <si>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</si>
  <si>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</si>
  <si>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</si>
  <si>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</si>
  <si>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</si>
  <si>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</si>
  <si>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</si>
  <si>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</si>
  <si>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</si>
  <si>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</si>
  <si>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</si>
  <si>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</si>
  <si>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</si>
  <si>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</si>
  <si>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</si>
  <si>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</si>
  <si>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</si>
  <si>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</si>
  <si>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</si>
  <si>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</si>
  <si>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</si>
  <si>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</si>
  <si>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</si>
  <si>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</si>
  <si>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</si>
  <si>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</si>
  <si>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</si>
  <si>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</si>
  <si>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</si>
  <si>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</si>
  <si>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</si>
  <si>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</si>
  <si>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</si>
  <si>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</si>
  <si>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</si>
  <si>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</si>
  <si>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</si>
  <si>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</si>
  <si>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</si>
  <si>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</si>
  <si>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</si>
  <si>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</si>
  <si>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</si>
  <si>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</si>
  <si>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</si>
  <si>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</si>
  <si>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</si>
  <si>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</si>
  <si>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</si>
  <si>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</si>
  <si>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</si>
  <si>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</si>
  <si>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</si>
  <si>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</si>
  <si>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</si>
  <si>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</si>
  <si>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</si>
  <si>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</si>
  <si>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</si>
  <si>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</si>
  <si>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</si>
  <si>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</si>
  <si>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</si>
  <si>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</si>
  <si>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</si>
  <si>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</si>
  <si>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Gestión ambiental del Espacio Público en áreas urbanas</t>
  </si>
  <si>
    <t xml:space="preserve">Prevención y Control de la Contaminación del Aire en áreas urbanas </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</si>
  <si>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</si>
  <si>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</si>
  <si>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</si>
  <si>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</si>
  <si>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</si>
  <si>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</si>
  <si>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</si>
  <si>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</si>
  <si>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</si>
  <si>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</si>
  <si>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</si>
  <si>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</si>
  <si>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</si>
  <si>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</si>
  <si>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</si>
  <si>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</si>
  <si>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</si>
  <si>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</si>
  <si>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</si>
  <si>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</si>
  <si>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</si>
  <si>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</si>
  <si>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</si>
  <si>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</si>
  <si>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</si>
  <si>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</si>
  <si>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</si>
  <si>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</si>
  <si>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</si>
  <si>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</si>
  <si>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</si>
  <si>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</si>
  <si>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</si>
  <si>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</si>
  <si>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</si>
  <si>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</si>
  <si>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</si>
  <si>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</si>
  <si>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</si>
  <si>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</si>
  <si>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</si>
  <si>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</si>
  <si>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</si>
  <si>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</si>
  <si>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</si>
  <si>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</si>
  <si>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</si>
  <si>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</si>
  <si>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</si>
  <si>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</si>
  <si>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</si>
  <si>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</si>
  <si>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</si>
  <si>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</si>
  <si>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</si>
  <si>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</si>
  <si>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</si>
  <si>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</si>
  <si>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</si>
  <si>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</si>
  <si>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xml:space="preserve">Realización de talleres </t>
  </si>
  <si>
    <t>Protocolizar la creación de la ventanilla o nodo de negocios verdes y/o la suscripción de alianza, en la A.A</t>
  </si>
  <si>
    <t>Verificar como mínimo dos negocios verdes por A.A.</t>
  </si>
  <si>
    <t>Seguimiento a los planes de acción de la A.A. y a los planes de mejora</t>
  </si>
  <si>
    <t>Participación en ferias</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</si>
  <si>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</si>
  <si>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</si>
  <si>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</si>
  <si>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</si>
  <si>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</si>
  <si>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</si>
  <si>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</si>
  <si>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</si>
  <si>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</si>
  <si>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</si>
  <si>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</si>
  <si>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</si>
  <si>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</si>
  <si>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</si>
  <si>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</si>
  <si>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</si>
  <si>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</si>
  <si>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</si>
  <si>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</si>
  <si>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</si>
  <si>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</si>
  <si>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</si>
  <si>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</si>
  <si>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</si>
  <si>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</si>
  <si>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</si>
  <si>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</si>
  <si>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</si>
  <si>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</si>
  <si>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</si>
  <si>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</si>
  <si>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</si>
  <si>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</si>
  <si>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</si>
  <si>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</si>
  <si>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Tx L.A. Tiempo promedio efectivo de duración del trámite de licencias ambientales</t>
  </si>
  <si>
    <t>Concesiones de agua</t>
  </si>
  <si>
    <t>Tx C.A.S. Tiempo promedio efectivo de duración del trámite de Concesiones de Agua.</t>
  </si>
  <si>
    <t>Permisos de vertimiento de agua</t>
  </si>
  <si>
    <t>TP.V. Tiempo efectivo de duración del trámite de otorgamiento de un permiso de vertimiento (número de días)</t>
  </si>
  <si>
    <t>Tx P.V. Tiempo promedio efectivo de duración del trámite de otorgamiento de un permiso de vertimiento.</t>
  </si>
  <si>
    <t>Permisos de aprovechamiento forestal</t>
  </si>
  <si>
    <t>TP.E. Tiempo efectivo de duración del trámite de otorgamiento de un permiso de emisión (número de días)</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</si>
  <si>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</si>
  <si>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</si>
  <si>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</si>
  <si>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</si>
  <si>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</si>
  <si>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</si>
  <si>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</si>
  <si>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</si>
  <si>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</si>
  <si>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</si>
  <si>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</si>
  <si>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</si>
  <si>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</si>
  <si>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</si>
  <si>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</si>
  <si>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</si>
  <si>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</si>
  <si>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</si>
  <si>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</si>
  <si>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</si>
  <si>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</si>
  <si>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</si>
  <si>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</si>
  <si>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</si>
  <si>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</si>
  <si>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</si>
  <si>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</si>
  <si>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</si>
  <si>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</si>
  <si>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</si>
  <si>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</si>
  <si>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</si>
  <si>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</si>
  <si>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</si>
  <si>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</si>
  <si>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</si>
  <si>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</si>
  <si>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</si>
  <si>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</si>
  <si>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</si>
  <si>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</si>
  <si>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</si>
  <si>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</si>
  <si>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</si>
  <si>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</si>
  <si>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</si>
  <si>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Número de usuarios de vertimientos de agua a 31/12/2015</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</si>
  <si>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</si>
  <si>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</si>
  <si>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</si>
  <si>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</si>
  <si>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</si>
  <si>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</si>
  <si>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</si>
  <si>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</si>
  <si>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</si>
  <si>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</si>
  <si>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</si>
  <si>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</si>
  <si>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</si>
  <si>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</si>
  <si>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</si>
  <si>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</si>
  <si>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</si>
  <si>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</si>
  <si>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</si>
  <si>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</si>
  <si>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</si>
  <si>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</si>
  <si>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</si>
  <si>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</si>
  <si>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</si>
  <si>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</si>
  <si>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</si>
  <si>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</si>
  <si>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</si>
  <si>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</si>
  <si>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</si>
  <si>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</si>
  <si>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</si>
  <si>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</si>
  <si>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</si>
  <si>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</si>
  <si>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</si>
  <si>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</si>
  <si>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</si>
  <si>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</si>
  <si>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</si>
  <si>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</si>
  <si>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</si>
  <si>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</si>
  <si>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</si>
  <si>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</si>
  <si>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</si>
  <si>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</si>
  <si>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</si>
  <si>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</si>
  <si>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</si>
  <si>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</si>
  <si>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</si>
  <si>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</si>
  <si>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</si>
  <si>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</si>
  <si>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</si>
  <si>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</si>
  <si>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</si>
  <si>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</si>
  <si>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</si>
  <si>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</si>
  <si>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</si>
  <si>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</si>
  <si>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</si>
  <si>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</si>
  <si>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</si>
  <si>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</si>
  <si>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</si>
  <si>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</si>
  <si>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</si>
  <si>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</si>
  <si>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</si>
  <si>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</si>
  <si>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</si>
  <si>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</si>
  <si>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</si>
  <si>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</si>
  <si>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</si>
  <si>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</si>
  <si>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</si>
  <si>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</si>
  <si>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</si>
  <si>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</si>
  <si>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</si>
  <si>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</si>
  <si>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</si>
  <si>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</si>
  <si>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</si>
  <si>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</si>
  <si>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</si>
  <si>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</si>
  <si>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</si>
  <si>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</si>
  <si>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</si>
  <si>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</si>
  <si>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</si>
  <si>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</si>
  <si>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</si>
  <si>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</si>
  <si>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</si>
  <si>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</si>
  <si>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</si>
  <si>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</si>
  <si>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</si>
  <si>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</si>
  <si>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</si>
  <si>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</si>
  <si>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</si>
  <si>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</si>
  <si>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</si>
  <si>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</si>
  <si>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</si>
  <si>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</si>
  <si>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</si>
  <si>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</si>
  <si>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</si>
  <si>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</si>
  <si>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</si>
  <si>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</si>
  <si>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</si>
  <si>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</si>
  <si>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</si>
  <si>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</si>
  <si>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</si>
  <si>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</si>
  <si>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</si>
  <si>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</si>
  <si>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</si>
  <si>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</si>
  <si>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</si>
  <si>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</si>
  <si>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</si>
  <si>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</si>
  <si>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</si>
  <si>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</si>
  <si>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</si>
  <si>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</si>
  <si>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</si>
  <si>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</si>
  <si>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</si>
  <si>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</si>
  <si>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</si>
  <si>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</si>
  <si>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</si>
  <si>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</si>
  <si>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</si>
  <si>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</si>
  <si>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</si>
  <si>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</si>
  <si>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</si>
  <si>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</si>
  <si>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</si>
  <si>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</si>
  <si>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</si>
  <si>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</si>
  <si>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</si>
  <si>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</si>
  <si>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</si>
  <si>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</si>
  <si>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</si>
  <si>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</si>
  <si>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</si>
  <si>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</si>
  <si>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</si>
  <si>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</si>
  <si>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</si>
  <si>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</si>
  <si>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</si>
  <si>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</si>
  <si>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</si>
  <si>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</si>
  <si>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</si>
  <si>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</si>
  <si>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</si>
  <si>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</si>
  <si>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</si>
  <si>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</si>
  <si>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</si>
  <si>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</si>
  <si>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</si>
  <si>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</si>
  <si>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</si>
  <si>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</si>
  <si>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</si>
  <si>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</si>
  <si>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</si>
  <si>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</si>
  <si>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</si>
  <si>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</si>
  <si>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</si>
  <si>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</si>
  <si>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</si>
  <si>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</si>
  <si>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</si>
  <si>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</si>
  <si>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</si>
  <si>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</si>
  <si>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</si>
  <si>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</si>
  <si>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</si>
  <si>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</si>
  <si>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</si>
  <si>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</si>
  <si>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</si>
  <si>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</si>
  <si>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</si>
  <si>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</si>
  <si>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</si>
  <si>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</si>
  <si>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</si>
  <si>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</si>
  <si>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</si>
  <si>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</si>
  <si>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</si>
  <si>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</si>
  <si>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</si>
  <si>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</si>
  <si>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</si>
  <si>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</si>
  <si>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</si>
  <si>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</si>
  <si>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</si>
  <si>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</si>
  <si>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</si>
  <si>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</si>
  <si>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</si>
  <si>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</si>
  <si>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</si>
  <si>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</si>
  <si>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</si>
  <si>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</si>
  <si>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</si>
  <si>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</si>
  <si>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</si>
  <si>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</si>
  <si>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</si>
  <si>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</si>
  <si>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</si>
  <si>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</si>
  <si>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</si>
  <si>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</si>
  <si>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</si>
  <si>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</si>
  <si>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</si>
  <si>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</si>
  <si>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</si>
  <si>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</si>
  <si>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</si>
  <si>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</si>
  <si>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</si>
  <si>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</si>
  <si>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</si>
  <si>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</si>
  <si>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</si>
  <si>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</si>
  <si>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</si>
  <si>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</si>
  <si>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</si>
  <si>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BORRE O AGREGUE REDES</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</si>
  <si>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</si>
  <si>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</si>
  <si>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</si>
  <si>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</si>
  <si>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</si>
  <si>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</si>
  <si>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</si>
  <si>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</si>
  <si>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</si>
  <si>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</si>
  <si>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</si>
  <si>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</si>
  <si>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</si>
  <si>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</si>
  <si>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Minero</t>
  </si>
  <si>
    <t>*</t>
  </si>
  <si>
    <t>Participación en FIMA</t>
  </si>
  <si>
    <t>Estado de avance a 31 de diciembre de 2015 (%)</t>
  </si>
  <si>
    <t>Promedio de Planes en ejecución</t>
  </si>
  <si>
    <t>Número total de áreas protegidas regionales declaradas, homologadas o recategorizadas, e inscritas en el RUNAP a 31/12/2019 (número)</t>
  </si>
  <si>
    <t>Superficie total de áreas protegidas regionales declaradas, homologadas o recategorizadas, inscritas en el RUNAP a 31/12/2019 (ha) (C+D)</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</si>
  <si>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</si>
  <si>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</si>
  <si>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</si>
  <si>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</si>
  <si>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</si>
  <si>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</si>
  <si>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</si>
  <si>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</si>
  <si>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</si>
  <si>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</si>
  <si>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</si>
  <si>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</si>
  <si>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</si>
  <si>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</si>
  <si>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</si>
  <si>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</si>
  <si>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</si>
  <si>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</si>
  <si>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</si>
  <si>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</si>
  <si>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</si>
  <si>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</si>
  <si>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</si>
  <si>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</si>
  <si>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</si>
  <si>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</si>
  <si>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</si>
  <si>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</si>
  <si>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</si>
  <si>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</si>
  <si>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</si>
  <si>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</si>
  <si>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</si>
  <si>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</si>
  <si>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</si>
  <si>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</si>
  <si>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</si>
  <si>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</si>
  <si>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</si>
  <si>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</si>
  <si>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</si>
  <si>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</si>
  <si>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</si>
  <si>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</si>
  <si>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</si>
  <si>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</si>
  <si>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</si>
  <si>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</si>
  <si>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</si>
  <si>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</si>
  <si>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</si>
  <si>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(17)
OBSERVACIONES</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</si>
  <si>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</si>
  <si>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</si>
  <si>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</si>
  <si>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</si>
  <si>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(8)
ACUMULADO DE LA META
FISICA
(Según unidad de medida)</t>
  </si>
  <si>
    <t xml:space="preserve">(9)
PORCENTAJE DE AVANCE 
FISICO ACUMULADO %
((8/7)*100)
</t>
  </si>
  <si>
    <t xml:space="preserve">(12)
AVANCE DE LA META
FINANCIERA
(Recursos comprometidos periodo Evaluado)
($)
</t>
  </si>
  <si>
    <t>(13)                           PORCENTAJE DEL AVANCE 
FINANCIERO %
(Periodo Evaluado)
((12/11)*100)</t>
  </si>
  <si>
    <t xml:space="preserve">(15)
ACUMULADO DE LA META
FINANCIERA
$
</t>
  </si>
  <si>
    <t xml:space="preserve">(16)
PORCENTAJE DE  AVANCE FINANCIERO ACUMULADO %
((15/14)*100)
</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</si>
  <si>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</si>
  <si>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</si>
  <si>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</si>
  <si>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</si>
  <si>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</si>
  <si>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</si>
  <si>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 xml:space="preserve">(1) PROGRAMAS - PROYECTOS  DEL Plan de Acción 2007-2009 </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</si>
  <si>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</si>
  <si>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</si>
  <si>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</si>
  <si>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</si>
  <si>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</si>
  <si>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</si>
  <si>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</si>
  <si>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</si>
  <si>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</si>
  <si>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 xml:space="preserve">(5-A) DESCRIPCIÓN DEL AVANCE 
</t>
  </si>
  <si>
    <t>En esta columna se puede describir en texto lo que se desea justificar, describir y aclarar del avance del programa, proyecto, actividad.</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</si>
  <si>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</si>
  <si>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</si>
  <si>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</si>
  <si>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</si>
  <si>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</si>
  <si>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Reporte el avance acumulado de la meta física que se obtenga desde la aprobación del Plan de Acción, incluyendo el periodo evaluado.  Ejemplo 100 Ha reforestadas (2004) más 140 Ha reforestadas (2005), acumulado 240 Ha (2004+2005)</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</si>
  <si>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</si>
  <si>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</si>
  <si>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</si>
  <si>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</si>
  <si>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(11)META FINANCIERA ANUAL</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</si>
  <si>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</si>
  <si>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</si>
  <si>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</si>
  <si>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</si>
  <si>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</si>
  <si>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(14) META FINANCIERA DEL PLAN</t>
  </si>
  <si>
    <t>Relacione aquí de acuerdo al plan de inversión del Plan de Acción  los montos de inversión previstos para cada programa o proyecto para los tres años. (incluye adiciones o modificaciones).</t>
  </si>
  <si>
    <t xml:space="preserve">(15)  AVANCE ACUMULADO DE LA META FINANCIERA </t>
  </si>
  <si>
    <t>Reporte el avance acumulado en la vigencia del Plan de Acción, desde su aprobación hasta el periodo del informe.  Ejemplo $100'000.000.oo (2004) + $150'000.000.oo (2005), da un acumulado de inversión del Plan de Acción de $250'000.000.oo</t>
  </si>
  <si>
    <t>(16) PORCENTAJE DE AVANCE FINANCIERO ACUMULADO %</t>
  </si>
  <si>
    <t>Calcule el porcentaje del avance acumulado de la Meta financiera programada en el Plan de Acción. Divida el valor de la columna  (15) con el valor de la columna (14) y multiplique por 100.</t>
  </si>
  <si>
    <t>(17) OBSERVACIONES</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</si>
  <si>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</si>
  <si>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</si>
  <si>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</si>
  <si>
    <t>Tributarios</t>
  </si>
  <si>
    <t>Otros</t>
  </si>
  <si>
    <t>No Tributarios</t>
  </si>
  <si>
    <t>Venta de Bienes y Servicios</t>
  </si>
  <si>
    <t>Operaciones Comerciales</t>
  </si>
  <si>
    <t>Aportes Patronales</t>
  </si>
  <si>
    <t>Aportes de Afiliados</t>
  </si>
  <si>
    <t>Aportes de otras entidades</t>
  </si>
  <si>
    <t>Transferencias Sector Electrico</t>
  </si>
  <si>
    <t>Otros Aportes de Otras Entidades</t>
  </si>
  <si>
    <t>Otros Ingresos</t>
  </si>
  <si>
    <t>Tasa Material de Arrastre</t>
  </si>
  <si>
    <t>Tasa por Uso del Agua</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</si>
  <si>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</si>
  <si>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</si>
  <si>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</si>
  <si>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</si>
  <si>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</si>
  <si>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</si>
  <si>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</si>
  <si>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</si>
  <si>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</si>
  <si>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</si>
  <si>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</si>
  <si>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Donaciones</t>
  </si>
  <si>
    <t>Funcionamiento</t>
  </si>
  <si>
    <t>CONCEPTO</t>
  </si>
  <si>
    <t>RECURSOS PROPIOS
$</t>
  </si>
  <si>
    <t>GASTOS DE PERSONAL</t>
  </si>
  <si>
    <t>GASTOS GENERALES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</si>
  <si>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</si>
  <si>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</si>
  <si>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</si>
  <si>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</si>
  <si>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</si>
  <si>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</si>
  <si>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</si>
  <si>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</si>
  <si>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</si>
  <si>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</si>
  <si>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</si>
  <si>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TOTAL GASTOS DE FUNCIONAMIENTO</t>
  </si>
  <si>
    <t>TOTAL INVERSION</t>
  </si>
  <si>
    <t xml:space="preserve">TOTAL PRESUPUESTO  </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</si>
  <si>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</si>
  <si>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</si>
  <si>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</si>
  <si>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</si>
  <si>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</si>
  <si>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</si>
  <si>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</si>
  <si>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</si>
  <si>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</si>
  <si>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</si>
  <si>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</si>
  <si>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</si>
  <si>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</si>
  <si>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</si>
  <si>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</si>
  <si>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</si>
  <si>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</si>
  <si>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</si>
  <si>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</si>
  <si>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</si>
  <si>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</si>
  <si>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</si>
  <si>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</si>
  <si>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</si>
  <si>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</si>
  <si>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</si>
  <si>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</si>
  <si>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</si>
  <si>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</si>
  <si>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</si>
  <si>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</si>
  <si>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</si>
  <si>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</si>
  <si>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</si>
  <si>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</si>
  <si>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</si>
  <si>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</si>
  <si>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</si>
  <si>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</si>
  <si>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</si>
  <si>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</si>
  <si>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</si>
  <si>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</si>
  <si>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ANEXOS INFORME DE SEGUIMIENTO AL PLAN DE ACCIÓN 2016-2019</t>
  </si>
  <si>
    <t>PERIODO REPORTADO:</t>
  </si>
  <si>
    <t xml:space="preserve">ANEXO NO. 3. MATRIZ DE REPORTE DE AVANCE DE INDICADORES MÍNIMOS DE GESTIÓN INCORPORADOS EN LA RESOLUCIÓN 667 DE 2016  </t>
  </si>
  <si>
    <t>PND. 2014 2018</t>
  </si>
  <si>
    <t>PGAR 2009 2019</t>
  </si>
  <si>
    <t>CORPORACIÓN AUTÓNOMA REGIONAL DE LA GUAJIRA - MATRIZ DE SEGUIMIENTO DEL PLAN DE ACCIÓN - AVANCE EN LAS METAS FÍSICAS Y FINANCIERAS DEL PLAN DE ACCIÓN  CUATRIENAL- PAC. 2016 - 2019</t>
  </si>
  <si>
    <t>Estrategia Regional</t>
  </si>
  <si>
    <t>Estrategia</t>
  </si>
  <si>
    <t>Temas</t>
  </si>
  <si>
    <r>
      <t xml:space="preserve">(1)
PROGRAMAS - PROYECTOS  DEL PLAN 2016-2019
(inserte filas cuando sea necesario)
</t>
    </r>
    <r>
      <rPr>
        <b/>
        <sz val="10"/>
        <color indexed="10"/>
        <rFont val="Arial Narrow"/>
        <family val="2"/>
      </rPr>
      <t/>
    </r>
  </si>
  <si>
    <t xml:space="preserve">   (2)                                      Unidad de Medida </t>
  </si>
  <si>
    <t>(10)               PONDERACIONES DE PROGRAMAS  Y PROYECTOS (OPCIONAL DE ACUERDO AL PLAN)</t>
  </si>
  <si>
    <t>(14)                                         META FINANCIERA   PERIODO DEL PLAN            
($)</t>
  </si>
  <si>
    <t>Caribe próspero, equitativo y sin pobreza extrema</t>
  </si>
  <si>
    <t>Consolidar un marco de política de cambio climático buscando su integración con la planificación ambiental, territorial y sectorial.  Mitigar el riesgo ante sequías e inundaciones (exacerbados por la variabilidad climática) en las zonas más vulnerables de la región mediante el ordenamiento territorial para la adaptación al cambio climático</t>
  </si>
  <si>
    <t>Planificación, Ordenamiento y Coordinación Ambiental.</t>
  </si>
  <si>
    <t>Planificación Ambiental para la Orientación de la Sociedad hacia la Eficiente Ocupación del Territorio</t>
  </si>
  <si>
    <t>Programa No 1. Planificacion, Ordenamiento Ambiental y Territorial</t>
  </si>
  <si>
    <t>Proyecto No 1.1.Planificación, Ordenamiento e Información Ambiental Territorial (1)</t>
  </si>
  <si>
    <t>Porcentaje de avance en la formulación y/o ajuste de los Planes de Ordenación y Manejo de Cuencas (POMCAS) y Planes de Manejo de Microcuencas (PMM)</t>
  </si>
  <si>
    <t>%</t>
  </si>
  <si>
    <t>NA</t>
  </si>
  <si>
    <t>Porcentaje de Municipios asesorados o asistidos en la inclusión del componente ambiental en los procesos de panificación y ordenamiento territorial, con énfasis en la incorporación de las determinantes ambientales para la revisión y ajuste de los POT</t>
  </si>
  <si>
    <t>Porcentaje de Actualización y reporte de la información en el SIAC</t>
  </si>
  <si>
    <t>Porcentaje de Planes de Ordenación y Manejo de Cuencas (POMCAS), Planes de Manejo de Acuíferos (PMA) y Planes de Manejo de Microcuencas (PMM) en ejecución con seguimiento.</t>
  </si>
  <si>
    <t>Porcentaje de planes de Manejo Ambiental con seguimiento</t>
  </si>
  <si>
    <t>Porcentaje de municipios con seguimiento al cumplimiento de los asuntos ambientales concertados en los POT adoptados</t>
  </si>
  <si>
    <t>Porcentaje de mapas temáticos elaborados</t>
  </si>
  <si>
    <t>Porcentaje de delimitación y zonificación de humedales.</t>
  </si>
  <si>
    <t>Proyecto No 1.2. Gestión del Riesgo y adaptación al Cambio Climático (2)</t>
  </si>
  <si>
    <t>Porcentaje de Redes y estaciones de monitoreo en operación</t>
  </si>
  <si>
    <t>Porcentaje de ejecución de acciones en mitigación de GEI y/o adaptación al cambio climático.</t>
  </si>
  <si>
    <t>Ejecución de acciones para el fortalecimiento del Nodo Regional de Cambio Climático Caribe e Insular</t>
  </si>
  <si>
    <t># de Acciones</t>
  </si>
  <si>
    <t>Porcentaje de ejecución de acciones en conocimiento y reducción del riesgo y manejo de desastres naturales</t>
  </si>
  <si>
    <t>Fortalecimiento institucional y gobernanza, para optimizar el desempeño del SINA, la educación e investigación y la generación de información y conocimiento ambiental.</t>
  </si>
  <si>
    <t>Producción y democratización del conocimiento como apoyo a la gestión ambiental territorial</t>
  </si>
  <si>
    <t>Proyecto No 1.3. Gestión del conocimiento y Cooperación Internacional (3)</t>
  </si>
  <si>
    <t>Numero de actualización del software de Banco de Programas y Proyectos</t>
  </si>
  <si>
    <t>#</t>
  </si>
  <si>
    <t>Porcentaje de proyectos con seguimiento y evaluación.</t>
  </si>
  <si>
    <t>Número de proyectos formulados y gestionados</t>
  </si>
  <si>
    <t>Funcionarios públicos, representantes de comunidades, organizaciones y minorías étnicas capacitadas.</t>
  </si>
  <si>
    <t xml:space="preserve"> Gestión integral de los recursos naturales y el ambiente  para el desarrollo sostenible de La Guajira  </t>
  </si>
  <si>
    <t>Programa No 2. Gestión Integral del Recurso Hídrico</t>
  </si>
  <si>
    <t>Proyecto 2.1. Administración de la oferta y demanda del recurso hídrico. (Superficiales y subterráneas) (4).</t>
  </si>
  <si>
    <t xml:space="preserve">Porcentaje de avance en la formulación y/o ajuste de Planes de Manejo de Acuíferos (PMA) </t>
  </si>
  <si>
    <t>Porcentaje de Cuerpos de agua con reglamentación del uso de las aguas</t>
  </si>
  <si>
    <t>Porcentaje de Planes de Manejo de Acuíferos (PMA) en ejecucion</t>
  </si>
  <si>
    <t>Número de población de comunidades indígenas y negras beneficiadas con obras de infraestructura para captación y/o almacenamiento de agua.</t>
  </si>
  <si>
    <t>Cuerpos de agua con revisión de reglamentación del uso de las aguas.</t>
  </si>
  <si>
    <t>Líneas de cauce con obras de control de inundaciones, erosión, caudales, escorrentía, rectificación y manejo de cauces, regulación de cauces y demás obras para mitigar los  riesgos asociados a la oferta y disponibilidad de agua.</t>
  </si>
  <si>
    <t>Kms</t>
  </si>
  <si>
    <t>Número de estudio Regional del agua desarrollado.</t>
  </si>
  <si>
    <t>Proyecto 2.2.  Monitoreo de la calidad del recurso hídrico (5).</t>
  </si>
  <si>
    <t>Número de fuentes puntuales de vertimiento de aguas residuales (domésticas y de los sectores productivos) con cobro de la tasa retributiva.</t>
  </si>
  <si>
    <t>Número de fuentes abastecedoras de acueductos de centros poblados con monitoreo de calidad del agua para generar indice de calidad.</t>
  </si>
  <si>
    <t xml:space="preserve">Número de corrientes o tramos de las mismas con objetivos de calidad monitoreados </t>
  </si>
  <si>
    <t>Número de estaciones de muestreo de calidad de aguas marinas y costeras con monitoreo de la calidad del agua</t>
  </si>
  <si>
    <t>Número de vertimientos puntuales al recurso hídrico con monitoreo en términos de DBO y SST</t>
  </si>
  <si>
    <t>Número de pozos de agua subterránea de la red regional con monitoreo de calidad</t>
  </si>
  <si>
    <t>Número de parámetros acreditados en el laboratorio Ambiental ante el IDEAM</t>
  </si>
  <si>
    <t>Conservar el flujo de servicios ecosistémicos a través de la protección de los ecosistemas de la región para beneficio de la población</t>
  </si>
  <si>
    <t>Recuperar y Mantener los Ecosistemas Estrategicos</t>
  </si>
  <si>
    <t>Programa No 3. Bosques, Biodiversidad y Servicios Ecosistemicos.</t>
  </si>
  <si>
    <t>Proyecto No 3.1. Ecosistemas estratégicos continentales y marinos (6).</t>
  </si>
  <si>
    <t>Porcentaje de la Superficie de áreas protegidas regionales declaradas, homologadas o recategorizadas e inscritas en el RUNAP</t>
  </si>
  <si>
    <t>Porcentaje de Áreas protegidas con planes de manejo en ejecución</t>
  </si>
  <si>
    <t>Porcentaje de Áreas de ecosistemas en restauración, rehabilitación y reforestación de Ecosistemas.</t>
  </si>
  <si>
    <t xml:space="preserve">Diseño e implementación de estrategia de conservación de los suelos. </t>
  </si>
  <si>
    <t>Kilómetros lineales de costa intervenidos con medidas de mitigación contra la erosión costera</t>
  </si>
  <si>
    <t>Número de proyectos para mitigar efectos de la erosión costera formulados.</t>
  </si>
  <si>
    <t>Protección Ambiental y Planificación del Desarrollo Sostenible</t>
  </si>
  <si>
    <t xml:space="preserve">Gestión integral de los recursos naturales y el ambiente  para el desarrollo sostenible de La Guajira  </t>
  </si>
  <si>
    <t>Proyecto No 3.2. Protección y conservación de la biodiversidad (7).</t>
  </si>
  <si>
    <t>Porcentaje de avance en la formulación del Plan General de Ordenación Forestal.</t>
  </si>
  <si>
    <t>Porcentaje de Especies amenazadas con medidas de conservación y manejo en ejecución.</t>
  </si>
  <si>
    <t>Porcentaje de Especies invasoras con medidas de prevención, control y manejo en ejecución.</t>
  </si>
  <si>
    <t>Porcentaje de avance de ejecución del Plan General de Ordenación Forestal adoptado.</t>
  </si>
  <si>
    <t>Número de investigaciones realizadas de especies promisorias (flora y fauna silvestre).</t>
  </si>
  <si>
    <t>Número de programas de uso y manejo sostenible de especies promisorias Implementados.</t>
  </si>
  <si>
    <t>Proyecto No 3.3. Negocios verdes y sostenibles (8).</t>
  </si>
  <si>
    <t>Programa No 4. Gestion Ambiental Sectorial y Urbana.</t>
  </si>
  <si>
    <t>Proyecto No 4.1. Gestión Ambiental Urbana (9).</t>
  </si>
  <si>
    <t>Ejecución de acciones en Gestión Ambiental Urbana</t>
  </si>
  <si>
    <t>Proyecto No 4.2. Gestión Ambiental Sectorial (10)</t>
  </si>
  <si>
    <t>Participación para el desarrollo y divulgación de una cultura ambiental más amigable con nuestro entorno</t>
  </si>
  <si>
    <t>Programa No. 5. Educacion Ambiental</t>
  </si>
  <si>
    <t>Proyecto No 5.1. Cultura Ambiental (11)</t>
  </si>
  <si>
    <t>Proyecto No. 5.2. Participación Comunitaria (12).</t>
  </si>
  <si>
    <t>Programa No 6. Calidad Ambiental</t>
  </si>
  <si>
    <t>Administración, Control y Vigilancia del ambiente, sus recursos naturales renovables y ecosistemas estratégicos.</t>
  </si>
  <si>
    <t>Proyecto No. 6.1.  (13). Evaluación, Seguimiento, Monitoreo y Control de la calidad de los recursos naturales y la biodiversidad.</t>
  </si>
  <si>
    <t>Porcentaje de Autorizaciones ambientales con seguimiento</t>
  </si>
  <si>
    <t>Tiempo Promedio de trámites para la resolución de autorizaciones ambientales otorgadas por la corporación</t>
  </si>
  <si>
    <t># de Dias</t>
  </si>
  <si>
    <t>Porcentaje de procesos sancionatorios resueltos</t>
  </si>
  <si>
    <t>Número de operativos de control al tráfico ilegal de flora y fauna realizados.</t>
  </si>
  <si>
    <t>Proyecto No 6.2. Calidad del Aire (14).</t>
  </si>
  <si>
    <t>Numero de campañas que fortalecen el SVCA, mediante el control de emisiones de fuentes móviles realizados</t>
  </si>
  <si>
    <t xml:space="preserve">Porcentaje de vehículos revisados por la autoridad ambiental </t>
  </si>
  <si>
    <t>Registro de la calidad del aire en centros poblados mayores de 100000 habitantes, y corredores industriales determinado en redes de monitoreo con equipos PM10</t>
  </si>
  <si>
    <t>µg/m3</t>
  </si>
  <si>
    <t xml:space="preserve">Registro de la calidad del aire en centros poblados mayores de 100000 habitantes, y corredores industriales determinado en redes de monitoreo con equipos PST </t>
  </si>
  <si>
    <t>Número de estaciones  reportadas al  SISAIRE</t>
  </si>
  <si>
    <t>Identificacion Presupuestal</t>
  </si>
  <si>
    <t>Nivel Rentístico</t>
  </si>
  <si>
    <t>Recaudado</t>
  </si>
  <si>
    <t>1800-0103</t>
  </si>
  <si>
    <t>1800-010301</t>
  </si>
  <si>
    <t>1800-01030101</t>
  </si>
  <si>
    <t>Participación Ambiental Municipios</t>
  </si>
  <si>
    <t>1800-010301010101-07</t>
  </si>
  <si>
    <t>Sobretasa o Porcentaje Ambiental</t>
  </si>
  <si>
    <t>1800-01030102</t>
  </si>
  <si>
    <t xml:space="preserve">Otros por Venta de Bienes y Servicios </t>
  </si>
  <si>
    <t>1800-010301020102-02</t>
  </si>
  <si>
    <t>1800-0103010206010445-04</t>
  </si>
  <si>
    <t>Convenios con Otras Entidades</t>
  </si>
  <si>
    <t>1800-0103010201</t>
  </si>
  <si>
    <t>1800-010301020101-05</t>
  </si>
  <si>
    <t>Tasa Retributiva y Compensatoria</t>
  </si>
  <si>
    <t>1800-010301020102-11</t>
  </si>
  <si>
    <t>1800-010301020103-12</t>
  </si>
  <si>
    <t>Movilización Material Vegetal</t>
  </si>
  <si>
    <t>1800-010301020104-12</t>
  </si>
  <si>
    <t>1800-010301020105-12</t>
  </si>
  <si>
    <t xml:space="preserve">Tasa Aprovechamiento Forestal </t>
  </si>
  <si>
    <t>Movilización Ilegal de Madera</t>
  </si>
  <si>
    <t>1800-010301020202</t>
  </si>
  <si>
    <t xml:space="preserve">Multas </t>
  </si>
  <si>
    <t>1800-010301020201-12</t>
  </si>
  <si>
    <t>Multas y sanciones por infracciones ambientales</t>
  </si>
  <si>
    <t>1800-0103010208</t>
  </si>
  <si>
    <t>1800-010301020805-02</t>
  </si>
  <si>
    <t>Seguimiento a licencias, permisos y trámites</t>
  </si>
  <si>
    <t>1800-010301020810-30</t>
  </si>
  <si>
    <t xml:space="preserve">Recuperacion Incapacidad y Licencia de Maternidad </t>
  </si>
  <si>
    <t>1800-01030102080-12</t>
  </si>
  <si>
    <t>1800-010302</t>
  </si>
  <si>
    <t>1800-01030203</t>
  </si>
  <si>
    <t>1800-01030205</t>
  </si>
  <si>
    <t xml:space="preserve">Recurperacion de Cartera </t>
  </si>
  <si>
    <t>1800-0104</t>
  </si>
  <si>
    <t>Aportes de La Nacion</t>
  </si>
  <si>
    <t>1800-01040000 10</t>
  </si>
  <si>
    <t>FCA Funcionamiento</t>
  </si>
  <si>
    <t>Inversión. FCA</t>
  </si>
  <si>
    <t>Inversion FONAM</t>
  </si>
  <si>
    <t>Total Ingresos Vigencia</t>
  </si>
  <si>
    <t>ANEXO 5-2</t>
  </si>
  <si>
    <t xml:space="preserve">INFORME DE EJECUCION PRESUPUESTAL DE GASTOS </t>
  </si>
  <si>
    <t>CORPORACION AUTONOMA REGIONAL DE LA GUAJIRA</t>
  </si>
  <si>
    <t>TOTAL RECURSOS 
(PROPIOS -NACION-SGR)
$</t>
  </si>
  <si>
    <t>PRESUPUESTADO</t>
  </si>
  <si>
    <t>COMPROMETIDO</t>
  </si>
  <si>
    <t>Adquisición de Bienes y servicios</t>
  </si>
  <si>
    <t>Indemnizaciones</t>
  </si>
  <si>
    <t>Programa 1. Ordenamiento Ambiental Territorial</t>
  </si>
  <si>
    <t>Proyecto 1.1. Planificación, Ordenamiento e Información Ambiental Territorial</t>
  </si>
  <si>
    <t>Proyecto 1.2. Gestión del Riesgo y adaptación al Cambio Climático.</t>
  </si>
  <si>
    <t>Proyecto 1.3. Gestión del conocimiento y Cooperación Internacional.</t>
  </si>
  <si>
    <t>Programa 2. Gestión Integral del Recurso Hídrico</t>
  </si>
  <si>
    <t>Proyecto 2.1.Administración de la oferta y demanda del recurso hídrico. (Superficiales y subterráneas).</t>
  </si>
  <si>
    <t>Proyecto 2.2. .  Monitoreo de la calidad del recurso hídrico.</t>
  </si>
  <si>
    <t>Programa 3. Bosques, Biodiversidad y Servicios Ecosistémicos.</t>
  </si>
  <si>
    <t>Proyecto 3.1. Ecosistemas estratégicos continentales y marinos Costeros</t>
  </si>
  <si>
    <t>Proyecto 3.2. Protección y conservación de la biodiversidad.</t>
  </si>
  <si>
    <t>Proyecto 3.3.Negocios verdes y sostenibles.</t>
  </si>
  <si>
    <t>Progrma 4. Gestión Ambiental Sectorial y Urbana</t>
  </si>
  <si>
    <t>Proyecto 4.1. Gestión Ambiental Urbana</t>
  </si>
  <si>
    <t>Proyecto 4.2. Gestión Ambiental Sectorial</t>
  </si>
  <si>
    <t>Programa 5. Educación Ambiental</t>
  </si>
  <si>
    <t>Proyecto 5.1. Cultura Ambiental</t>
  </si>
  <si>
    <t>Proyecto 5.2.Participación Comunitaria</t>
  </si>
  <si>
    <t>Programa 6. Calidad Ambiental</t>
  </si>
  <si>
    <t>Proyecto 6.1. Monitoreo, evaluación y Seguimiento de la calidad de los recursos naturales y la biodiversidad.</t>
  </si>
  <si>
    <t>Proyecto 4.3. Calidad del aire</t>
  </si>
  <si>
    <t xml:space="preserve">FCA </t>
  </si>
  <si>
    <t>FONAM</t>
  </si>
  <si>
    <t>OTRAS (ASOCARS)</t>
  </si>
  <si>
    <t>PAGOS</t>
  </si>
  <si>
    <t xml:space="preserve">Inversion </t>
  </si>
  <si>
    <t>Presu-Comp</t>
  </si>
  <si>
    <t>Comp-Pago</t>
  </si>
  <si>
    <t>TAPIAS</t>
  </si>
  <si>
    <t>CAMARONES</t>
  </si>
  <si>
    <t>Procesos formales pevioss</t>
  </si>
  <si>
    <t>Procesos formales previos</t>
  </si>
  <si>
    <t>1503-02</t>
  </si>
  <si>
    <t>ANCHO Y OTROS DIRECTOS AL CARIBE</t>
  </si>
  <si>
    <t>1503-01</t>
  </si>
  <si>
    <t>PALOMINO</t>
  </si>
  <si>
    <t>CORPOGUAJIRA</t>
  </si>
  <si>
    <t>oficinadeplaneacion@corpoguajira.gov.co</t>
  </si>
  <si>
    <t>Cra 7 # 12 - 15</t>
  </si>
  <si>
    <t>SAC 3.1</t>
  </si>
  <si>
    <t>SAC 3.2</t>
  </si>
  <si>
    <t>Sistema de Acuifero Riohacha - Manaure</t>
  </si>
  <si>
    <t>Sistema Acuifero de Maicao</t>
  </si>
  <si>
    <t>SAC 3.3</t>
  </si>
  <si>
    <t>Sistema de Acuifero Alta Guajira</t>
  </si>
  <si>
    <t>SAC 4.2</t>
  </si>
  <si>
    <t>Sistema de Acuifero Ranchería</t>
  </si>
  <si>
    <t>Corpoguajira</t>
  </si>
  <si>
    <t>Oficina Asesora de Planeación</t>
  </si>
  <si>
    <t>Jefe Oficina Asesora de Planeación</t>
  </si>
  <si>
    <t>Profesional Especializado Grado 19</t>
  </si>
  <si>
    <t>Grupo Administración Integral del Recurso Hidrico</t>
  </si>
  <si>
    <t>Julio Segundo Curvelo Redondo</t>
  </si>
  <si>
    <t>j.curvelo@corpoguajira.gov.co</t>
  </si>
  <si>
    <t>Calle 7 # 12 15</t>
  </si>
  <si>
    <t>7282672, Ext 114</t>
  </si>
  <si>
    <t>Grupo de Licenciamiento, permisos y autorizaciones ambientales.</t>
  </si>
  <si>
    <t>Profesional Especializado, Grado 19</t>
  </si>
  <si>
    <t>7282672; Ext 322</t>
  </si>
  <si>
    <t>Cultura Ambiental</t>
  </si>
  <si>
    <t xml:space="preserve">Participacion Comunitaria </t>
  </si>
  <si>
    <t>Relleno sanitarios</t>
  </si>
  <si>
    <t>Riego</t>
  </si>
  <si>
    <t>Servicios</t>
  </si>
  <si>
    <t>Obras civiles</t>
  </si>
  <si>
    <t>Carrera 7 N° 12-15</t>
  </si>
  <si>
    <t>Subdirección de Autoridad Ambiental; Grupo de Seguimiento Ambiental.</t>
  </si>
  <si>
    <t>Profesional Especializado, Código 2028, Grado 19</t>
  </si>
  <si>
    <t xml:space="preserve">Corporacion Autonoma Regional de La Guajira </t>
  </si>
  <si>
    <t>Yerlis Yanet Caraballo Roble</t>
  </si>
  <si>
    <t>Yovani Delgado Moreno</t>
  </si>
  <si>
    <t>y.delgado@car.corpoguajira.gov.co</t>
  </si>
  <si>
    <t>(5) 72826 72, Ext 203</t>
  </si>
  <si>
    <t>Carrera 7 # 12 - 15</t>
  </si>
  <si>
    <t>Paramo Cerro Pintao, Complejo Perijá</t>
  </si>
  <si>
    <t>(5) 7282672, Ext 203</t>
  </si>
  <si>
    <t>7282672, Ext 203</t>
  </si>
  <si>
    <t xml:space="preserve">Albania </t>
  </si>
  <si>
    <t>Hatonuevo</t>
  </si>
  <si>
    <t>Barrancas</t>
  </si>
  <si>
    <t>Pacharoca</t>
  </si>
  <si>
    <t>Los Remedios</t>
  </si>
  <si>
    <t>Provincial</t>
  </si>
  <si>
    <t>Cuestecitas</t>
  </si>
  <si>
    <t>Papayal</t>
  </si>
  <si>
    <t>Las Casitas</t>
  </si>
  <si>
    <t>Conejo</t>
  </si>
  <si>
    <t>Barrancas Urbana</t>
  </si>
  <si>
    <t>Albania</t>
  </si>
  <si>
    <t>Fonseca</t>
  </si>
  <si>
    <t>SVCA CORPOGUAJIRA</t>
  </si>
  <si>
    <t>Acuerdo # 008 del 11 de Mayo de 2016</t>
  </si>
  <si>
    <t>Grupo de Seguimiento Ambiental</t>
  </si>
  <si>
    <t>(5) 7282672, Ext.  117</t>
  </si>
  <si>
    <t>(5) 7282672, Ext. 117</t>
  </si>
  <si>
    <t>(5) 7282672 / 7275125 / 7286778. Extensión 117</t>
  </si>
  <si>
    <t>Saneamiento</t>
  </si>
  <si>
    <t>Restauración</t>
  </si>
  <si>
    <t>Fortalecimiento comunitario</t>
  </si>
  <si>
    <t>Continental</t>
  </si>
  <si>
    <t>Marina</t>
  </si>
  <si>
    <t>Fauna</t>
  </si>
  <si>
    <t>Pez Leon</t>
  </si>
  <si>
    <t>Flora</t>
  </si>
  <si>
    <t>Caoba (Swiettenia macrophylla)</t>
  </si>
  <si>
    <t>Restauracion activa</t>
  </si>
  <si>
    <t xml:space="preserve">Rstauracion activa </t>
  </si>
  <si>
    <t>Conservacion in situ</t>
  </si>
  <si>
    <t>(5) 7282672. Ext 203</t>
  </si>
  <si>
    <t>Cra 7 # 12  - 15</t>
  </si>
  <si>
    <t>Acuerdo # 008 del 11 de mayo de 2016</t>
  </si>
  <si>
    <t>Grupo de Ecosistemas y Biodiversidad</t>
  </si>
  <si>
    <t>(5) 7282672, Ext. 124</t>
  </si>
  <si>
    <t>Cra. 7 # 12 - 15</t>
  </si>
  <si>
    <t>RFP</t>
  </si>
  <si>
    <t xml:space="preserve"> Montes de Oca</t>
  </si>
  <si>
    <t>Inversión asociada a la ejecución de los planes de manejo de áreas protegidas (En Millones $)</t>
  </si>
  <si>
    <t>MUSICHI</t>
  </si>
  <si>
    <t>DMI</t>
  </si>
  <si>
    <t>Bañaderos</t>
  </si>
  <si>
    <t>(5) 7282672</t>
  </si>
  <si>
    <t xml:space="preserve">(5) 7282672. </t>
  </si>
  <si>
    <t>Puy (Tabebuia bilbergi),</t>
  </si>
  <si>
    <t xml:space="preserve">Corazon fino (Platysmicium pinnatum), </t>
  </si>
  <si>
    <t xml:space="preserve">Cedro (Cedrela odorata), </t>
  </si>
  <si>
    <t xml:space="preserve">Ceiba tolua (Pachira quinata), </t>
  </si>
  <si>
    <t>Carreto (Aspisoperma polyneuron)</t>
  </si>
  <si>
    <t>Formulación del plan acción para la ejecución del Plan Regional de Negocios Verdes</t>
  </si>
  <si>
    <t>Conformación de ventanillas/Nodo de negocios verdes o realización de alianzas o acuerdos con otras instituciones para su implementación.</t>
  </si>
  <si>
    <t>Grupo de Ecosistemas y biodiversidad</t>
  </si>
  <si>
    <t>(5) 7282672. Ext 124</t>
  </si>
  <si>
    <t>Identificar condiciones ambientales a humedales costeros en el Municipio de Dibulla, UAC Vertiente Norte Sierra Nevada de Santa Marta.</t>
  </si>
  <si>
    <t>Identificar condiciones ambientales humedales urbano costeros en el Municipio de Riohacha, UAC Vertiente Norte de la Sierra Nevada de Santa Marta.</t>
  </si>
  <si>
    <t>Identificar condiciones ambientales al humedal costero de Musichi en el Municipio de Manaure, UAC Alta Guajira - AG</t>
  </si>
  <si>
    <t>Taller de Trabajo para la socialización de los lineamientos técnicos para la incorporación de consideraciones de cambio climático en los POMIUAC</t>
  </si>
  <si>
    <t xml:space="preserve"> Comisión Conjunta No. 004 UAC AG,  correspondiente a la No. 1 de 2016</t>
  </si>
  <si>
    <t>Estudios para la modelación y diseño de obras de control de erosión costera para los barrios José Antonio Galán y Marbella, Riohacha – La Guajira</t>
  </si>
  <si>
    <t>Modelación geoeléctricas con los SEV en el área del municipio de Maicao.</t>
  </si>
  <si>
    <t>Desarrollar modelos que permitan mostrar la disponibilidad de agua en los acuíferos del municipio de Maicao</t>
  </si>
  <si>
    <t>Exploraciones geoeléctricas</t>
  </si>
  <si>
    <t>Seguimiento y monitoreo a las comunidades indígenas para motivarlos a notificar ante la corporación cualquier eventualidad en las infraestructuras de suministro de agua (filtraciones, daños, etc.)</t>
  </si>
  <si>
    <t>Orientar e incrementar las acciones de legalización de las captaciones de aguas subterráneas.</t>
  </si>
  <si>
    <t>Implementar programas de legalización de los usuarios.</t>
  </si>
  <si>
    <t>Optimizar, complementar y mantener en operación permanente la red de monitoreo de calidad y cantidad del agua subterránea.</t>
  </si>
  <si>
    <t>Adoptar programas y tecnologías de reducción de pérdidas de agua y mejoramiento de la infraestructura obsoleta existente en los sistemas de abastecimiento de agua.</t>
  </si>
  <si>
    <t>Incrementar la capacidad de participación de todos los actores involucrados en el plan de manejo de aguas subterráneas.</t>
  </si>
  <si>
    <t>Seguimiento, actualización y calibración del modelo numérico.</t>
  </si>
  <si>
    <t>Diseñar e implementar medidas para la identificación de captaciones abandonadas</t>
  </si>
  <si>
    <t>Diseño de una base de datos en la cual se consolide toda la información de los instrumentos.</t>
  </si>
  <si>
    <t>Realización de  estudios y pruebas que permitan identificar, recopilar, y analizar  información  para la obtención del proyecto piloto.</t>
  </si>
  <si>
    <t>Porcentaje de Planes de Ordenación y Manejo de Cuencas (POMCAS), Planes de Manejo de Acuiferos (PMA) y Planes de Manejo de Microcuencas (PMM) en ejecución</t>
  </si>
  <si>
    <t>Delta Rio Ranchería</t>
  </si>
  <si>
    <t>Cuenca Baja Rio Ranchería</t>
  </si>
  <si>
    <t>PNR</t>
  </si>
  <si>
    <t>Cerro Pintao</t>
  </si>
  <si>
    <t>(5) 7282672. Ext. 124</t>
  </si>
  <si>
    <t>Grupo de Ecosistemas y Biodiversidad; Grupo Administración y Aprovechamiento del Recurso Hidrico</t>
  </si>
  <si>
    <t>g.fonseca@corpoguajira.gov.co; j.curvelo@corpoguajira.gov.co</t>
  </si>
  <si>
    <t>(5) 7282672. Ext. 124; 214</t>
  </si>
  <si>
    <t>Declarado</t>
  </si>
  <si>
    <t>Pastos Marinos</t>
  </si>
  <si>
    <t>Bahia Honda, Bahia Hondita</t>
  </si>
  <si>
    <t xml:space="preserve">Observaciones Generales </t>
  </si>
  <si>
    <t xml:space="preserve">Realización de evaluaciones ambientales estratégica e identificación de su huella de carbono en los sectores turismo, comercio, industrias, pesca, e instituciones </t>
  </si>
  <si>
    <t>Capacitación y campañas para la disposición final de residuos peligrosos de Posconsumo.</t>
  </si>
  <si>
    <t>Implementación de estrategias para la prevención de la explotación ilícita de minerales y recursos naturales.</t>
  </si>
  <si>
    <t>Asesoría para la formación en buenas prácticas ambientales para el ejercicio de la pequeña, mediana y minería de subsistencia</t>
  </si>
  <si>
    <t xml:space="preserve">Implementación de estrategias para la producción más limpia con los sectores productivos </t>
  </si>
  <si>
    <t>Implementación de estrategias de capacitación para la prevención, control y manejo de incendios forestales con el sector agropecuario</t>
  </si>
  <si>
    <t>Socialización de la estrategia de divulgación y capacitación a actores en cambio climático y de la Política Nacional para la Gobernanza y la Cultura del Agua PGNCA en los sectores productivos.</t>
  </si>
  <si>
    <t>Implementación de estrategias para la conservación de espacios naturales con vocación turística.</t>
  </si>
  <si>
    <t>Mineria</t>
  </si>
  <si>
    <t>Mineria y Turismo</t>
  </si>
  <si>
    <t xml:space="preserve">Turismo </t>
  </si>
  <si>
    <t>(5) 7282672. Ext. 108</t>
  </si>
  <si>
    <t>Conocer e identificar la base natural que soporta el territorio.  Asesorías a los municipios de Riohacha y Maicao para la delimitación de la estructura ecológica urbana.</t>
  </si>
  <si>
    <t>Identificar, prevenir y mitigar amenazas y vulnerabilidades de origen natural, socio natural y antrópico. Desarrollo de campañas para la recuperación de humedales, mantenimiento o adecuación de canales, acequias o pasos de aguas de escorrentía.</t>
  </si>
  <si>
    <t xml:space="preserve">Conservar, preservar y recuperar elementos naturales del espacio público. Realización de jornadas de arborización urbana en viviendas de interés social, vivienda de interés prioritarias y/o áreas públicas </t>
  </si>
  <si>
    <t>Recuperación participativa de barrios para la gestión ambiental urbana.</t>
  </si>
  <si>
    <t>Desarrollo de jornadas para la conservación ambiental en zonas de playas de los municipios costeros del Departamento.</t>
  </si>
  <si>
    <t>Asesorías para la formulación e implementación de los planes locales de arborización en Riohacha y Maicao.</t>
  </si>
  <si>
    <t>Asesoría y asistencia técnica a los entes territoriales en alternativas innovadoras para la disposición final de residuos sólidos</t>
  </si>
  <si>
    <t>Sensibilización de la aplicación del comparendo ambiental.</t>
  </si>
  <si>
    <t>Promoción del reciclaje y aprovechamiento de residuos orgánicos e inorgánicos enfocado al programa Basura 0.</t>
  </si>
  <si>
    <t>Asesorías para la conformación o fortalecimiento a grupos de recicladores o empresas comunitarias prestadoras de servicios públicos en saneamiento.</t>
  </si>
  <si>
    <t>Recopilación, análisis y reporte de los Indicadores de Calidad Ambiental Urbana.</t>
  </si>
  <si>
    <t>Asesoría y asistencia técnica para la gestión de residuos de centros de acopio de residuos sólidos reciclables, escombros y demolición.</t>
  </si>
  <si>
    <t>Grupo de Educación Ambiental</t>
  </si>
  <si>
    <t>(5) 7282672. Ext 108</t>
  </si>
  <si>
    <t>Meta Fisica</t>
  </si>
  <si>
    <t>Programa/Proyecto</t>
  </si>
  <si>
    <t>Meta Financiera</t>
  </si>
  <si>
    <t>Recursos Comprometidos</t>
  </si>
  <si>
    <t>% Cumplimiento Meta Fisica</t>
  </si>
  <si>
    <t>%  Cumplimiento Meta Financiera</t>
  </si>
  <si>
    <t>Grupo Ecosistemas y Biodiversidad</t>
  </si>
  <si>
    <t>(5) 7271225. Ext. 124</t>
  </si>
  <si>
    <t>N L.A.: Número de solicitudes de licencia ambiental otorgados o negados.</t>
  </si>
  <si>
    <t>Grupo Licenciamiento Ambiental</t>
  </si>
  <si>
    <t>(5) 7275125. Ext 322</t>
  </si>
  <si>
    <t>(5) 7275125. Ext. 203, 322</t>
  </si>
  <si>
    <t>Estimar la población y habitat actual bajo presión del trafico ilegal</t>
  </si>
  <si>
    <t>Rehabilitación postdecomiso</t>
  </si>
  <si>
    <t>Agouti paca</t>
  </si>
  <si>
    <t>Mazama americano</t>
  </si>
  <si>
    <t>Puma concolor</t>
  </si>
  <si>
    <t>Desarrollar procesos de conservación con enfoque en póblación de marimonda y guacamaya verde</t>
  </si>
  <si>
    <t xml:space="preserve">N C.A.S.: Número de solicitudes de concesión de agua atendidas en el periodo. </t>
  </si>
  <si>
    <t>N P.V.: Número de solicitudes de permisos de vertimiento atendidas en el periodo.</t>
  </si>
  <si>
    <t>N A.F. Número de solicitudes de permisos de aprovechamiento forestal atendidas en el periodo</t>
  </si>
  <si>
    <t>N P.E. Número de solicitudes de permisos de emisiones atmosféricas atendidas en el periodo</t>
  </si>
  <si>
    <t>TLA. Tiempo efectivo de duración del tramite de otorgamiento de concesiónes de agua (# de días)</t>
  </si>
  <si>
    <t xml:space="preserve"> ANEXO 1.   MATRIZ DE  SEGUIMIENTO A LA GESTIÓN Y AVANCE EN LAS METAS FÍSICAS Y FINANCIERAS DEL PLAN DE ACCIÓN 2016- 2016.</t>
  </si>
  <si>
    <t>Licencias, permisos y tramites ambientales (evaluación)</t>
  </si>
  <si>
    <t>Número total de licencias ambientales vigentes y aprobadas por la Corporación a 31/12/2106:</t>
  </si>
  <si>
    <t>Número de permisos de vertimiento de agua otorgadas a 31/12/2016</t>
  </si>
  <si>
    <t>Número de puntos de vertimientos a 31/12/2016</t>
  </si>
  <si>
    <t>Número de usuarios de permisos de aprovechamiento forestal a 31/12/2016</t>
  </si>
  <si>
    <t>Número de permisos de aprovechamiento forestal vigentes a 31/12/2016</t>
  </si>
  <si>
    <t>Número de usuarios de permisos de emisiones atmosféricas a 31/12/2016</t>
  </si>
  <si>
    <t>Número de permisos de emisiones atmosféricas vigentes a 31/12/2016</t>
  </si>
  <si>
    <t>Superficie cubierta en el Plan de Ordenación Forestal adoptado a 31/12/2016 (ha)</t>
  </si>
  <si>
    <t>Superficie de áreas protegidas inscritas en el RUNAP a 31/12/2016 (ha)</t>
  </si>
  <si>
    <t>Proyecto No 1.1.Planificación, Ordenamiento e Información Ambiental Territorial (1);  Proyecto No 6.2. Calidad del Aire (14).</t>
  </si>
  <si>
    <t>Meta fisica modificada por Acuerdo # 012 27 04 2017</t>
  </si>
  <si>
    <t>META FINANCIERA                                                                                                  PLAN DE ACCION CUATRIENAL</t>
  </si>
  <si>
    <t>COMPORTAMIENTO META FISICA 
PLAN DE ACCION CUATRIENAL</t>
  </si>
  <si>
    <t>RECURSOS DE LA NACION, FONAM, FCA
$</t>
  </si>
  <si>
    <t xml:space="preserve">Guayacán
Bulnesia arborea
</t>
  </si>
  <si>
    <t>Abarco Carniana pyriformis</t>
  </si>
  <si>
    <t>Perehuétano Parinary pachyphylla</t>
  </si>
  <si>
    <t xml:space="preserve">Ébano
Caesalpinia ebano
</t>
  </si>
  <si>
    <t xml:space="preserve"> Implementar estrategias de conservación de tortugas marinas en las areas de anidación, transito y alimentación</t>
  </si>
  <si>
    <t>Planes de ordenamiento integrado de unidades ambientales costeras (POMIUAC) ajustados.</t>
  </si>
  <si>
    <t>Ajustado mediante Acuerdo # 031 30 Nov 2017</t>
  </si>
  <si>
    <t>Acuerdo # 008 del 11 de Mayo del 2016. Ajustado mediante Acuerdo # 031 30 Nov 2017</t>
  </si>
  <si>
    <t>Acto administrativo de declaratoria</t>
  </si>
  <si>
    <t>Marina Costera</t>
  </si>
  <si>
    <t>Gran Kayushi (Matua)</t>
  </si>
  <si>
    <t xml:space="preserve">MADS delimitó paramo Perijá donde se encuentra el paramo seco Cerro Pintao. Meta ajustada para el 2019 según Acuerdo # 031 del 30 de Noviembre de 2017. </t>
  </si>
  <si>
    <t>Profesional Especializado Código 2028, Grado 19</t>
  </si>
  <si>
    <t>Carrera 7 # 12 15</t>
  </si>
  <si>
    <t>Profesional Especializado Codigo 2028, Grado 19</t>
  </si>
  <si>
    <t>Profesional Especializado, Codigo 2028, Grado 19</t>
  </si>
  <si>
    <t>Acuerdo # 035 del 26 de diciembre de 2017.</t>
  </si>
  <si>
    <t>Grupo de Ordenamiento ambiental Territorial</t>
  </si>
  <si>
    <t>y.delgado@corpoguajira.gov.co</t>
  </si>
  <si>
    <t>Grupo de Ecosistemas y Biodiversidad, Grupo Marino Costero</t>
  </si>
  <si>
    <t>Grupo de Ecosistema y Biodiversidad, Grupo Marino Costero</t>
  </si>
  <si>
    <t>(5) 7282672 Ext 124</t>
  </si>
  <si>
    <t xml:space="preserve">Control  de las especies invasoras </t>
  </si>
  <si>
    <t>Grupo Marino Costero</t>
  </si>
  <si>
    <t>(5) 7282672. Ext 128</t>
  </si>
  <si>
    <t>Agropecuario</t>
  </si>
  <si>
    <t>Ecoturismo</t>
  </si>
  <si>
    <t>Gestion Integral de Barrios</t>
  </si>
  <si>
    <t>Acuerdo # 008 del 11 de Mayo de 2016. Ajustado mediante Acuerdo # 012 27 Abril 2017</t>
  </si>
  <si>
    <t xml:space="preserve">Acuerdo # 008 del 11 de Mayo de 2016. </t>
  </si>
  <si>
    <t>Grupo de Ordenamiento Ambiental Territorial</t>
  </si>
  <si>
    <t>Grupo de Ordenamiento ambiental Territorial y Grupo de Evaluación Ambiental</t>
  </si>
  <si>
    <t>Grupo de Ordenamiento Ambiental Territorial; Grupo de Evaluación Ambiental; Grupo de Seguimiento Ambiental; Grupo de Ecosisitemas y Biodiversidad.</t>
  </si>
  <si>
    <t>(5) 7275125. Ext. 203, 322, 124</t>
  </si>
  <si>
    <t>(5) 7275125. Ext. 108</t>
  </si>
  <si>
    <t>Grupo de Ordenamiento Ambiental Territorial, Grupo Administración Integral del Recurso Hidrico</t>
  </si>
  <si>
    <t>Yovani Delgado Moreno, Julio Segundo Curvelo Redondo</t>
  </si>
  <si>
    <t>y.delgado@corpoguajira.gov.co, j.curvelo@corpoguajira.gov.co</t>
  </si>
  <si>
    <t>Proyecto 2.1. Administración de la oferta y demanda del recurso hídrico. (Superficiales y subterráneas) (4); Proyecto No 3.1. Ecosistemas estratégicos continentales y marinos (6).</t>
  </si>
  <si>
    <t>Proyecto No 1.1.Planificación, Ordenamiento e Información Ambiental Territorial (1); Proyecto 2.1. Administración de la oferta y demanda del recurso hídrico. (Superficiales y subterráneas) (4).</t>
  </si>
  <si>
    <t>Acuerdo # 008 del 11 de Mayo de 2016. El Plan de Manejo del sistema de acuifero de Maicao se adoptó en el 2011. Acuerdo 020 del 2011</t>
  </si>
  <si>
    <t>Acuerdo # 008 del 11 de Mayo de 2016. El Plan de Acción no se programó meta para el primer año, para el segundo año se programó un avance del 17%</t>
  </si>
  <si>
    <t>Acuerdo # 008 del 11 de Mayo de 2016. El Plan de Acción 2016 - 2019 no se programó meta ni para el primer ni segundo año. Solo se programó para el tercer año</t>
  </si>
  <si>
    <t>Acuerdo # 008 del 11 de Mayo de 2016. El proyecto plantea en el PA 12 actividades/ Acciones de las cuales en el año 1 se trabajan 10, en el año 2 12; en el año 3 once (11) y en el año 4 diez (10), por que dos se ejecutan en su totalidad en el año 2: El total de acciones del proyecto en el PA son 12.</t>
  </si>
  <si>
    <t>Apropiado Plan de Acción 2016 2019</t>
  </si>
  <si>
    <t>Tasa Retributiva y Compensatoria vigencias anteriores</t>
  </si>
  <si>
    <t>Tasa por Uso del Agua vigencias anteriores</t>
  </si>
  <si>
    <t>1800-0103010202020102-12</t>
  </si>
  <si>
    <t>Multas y sanciones por infracciones ambientales vigencias anteriores</t>
  </si>
  <si>
    <t>Rendimientos Financieros Sector Electrico</t>
  </si>
  <si>
    <t>Rendimientos Financieros Tasda Retributiva</t>
  </si>
  <si>
    <t>Rendimientos financieros Movilización, Licencias, Permisos, Multas Monitoreo y Otros</t>
  </si>
  <si>
    <t>9900 - 02</t>
  </si>
  <si>
    <t>Sistema General de Regalias</t>
  </si>
  <si>
    <t>Número de usuarios de agua a 31/12/2017</t>
  </si>
  <si>
    <t>Crocodilus acutus, Caiman Aguja</t>
  </si>
  <si>
    <t>Geochelone carbonaria, Morrocoy</t>
  </si>
  <si>
    <t>Vultur gryphus, Condor de los Andes</t>
  </si>
  <si>
    <t>Phoenicopterus ruber, Famenco Rosado</t>
  </si>
  <si>
    <t>Tapirus Terrestris, Danta Comun</t>
  </si>
  <si>
    <t>Aotus lemurinus griseimembra, Marteja</t>
  </si>
  <si>
    <t>tremarctos ornatus, Oso de Anteojos</t>
  </si>
  <si>
    <t>Lontra longicaudis, Nutria</t>
  </si>
  <si>
    <t>Leopardus pardinoides, Tigrillo Gallinero</t>
  </si>
  <si>
    <t xml:space="preserve">Panthera onca, Jaguar
</t>
  </si>
  <si>
    <t xml:space="preserve">Cardinalis phoeniceus, Cardenal Guajiro. </t>
  </si>
  <si>
    <t>Icterus icterus, Turpial.</t>
  </si>
  <si>
    <t xml:space="preserve">Ateles hibridus, Marimonda. </t>
  </si>
  <si>
    <t>Ara militaris, Guacamaya Verde</t>
  </si>
  <si>
    <t xml:space="preserve">Tortuga Gogo (Caretta caretta), Tortuga Blanca (Chelonia mydas),  carey (Eretmochelys imbricata) y canal (Dermochelys coriácea) </t>
  </si>
  <si>
    <t>Balaenoptera musculus, Ballena Azul</t>
  </si>
  <si>
    <t>Balaenoptera physalus, Ballena de Aleta</t>
  </si>
  <si>
    <t>Megapterus novaeangliae, Ballena Jorobada</t>
  </si>
  <si>
    <t>Physeter catodon. Cachalote</t>
  </si>
  <si>
    <t>Sotalia guianensis, Delfin Costanero</t>
  </si>
  <si>
    <t>(11)                          META FINANCIERA ANUAL                              ($)                          2018</t>
  </si>
  <si>
    <t>Administración de la reserva</t>
  </si>
  <si>
    <t>Adquisición de predios</t>
  </si>
  <si>
    <t>Control y vigilancia</t>
  </si>
  <si>
    <t>Demarcación de límites y señalización</t>
  </si>
  <si>
    <t>Educación ambiental, información y divulgación</t>
  </si>
  <si>
    <t>Restauración ecológica</t>
  </si>
  <si>
    <t>Obtención de semillas y producción de material vegetal de especies forestales</t>
  </si>
  <si>
    <t>Fomento de sistemas de producción agroforestal</t>
  </si>
  <si>
    <t>Estudio poblacional de especies faunísticas de interés</t>
  </si>
  <si>
    <t>Identificación de especies vegetales promisorias económicamente</t>
  </si>
  <si>
    <t>Adecuación de infraestructura para un proyecto comunitario de recreación ambiental y ecoturismo, en el sitio la quinta.</t>
  </si>
  <si>
    <t>Personal Mínimo Necesario</t>
  </si>
  <si>
    <t>Control y Vigilancia</t>
  </si>
  <si>
    <t>Saneamiento Predial del área</t>
  </si>
  <si>
    <t>Manejo y control de áreas públicas naturales - Bosques alto andinos - Rondas y humedales.</t>
  </si>
  <si>
    <t>Estrategias para la conservación del agua fomentando su conocimiento e importancia para su buen uso y manejo.</t>
  </si>
  <si>
    <t>Identificación y conocimiento de la fauna y flora silvestre asociada al cordón de páramo de la serranía del Perijá.</t>
  </si>
  <si>
    <t>Educación Ambiental</t>
  </si>
  <si>
    <t>Comunicación Ambiental</t>
  </si>
  <si>
    <t>Guardaparques Comunitarios</t>
  </si>
  <si>
    <t>Control de Vertimientos y Monitoreo de la Calidad del Agua</t>
  </si>
  <si>
    <t>Sistema de Baños Ecológicos</t>
  </si>
  <si>
    <t>Gestión de Residuos Sólidos</t>
  </si>
  <si>
    <t>Diagnóstico y Plan de Acción para Mejorar el Ejercicio Institucional</t>
  </si>
  <si>
    <t>Fortalecimiento de la gobernabilidad y la gestión pública en el AP</t>
  </si>
  <si>
    <t>Concurrencia de Competencias para el Manejo Ambiental del Territorio y la Implementación del Plan de Manejo del AP.</t>
  </si>
  <si>
    <t>Plataforma de Interacción Interinstitucional</t>
  </si>
  <si>
    <t>Formulación Plan de Uso Público y Capacidades de Carga</t>
  </si>
  <si>
    <t>Señalización Informativa e Interpretativa</t>
  </si>
  <si>
    <t>Senderos, Albergue y Campamentos.</t>
  </si>
  <si>
    <t>Administración y manejo del DMI</t>
  </si>
  <si>
    <t>Construcción cabaña de administración</t>
  </si>
  <si>
    <t>Señalización del DMI y demarcación de linderos</t>
  </si>
  <si>
    <t>Restauración Ecológica</t>
  </si>
  <si>
    <t>Manejo de construcciones abandonadas y escombros de obras civiles</t>
  </si>
  <si>
    <t>Monitoreo y control de la salinidad en los cuerpos de agua del DMI</t>
  </si>
  <si>
    <t>Asistencia técnica a la actividad pesquera</t>
  </si>
  <si>
    <t>Saneamiento Básico</t>
  </si>
  <si>
    <t>Identificación y fomento de sistemas alternativos de producción</t>
  </si>
  <si>
    <t>Elaboración proyecto arquitectónico  y de ingeniería para el centro de visitantes</t>
  </si>
  <si>
    <t>Diseño del proyecto eco-turístico para el DMI</t>
  </si>
  <si>
    <t>Construcción del centro de visitantes</t>
  </si>
  <si>
    <t>Mejoramiento de viviendas en las Rancherías de Neimau y Clemont</t>
  </si>
  <si>
    <t>Divulgación y educación ambiental</t>
  </si>
  <si>
    <t>Construcción de senderos ecológico y de interpretación</t>
  </si>
  <si>
    <t>Evaluación de la pesca artesanal</t>
  </si>
  <si>
    <t>Uso del territorio y dinámica poblacional de los flamencos</t>
  </si>
  <si>
    <t>Monitoreo de aves acuáticas</t>
  </si>
  <si>
    <t>Prospección Arqueológica</t>
  </si>
  <si>
    <t>Caracterización biótica del área marina aledaña al DMI</t>
  </si>
  <si>
    <t>Actualización catastral y registro del DMI</t>
  </si>
  <si>
    <t>Seguimiento y Monitoreo</t>
  </si>
  <si>
    <t>Fortalecimiento organizacional de la comunidad</t>
  </si>
  <si>
    <t>Producción de material de propagación de especies vegetales</t>
  </si>
  <si>
    <t>Mejoramiento de prácticas de cultivo y beneficio del café</t>
  </si>
  <si>
    <t>Zoocría de especies silvestres</t>
  </si>
  <si>
    <t>Fomento de prácticas agropecuarias sostenibles</t>
  </si>
  <si>
    <t>Ordenamiento Predial</t>
  </si>
  <si>
    <t>Alternativas para disminuir el consumo de leña</t>
  </si>
  <si>
    <t>Caracterización de la fauna silvestre del DMI</t>
  </si>
  <si>
    <t>Estado poblacional y patrones de comportamiento de la marimonda del magdalena (Ateles Hybridus)</t>
  </si>
  <si>
    <t>Serranía de  Perijá</t>
  </si>
  <si>
    <t>Administración y gestión</t>
  </si>
  <si>
    <t>Coordinación institucional y comunitaria</t>
  </si>
  <si>
    <t>Actualización catastral y registro del DMI ante oficina de instrumentos públicos</t>
  </si>
  <si>
    <t>Amojonamiento y señalización</t>
  </si>
  <si>
    <t>Educación y divulgación</t>
  </si>
  <si>
    <t>Seguimiento y monitoreo</t>
  </si>
  <si>
    <t>Manejo y disposición de residuos sólidos y vertimientos</t>
  </si>
  <si>
    <t>Diseño de un corredor biológico con la RFP Montes de Oca.</t>
  </si>
  <si>
    <t>Fomento de prácticas sostenibles de producción agropecuaria</t>
  </si>
  <si>
    <t>Adopción de mejores prácticas para el cultivo y beneficio del café</t>
  </si>
  <si>
    <t>Diseño de un proyecto de café ecológico</t>
  </si>
  <si>
    <t>Establecimiento de un zoocriadero</t>
  </si>
  <si>
    <t>Fomento de plantaciones forestales protectoras-productoras</t>
  </si>
  <si>
    <t>Identificación y fomento de bionegocios</t>
  </si>
  <si>
    <t>Inventarios de flora y fauna vertebrada</t>
  </si>
  <si>
    <t>Estatus poblacional de especies de fauna amenazada (primera fase)</t>
  </si>
  <si>
    <t>Monitoreo de especies de aves migratorias boreales</t>
  </si>
  <si>
    <t>Evaluación de la oferta hídrica</t>
  </si>
  <si>
    <t>Uso y manejo sostenible del Cangrejo Azul</t>
  </si>
  <si>
    <t>Investigación y Monitoreo del Cangrejo Azul</t>
  </si>
  <si>
    <t>Investigación y Monitoreo del Cardenal Guajiro</t>
  </si>
  <si>
    <t>Zoocria para la reintroducción del Cardenal Guajiro</t>
  </si>
  <si>
    <t>Gestión para la conservación de los ecosistemas de manglar</t>
  </si>
  <si>
    <t>Restauración y Rehabilitación de las Coberturas Boscosas del AP Ranchería</t>
  </si>
  <si>
    <t>Prácticas Sostenibles y Ambientalmente Amigables</t>
  </si>
  <si>
    <t>Rescate Arqueológico en los sitios prioritarios o más amenazados según los criterios definidos en la prospección</t>
  </si>
  <si>
    <t>Prospección arqueológica sistematizada y proceso de autorización ante el Instituto Colombiano de Antropología e Historia (ICANH)</t>
  </si>
  <si>
    <t>Educación y divulgación Patrimonial y Actividades de Interpretación del Patrimonio Arqueológico</t>
  </si>
  <si>
    <t>Administración del área protegida</t>
  </si>
  <si>
    <t>Saneamiento predial</t>
  </si>
  <si>
    <t>Construcción de una cultura ambiental en el distrito de conservación de suelos del Delta del rio Ranchería</t>
  </si>
  <si>
    <t>Desarrollo de sistemas productivos y organización comunitaria.</t>
  </si>
  <si>
    <t xml:space="preserve">Administración y Manejo </t>
  </si>
  <si>
    <t>Actualización Catastral y registro</t>
  </si>
  <si>
    <t>Fortalecimiento organizacional y coordinación entre actores</t>
  </si>
  <si>
    <t>Educación ambiental</t>
  </si>
  <si>
    <t>Instalación y Mantenimiento De Sistemas De Captación, Tratamiento, Almacenamiento Y Distribución De Agua</t>
  </si>
  <si>
    <t>Prácticas Agropecuarias Sostenibles</t>
  </si>
  <si>
    <t>Alternativas para disminuir el consumo de leña - estufas ecológicas</t>
  </si>
  <si>
    <t>Zoocria de Especies Silvestres</t>
  </si>
  <si>
    <t>Caracterización de la flora y fauna vertebrada del DMI</t>
  </si>
  <si>
    <t>Dinámica del Bosque Seco Tropical</t>
  </si>
  <si>
    <t>Rendimientos Finanieros Carbon</t>
  </si>
  <si>
    <t>Rendimientos Financieros Sobretasa Ambiental</t>
  </si>
  <si>
    <t>Rendimientos Financieros Utilización Recurso Hidrico</t>
  </si>
  <si>
    <t>Recaudo</t>
  </si>
  <si>
    <t>Recursos de Capital</t>
  </si>
  <si>
    <t>Apropiación</t>
  </si>
  <si>
    <t>Ingresos Propios</t>
  </si>
  <si>
    <t>Ingresos Corrientes</t>
  </si>
  <si>
    <t>Tasas</t>
  </si>
  <si>
    <t>Aportes de La Nación</t>
  </si>
  <si>
    <t>Total Presupuesto</t>
  </si>
  <si>
    <t>Pagos por Servicios Ambientales</t>
  </si>
  <si>
    <t>x</t>
  </si>
  <si>
    <t xml:space="preserve">Leopardus pardalis </t>
  </si>
  <si>
    <t xml:space="preserve">Leopardus wiedii </t>
  </si>
  <si>
    <t>Resoluciones IDEAM 1444 de 2016 y 0202 de 2017</t>
  </si>
  <si>
    <t xml:space="preserve">Taller Planificacion del Ordenamiento ambiental territorial en La Guajira. </t>
  </si>
  <si>
    <t>SGR</t>
  </si>
  <si>
    <t>Declardo</t>
  </si>
  <si>
    <t>Acuerdo # 019 del 28 de Septiembre 2018</t>
  </si>
  <si>
    <t>Acuerdo # 032 del 22 de diciembre 2016</t>
  </si>
  <si>
    <t>Acuerdo # 008 del 11 de Mayo de 2016. Ajustado mediante Acuerdo # 031 30 Nov 2017. Ajustado mediante Acuerdo # 017 28 Sep 2018</t>
  </si>
  <si>
    <t>Ajustado mediante Acuerdo # 031 30 Nov 2017. Ajustado mediante Acuerdo # 017 28 Sep 2018</t>
  </si>
  <si>
    <t>Ajustado mediante Acuerdo # 017 28 Sep 2018</t>
  </si>
  <si>
    <t>Ajustado por Acuerdo # 017 del 28 de Septimbre de 2018</t>
  </si>
  <si>
    <t>Ajustado mediante Acuerdo # 021 30 Nov 2018</t>
  </si>
  <si>
    <t>Ajustado mediante Acuerdo # 035 26 Dic 2017; Ajustado mediante Acuerdo # 021 30 Nov 2018</t>
  </si>
  <si>
    <t>Caracolí</t>
  </si>
  <si>
    <t>BST</t>
  </si>
  <si>
    <t xml:space="preserve">Se aplazó meta de 2017 de 16000 hectareas correspondiente al 11% del total para el cuatrienio, para el 2018. Acuerdo # 035 26 Diciembre 2017. Acuerdo # 021 30 Noviembre 2018. </t>
  </si>
  <si>
    <t>Restauración activa</t>
  </si>
  <si>
    <t>Restauración pasiva</t>
  </si>
  <si>
    <t>Implementación de Pagos por Servicios Ambientales a través de BanCO2</t>
  </si>
  <si>
    <t>Visita para Asistencia técnica a los municipios sobre inclusión del componente ambiental  en los proceso de planificación y ordenamiento territorial con enfasis en la incorporación de determinantes ambientales</t>
  </si>
  <si>
    <t>j.barros@corpoguajira.gov.co</t>
  </si>
  <si>
    <t>Profesionales Especializados</t>
  </si>
  <si>
    <t>y.hurtado@corpoguajira.gov.co</t>
  </si>
  <si>
    <t>y.hurtado@corpoguajira.gov.co: o.lara@corpoguajira.gov.co</t>
  </si>
  <si>
    <t>c.lopez@corpoguajira.gov.co</t>
  </si>
  <si>
    <t>Acuerdo # 028, 20 Diciembre de 2018</t>
  </si>
  <si>
    <t>Talleres de construcción del plan regional</t>
  </si>
  <si>
    <t>Establecimiento  pilotos de negocios verdes</t>
  </si>
  <si>
    <t>Número de áreas protegidas inscritas en el RUNAP a 31/12/2018 (número)</t>
  </si>
  <si>
    <t>(3)                                      META FISICA ANUAL. 2019         (Según unidad de medida)</t>
  </si>
  <si>
    <t>Maria de los Santos Daza Benjumea</t>
  </si>
  <si>
    <t xml:space="preserve">m.daza@corpoguajira.gov.co </t>
  </si>
  <si>
    <t>Yovani Delgado,  Fernando Prieto, Carlos Lopez Avila, Yuri Hurtado Garcia</t>
  </si>
  <si>
    <t>y.delgado@corpoguajira.gov.co; f.prieto@corpoguajira.gov.co; c.lopez@corpoguajira.gov.co; y.hurtado@corpoguajira.gov.co</t>
  </si>
  <si>
    <t>Yovani Delgado Moreno y Fernando Prieto Vargas</t>
  </si>
  <si>
    <t>y.delgado@corpoguajira.gov.co; f.prieto@corpoguajira.gov.co</t>
  </si>
  <si>
    <t>Carlos  Lopez Avila y Enrique Rafael Quintero Bruzon</t>
  </si>
  <si>
    <t>Profesional Especializado, Código 2028, Grado 19; Director Territorial del Sur</t>
  </si>
  <si>
    <t>c.Lopez@corpoguajira.gov.co; e.quintero@corpoguajira.gov.co</t>
  </si>
  <si>
    <t xml:space="preserve">Jelkin Barros Redondo </t>
  </si>
  <si>
    <t>Jelkin Barros Redondo</t>
  </si>
  <si>
    <t>Yuri Hurtado Garcia</t>
  </si>
  <si>
    <t>m.daza@corpoguajira.gov.co</t>
  </si>
  <si>
    <t>Carlos Lopez Avila</t>
  </si>
  <si>
    <t>Samuel Lanao Robles</t>
  </si>
  <si>
    <t>Subdirector de Gestión Ambiental</t>
  </si>
  <si>
    <t>s.lanao@corpoguajira.gov.co</t>
  </si>
  <si>
    <t>YURI PAULIN HURTADO</t>
  </si>
  <si>
    <t xml:space="preserve">Profesional Especializado Grado 19, </t>
  </si>
  <si>
    <t>y.hurtado@corpoguajira.gov.cov.co</t>
  </si>
  <si>
    <t>Profesional Especializado, Grado 19,</t>
  </si>
  <si>
    <t>YURI HURTADO GARCIA</t>
  </si>
  <si>
    <t>Yuri Paulin Hurtado Garcia, Julio Segundo Curvelo Redondo</t>
  </si>
  <si>
    <t>Taller de Trabajo para estructurar una propuesta de polígono de la UAC en jurisdicción de CORPOGUAJIRA</t>
  </si>
  <si>
    <t xml:space="preserve">Declaración de un Áreas Marinas Protegidas </t>
  </si>
  <si>
    <t>Participación en la Formulación del POMIUAC en el marco de la Unidad Ambiental Costera correspondiente a su jurisdicción y en el Diagnóstico y Zonificación de los Manglares.</t>
  </si>
  <si>
    <t>a)  Monitoreo de la calidad ambiental en las zonas marinas y costeras</t>
  </si>
  <si>
    <t>b)  Fortalecimiento de los sistemas de información regional ambiental en el ámbito marino-costero</t>
  </si>
  <si>
    <t>c)  Monitoreo de ecosistemas y recursos acuáticos marinos y costeros</t>
  </si>
  <si>
    <t xml:space="preserve">RECURSOS VIGENCIA 2019. </t>
  </si>
  <si>
    <t>Licencias de maternidad y paternidad (No de pensiones)</t>
  </si>
  <si>
    <t>Incapacidades (No de pensiones)</t>
  </si>
  <si>
    <t>Sistema General de Regalias, SGR                                                                 $</t>
  </si>
  <si>
    <t xml:space="preserve"> Ajustado mediante Acuerdo # 031 30 Nov 2017</t>
  </si>
  <si>
    <t>Energias Renovables</t>
  </si>
  <si>
    <t>Asistencia Tecnica municipio de San Juan del Cesar</t>
  </si>
  <si>
    <t>Alcaldia de Albania</t>
  </si>
  <si>
    <t>En declaración</t>
  </si>
  <si>
    <t>A través del contrato de No. 133/2014 se ejecuta el proyecto “Restauración activa y pasiva de los ríos Tomarrazon, Cotoprix, Cañas y Jerez, en los municipios de Riohacha y Dibulla en el departamento de La Guajira” se realizó restauración activa de 40,9 hectáreas en las cuencas de los ríos Jerez, Tomarrazon y Cañas con especies nativas. El avance del proyecto es del 97,45%</t>
  </si>
  <si>
    <t>Caracol Gigante Africano</t>
  </si>
  <si>
    <t>Abejas africanizadas</t>
  </si>
  <si>
    <t>Control de las especies invasoras</t>
  </si>
  <si>
    <t>Palomas caseras</t>
  </si>
  <si>
    <t>Recursos de la Entidad</t>
  </si>
  <si>
    <t>Depositos</t>
  </si>
  <si>
    <t>Reintegros y Otros Recursos No Apropiados</t>
  </si>
  <si>
    <t>Intereses de Mora</t>
  </si>
  <si>
    <t>1800-0101020302</t>
  </si>
  <si>
    <t>Intereses de Mora, Tasa Retributiva</t>
  </si>
  <si>
    <t>1800-01010203021-05</t>
  </si>
  <si>
    <t>Intereses de Mora, Tasa por Utilización de Aguas</t>
  </si>
  <si>
    <t>1800-010102030202-11</t>
  </si>
  <si>
    <t>1800-010102030203-06</t>
  </si>
  <si>
    <t>Interese de Mora Seguimiento a Licencias</t>
  </si>
  <si>
    <t>1800-010210</t>
  </si>
  <si>
    <t>1800-01021001-01</t>
  </si>
  <si>
    <t>Compensación del Carbon</t>
  </si>
  <si>
    <t>Transferencias del Sector Electrico</t>
  </si>
  <si>
    <t>Utilización del Recurso Hidrico</t>
  </si>
  <si>
    <t>1800-01021011 -11</t>
  </si>
  <si>
    <t>Movilización, licencia, permisos, multas y monitoreo</t>
  </si>
  <si>
    <t>1800-01021012-12</t>
  </si>
  <si>
    <t>1800-01021002 -02</t>
  </si>
  <si>
    <t>1800-01021030-30</t>
  </si>
  <si>
    <t>Recuperación incapacidades y otros</t>
  </si>
  <si>
    <t>Número de concesiones de agua otorgadas a 31/12/2018</t>
  </si>
  <si>
    <t>Número de captaciones de agua otorgadas a 31/12/2018</t>
  </si>
  <si>
    <t>VIGENCIA EVALUADA (AÑO): 2019                                                                            PERIODO EVALUADO (SEMESTRE): Enero - Junio</t>
  </si>
  <si>
    <t>Restauración proyecto guaduas en Cuencas Ríos Tomarrazón, Cañas y Jerez.</t>
  </si>
  <si>
    <t>Aislamiento de 35 km, en las Microcuencas de los ríos Urumita y El Molino, los Arroyos de La Yaya y Las Pavas pertenecientes a los municipios de Urumita, El Molino, Fonseca y Barrancas Contrato 0103 del 2018</t>
  </si>
  <si>
    <t>Aislamiento de 35 km  del proyecto rehabilitación de coberturas vegetales de zonas degradadas en las Microcuencas de los ríos Urumita y El Molino, los Arroyos de La Yaya y Las Pavas pertenecientes a los municipios de Urumita, El Molino, Fonseca y Barrancas Contrato 0103 del 2018</t>
  </si>
  <si>
    <t>Rehabilitación</t>
  </si>
  <si>
    <t xml:space="preserve"> Alcaldias municipales de  San Juan del Cesar y Uribia.</t>
  </si>
  <si>
    <t>Alcaldías municipales de Dibulla, Uribia, Hatonuevo, Distracción, Villanueva, La Jagua, Urumita, Riohacha, Maicao, Manaure, Albania, Barrancas, Fonseca, El Molino.</t>
  </si>
  <si>
    <t>Uribía, Albania y San Juan Del Cesar</t>
  </si>
  <si>
    <t>Asesorías técnicas en el componente de cambio climático.</t>
  </si>
  <si>
    <t>Mesas de trabajo y talleres de capacitación</t>
  </si>
  <si>
    <t xml:space="preserve">Riohacha, Dibulla, Manaure, Uribía, Maicao, Albania, Hatonuevo, Barrancas, Fonseca, Distracción, San Juan del Cesar, el Molino, Urumita, Villanueva, La jagua del Pilar </t>
  </si>
  <si>
    <t>Otros Recursos del Balance, Convenios con otras Entidades</t>
  </si>
  <si>
    <t>30 de Junio de 2109</t>
  </si>
  <si>
    <t>30 de Junio de 2019</t>
  </si>
  <si>
    <t xml:space="preserve"> sujeto a consulta previa para su adopción</t>
  </si>
  <si>
    <t>sujeto a consulta previa para su adopción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</si>
</sst>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_-* #,##0_-;\-* #,##0_-;_-* &quot;-&quot;??_-;_-@_-"/>
    <numFmt numFmtId="166" formatCode="#,##0.0000"/>
    <numFmt numFmtId="167" formatCode="#,##0.00_ ;\-#,##0.00\ "/>
    <numFmt numFmtId="168" formatCode="#,##0.00000000"/>
    <numFmt numFmtId="169" formatCode="#,##0.000"/>
    <numFmt numFmtId="170" formatCode="0.0%"/>
    <numFmt numFmtId="171" formatCode="0.0000"/>
    <numFmt numFmtId="172" formatCode="0;[Red]0"/>
    <numFmt numFmtId="173" formatCode="#,##0.000000000"/>
    <numFmt numFmtId="174" formatCode="#,##0.0"/>
    <numFmt numFmtId="175" formatCode="_ * #,##0.00_ ;_ * \-#,##0.00_ ;_ * &quot;-&quot;??_ ;_ @_ "/>
  </numFmts>
  <fonts count="87">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0"/>
      <name val="Arial"/>
      <family val="2"/>
    </font>
    <font>
      <b/>
      <sz val="8"/>
      <name val="Univers"/>
      <family val="2"/>
    </font>
    <font>
      <sz val="8"/>
      <name val="Univers"/>
      <family val="2"/>
    </font>
    <font>
      <sz val="8"/>
      <name val="Arial"/>
      <family val="2"/>
    </font>
    <font>
      <b/>
      <sz val="9"/>
      <name val="Univers"/>
      <family val="2"/>
    </font>
    <font>
      <b/>
      <sz val="8"/>
      <name val="Arial"/>
      <family val="2"/>
    </font>
    <font>
      <b/>
      <sz val="6"/>
      <name val="Arial"/>
      <family val="2"/>
    </font>
    <font>
      <b/>
      <sz val="14"/>
      <name val="Arial Narrow"/>
      <family val="2"/>
    </font>
    <font>
      <b/>
      <sz val="9"/>
      <name val="Arial"/>
      <family val="2"/>
    </font>
    <font>
      <b/>
      <sz val="8"/>
      <name val="Calibri"/>
      <family val="2"/>
      <scheme val="minor"/>
    </font>
    <font>
      <b/>
      <sz val="12"/>
      <name val="Calibri"/>
      <family val="2"/>
      <scheme val="minor"/>
    </font>
    <font>
      <b/>
      <sz val="10"/>
      <name val="Calibri"/>
      <family val="2"/>
      <scheme val="minor"/>
    </font>
    <font>
      <b/>
      <sz val="12"/>
      <color theme="1"/>
      <name val="Calibri"/>
      <family val="2"/>
      <scheme val="minor"/>
    </font>
    <font>
      <sz val="9"/>
      <name val="Calibri"/>
      <family val="2"/>
      <scheme val="minor"/>
    </font>
    <font>
      <sz val="8"/>
      <color rgb="FFFF0000"/>
      <name val="Arial Narrow"/>
      <family val="2"/>
    </font>
    <font>
      <b/>
      <sz val="8"/>
      <color rgb="FFFF0000"/>
      <name val="Arial Narrow"/>
      <family val="2"/>
    </font>
    <font>
      <sz val="7"/>
      <color rgb="FFFF0000"/>
      <name val="Calibri"/>
      <family val="2"/>
      <scheme val="minor"/>
    </font>
    <font>
      <strike/>
      <sz val="8"/>
      <name val="Arial Narrow"/>
      <family val="2"/>
    </font>
    <font>
      <sz val="8"/>
      <color theme="3" tint="0.39997558519241921"/>
      <name val="Arial Narrow"/>
      <family val="2"/>
    </font>
    <font>
      <b/>
      <sz val="8"/>
      <color theme="3" tint="0.39997558519241921"/>
      <name val="Arial Narrow"/>
      <family val="2"/>
    </font>
    <font>
      <sz val="6"/>
      <name val="Arial Narrow"/>
      <family val="2"/>
    </font>
    <font>
      <sz val="6"/>
      <name val="Calibri"/>
      <family val="2"/>
      <scheme val="minor"/>
    </font>
    <font>
      <b/>
      <sz val="11"/>
      <name val="Calibri"/>
      <family val="2"/>
      <scheme val="minor"/>
    </font>
    <font>
      <b/>
      <sz val="9"/>
      <name val="Calibri"/>
      <family val="2"/>
      <scheme val="minor"/>
    </font>
    <font>
      <b/>
      <sz val="8"/>
      <color theme="1"/>
      <name val="Arial Narrow"/>
      <family val="2"/>
    </font>
    <font>
      <sz val="7"/>
      <name val="Calibri"/>
      <family val="2"/>
      <scheme val="minor"/>
    </font>
    <font>
      <b/>
      <sz val="8"/>
      <color indexed="10"/>
      <name val="Arial Narrow"/>
      <family val="2"/>
    </font>
    <font>
      <b/>
      <sz val="7"/>
      <name val="Univers"/>
    </font>
    <font>
      <b/>
      <sz val="7"/>
      <name val="Univers"/>
      <family val="2"/>
    </font>
    <font>
      <sz val="7"/>
      <name val="Arial"/>
      <family val="2"/>
    </font>
    <font>
      <sz val="7"/>
      <name val="Univers"/>
      <family val="2"/>
    </font>
    <font>
      <b/>
      <sz val="8"/>
      <name val="Univers"/>
    </font>
    <font>
      <sz val="9"/>
      <name val="Univers"/>
    </font>
    <font>
      <sz val="8"/>
      <name val="Univers"/>
    </font>
    <font>
      <sz val="9"/>
      <name val="Arial"/>
      <family val="2"/>
    </font>
    <font>
      <b/>
      <sz val="8"/>
      <color theme="1"/>
      <name val="Calibri"/>
      <family val="2"/>
      <scheme val="minor"/>
    </font>
    <font>
      <b/>
      <sz val="10"/>
      <color theme="1"/>
      <name val="Calibri"/>
      <family val="2"/>
      <scheme val="minor"/>
    </font>
    <font>
      <sz val="8"/>
      <name val="Calibri"/>
      <family val="2"/>
      <scheme val="minor"/>
    </font>
    <font>
      <sz val="8"/>
      <color theme="1"/>
      <name val="Arial"/>
      <family val="2"/>
    </font>
    <font>
      <b/>
      <sz val="9"/>
      <name val="Univers"/>
    </font>
    <font>
      <sz val="8"/>
      <color theme="1"/>
      <name val="Univers"/>
    </font>
    <font>
      <sz val="10"/>
      <name val="Univers"/>
    </font>
    <font>
      <sz val="12"/>
      <color rgb="FF000000"/>
      <name val="Calibri"/>
      <family val="2"/>
      <scheme val="minor"/>
    </font>
    <font>
      <sz val="8"/>
      <color rgb="FF000000"/>
      <name val="Univers"/>
    </font>
    <font>
      <u/>
      <sz val="8"/>
      <color theme="10"/>
      <name val="Calibri"/>
      <family val="2"/>
      <scheme val="minor"/>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CCFFCC"/>
        <bgColor indexed="64"/>
      </patternFill>
    </fill>
    <fill>
      <patternFill patternType="solid">
        <fgColor rgb="FF00B0F0"/>
        <bgColor indexed="64"/>
      </patternFill>
    </fill>
    <fill>
      <patternFill patternType="solid">
        <fgColor rgb="FFC4C4C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bgColor indexed="64"/>
      </patternFill>
    </fill>
    <fill>
      <patternFill patternType="solid">
        <fgColor theme="2"/>
        <bgColor indexed="64"/>
      </patternFill>
    </fill>
    <fill>
      <patternFill patternType="solid">
        <fgColor rgb="FFA9D08E"/>
        <bgColor indexed="64"/>
      </patternFill>
    </fill>
    <fill>
      <patternFill patternType="solid">
        <fgColor rgb="FFD4D2D2"/>
        <bgColor indexed="64"/>
      </patternFill>
    </fill>
    <fill>
      <patternFill patternType="solid">
        <fgColor rgb="FFFFFFFF"/>
        <bgColor indexed="64"/>
      </patternFill>
    </fill>
    <fill>
      <patternFill patternType="solid">
        <fgColor rgb="FF66FFCC"/>
        <bgColor indexed="64"/>
      </patternFill>
    </fill>
    <fill>
      <patternFill patternType="solid">
        <fgColor theme="4" tint="0.39997558519241921"/>
        <bgColor indexed="64"/>
      </patternFill>
    </fill>
  </fills>
  <borders count="8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8"/>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s>
  <cellStyleXfs count="7">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1" fillId="0" borderId="0"/>
    <xf numFmtId="0" fontId="31" fillId="0" borderId="0"/>
  </cellStyleXfs>
  <cellXfs count="1876">
    <xf numFmtId="0" fontId="0" fillId="0" borderId="0" xfId="0"/>
    <xf numFmtId="0" fontId="0" fillId="0" borderId="0" xfId="0" applyAlignment="1"/>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Border="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Fill="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0" fillId="3" borderId="16" xfId="0" applyFill="1" applyBorder="1" applyAlignment="1">
      <alignment vertical="top"/>
    </xf>
    <xf numFmtId="0" fontId="20" fillId="0" borderId="0" xfId="0" applyFont="1" applyBorder="1" applyAlignment="1">
      <alignment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Border="1" applyAlignment="1">
      <alignment horizontal="center" vertical="top" wrapText="1"/>
    </xf>
    <xf numFmtId="0" fontId="12"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Border="1" applyAlignment="1">
      <alignment horizontal="center" vertical="top"/>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4" fillId="0" borderId="8" xfId="0" applyFont="1" applyFill="1" applyBorder="1" applyAlignment="1">
      <alignment vertical="top" wrapText="1"/>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4" fillId="0" borderId="7"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4" fillId="3" borderId="8" xfId="0" applyFont="1" applyFill="1" applyBorder="1" applyAlignment="1">
      <alignment horizontal="left" vertical="top"/>
    </xf>
    <xf numFmtId="3" fontId="4" fillId="4" borderId="8"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4"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NumberFormat="1"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pplyProtection="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Fill="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8" xfId="0" applyFont="1" applyBorder="1" applyAlignment="1">
      <alignment vertical="top" wrapText="1"/>
    </xf>
    <xf numFmtId="0" fontId="3" fillId="0" borderId="1" xfId="0" applyFont="1" applyBorder="1" applyAlignment="1">
      <alignment vertical="top" wrapText="1"/>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pplyProtection="1">
      <alignment horizontal="center"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pplyProtection="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9" fontId="25" fillId="6" borderId="8" xfId="3" applyNumberFormat="1"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pplyProtection="1">
      <alignment horizontal="center" vertical="top" wrapText="1"/>
      <protection locked="0"/>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protection locked="0"/>
    </xf>
    <xf numFmtId="0" fontId="4" fillId="0" borderId="6"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0" fillId="0" borderId="0" xfId="0" applyAlignment="1" applyProtection="1">
      <protection locked="0"/>
    </xf>
    <xf numFmtId="0" fontId="4" fillId="6" borderId="8" xfId="0" applyFont="1" applyFill="1" applyBorder="1" applyAlignment="1" applyProtection="1">
      <alignment horizontal="left" vertical="top"/>
      <protection locked="0"/>
    </xf>
    <xf numFmtId="0" fontId="0" fillId="0" borderId="0" xfId="0" applyProtection="1"/>
    <xf numFmtId="0" fontId="2" fillId="0" borderId="0" xfId="0" applyFont="1" applyAlignment="1" applyProtection="1">
      <alignment vertical="top"/>
    </xf>
    <xf numFmtId="0" fontId="2" fillId="0" borderId="0" xfId="0" applyFont="1"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20" fillId="0" borderId="0" xfId="0" applyFont="1" applyBorder="1" applyAlignment="1" applyProtection="1">
      <alignment vertical="top"/>
    </xf>
    <xf numFmtId="0" fontId="6" fillId="0" borderId="0" xfId="0" applyFont="1" applyBorder="1" applyAlignment="1" applyProtection="1">
      <alignment horizontal="center" vertical="top" wrapText="1"/>
    </xf>
    <xf numFmtId="0" fontId="0" fillId="7" borderId="16" xfId="0" applyFill="1" applyBorder="1" applyAlignment="1" applyProtection="1">
      <alignment vertical="top"/>
    </xf>
    <xf numFmtId="0" fontId="0" fillId="0" borderId="0" xfId="0" applyFont="1" applyAlignment="1" applyProtection="1">
      <alignment vertical="top"/>
    </xf>
    <xf numFmtId="0" fontId="7" fillId="0" borderId="0" xfId="0" applyFont="1" applyAlignment="1" applyProtection="1">
      <alignment horizontal="right" vertical="top"/>
    </xf>
    <xf numFmtId="0" fontId="23" fillId="6" borderId="18" xfId="1" applyFont="1" applyFill="1" applyBorder="1" applyAlignment="1" applyProtection="1">
      <alignment vertical="top"/>
    </xf>
    <xf numFmtId="9" fontId="0" fillId="6" borderId="12" xfId="0" applyNumberFormat="1" applyFill="1" applyBorder="1" applyAlignment="1" applyProtection="1">
      <alignment horizontal="center" vertical="top"/>
    </xf>
    <xf numFmtId="0" fontId="1" fillId="6" borderId="20" xfId="1" applyFill="1" applyBorder="1" applyAlignment="1" applyProtection="1">
      <alignment vertical="top"/>
    </xf>
    <xf numFmtId="0" fontId="0" fillId="3" borderId="16" xfId="0" applyFill="1" applyBorder="1" applyAlignment="1" applyProtection="1">
      <alignment vertical="top"/>
    </xf>
    <xf numFmtId="0" fontId="4" fillId="0" borderId="0" xfId="0" applyFont="1" applyBorder="1" applyAlignment="1" applyProtection="1">
      <alignment horizontal="center" vertical="top"/>
    </xf>
    <xf numFmtId="0" fontId="4" fillId="0" borderId="0" xfId="0" applyFont="1" applyAlignment="1" applyProtection="1">
      <alignment horizontal="right" vertical="top"/>
    </xf>
    <xf numFmtId="0" fontId="23" fillId="6" borderId="18" xfId="0" applyFont="1" applyFill="1" applyBorder="1" applyAlignment="1" applyProtection="1">
      <alignment vertical="top"/>
    </xf>
    <xf numFmtId="9" fontId="7" fillId="6" borderId="12" xfId="0" applyNumberFormat="1" applyFont="1" applyFill="1" applyBorder="1" applyAlignment="1" applyProtection="1">
      <alignment horizontal="center" vertical="top"/>
    </xf>
    <xf numFmtId="0" fontId="0" fillId="6" borderId="20" xfId="0" applyFill="1" applyBorder="1" applyAlignment="1" applyProtection="1">
      <alignment vertical="top"/>
    </xf>
    <xf numFmtId="0" fontId="0" fillId="0" borderId="0" xfId="0" applyAlignment="1" applyProtection="1">
      <alignment horizontal="center" vertical="top"/>
    </xf>
    <xf numFmtId="0" fontId="7" fillId="0" borderId="0" xfId="0" applyFont="1" applyBorder="1" applyAlignment="1" applyProtection="1">
      <alignment vertical="top" wrapText="1"/>
    </xf>
    <xf numFmtId="0" fontId="4" fillId="0" borderId="1" xfId="0" applyFont="1" applyBorder="1" applyAlignment="1" applyProtection="1">
      <alignment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vertical="top" wrapText="1"/>
    </xf>
    <xf numFmtId="0" fontId="0" fillId="0" borderId="6" xfId="0" applyBorder="1" applyAlignment="1" applyProtection="1">
      <alignment vertical="top"/>
    </xf>
    <xf numFmtId="0" fontId="4" fillId="0" borderId="8" xfId="0" applyFont="1" applyBorder="1" applyAlignment="1" applyProtection="1">
      <alignment vertical="top" wrapText="1"/>
    </xf>
    <xf numFmtId="0" fontId="4" fillId="0" borderId="9" xfId="0" applyFont="1" applyBorder="1" applyAlignment="1" applyProtection="1">
      <alignment horizontal="center"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7" xfId="0" applyFont="1" applyBorder="1" applyAlignment="1" applyProtection="1">
      <alignment vertical="top"/>
    </xf>
    <xf numFmtId="0" fontId="0" fillId="0" borderId="1" xfId="0" applyBorder="1" applyAlignment="1" applyProtection="1">
      <alignment vertical="top"/>
    </xf>
    <xf numFmtId="0" fontId="4" fillId="0" borderId="8" xfId="0" applyFont="1" applyBorder="1" applyAlignment="1" applyProtection="1">
      <alignment horizontal="center" vertical="top" wrapText="1"/>
    </xf>
    <xf numFmtId="0" fontId="4" fillId="4" borderId="8" xfId="0" applyFont="1" applyFill="1" applyBorder="1" applyAlignment="1" applyProtection="1">
      <alignment vertical="top"/>
    </xf>
    <xf numFmtId="0" fontId="0" fillId="0" borderId="13" xfId="0" applyBorder="1" applyAlignment="1" applyProtection="1">
      <alignment vertical="top"/>
    </xf>
    <xf numFmtId="0" fontId="4" fillId="0" borderId="13" xfId="0"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5" fillId="0" borderId="8" xfId="0" applyFont="1" applyBorder="1" applyAlignment="1" applyProtection="1">
      <alignment vertical="top" wrapText="1"/>
    </xf>
    <xf numFmtId="0" fontId="4" fillId="3" borderId="8" xfId="0" applyFont="1" applyFill="1" applyBorder="1" applyAlignment="1" applyProtection="1">
      <alignment vertical="top"/>
    </xf>
    <xf numFmtId="0" fontId="12" fillId="0" borderId="14" xfId="0" applyFont="1" applyBorder="1" applyAlignment="1" applyProtection="1">
      <alignment vertical="top"/>
    </xf>
    <xf numFmtId="0" fontId="12" fillId="0" borderId="15" xfId="0" applyFont="1" applyBorder="1" applyAlignment="1" applyProtection="1">
      <alignment vertical="top"/>
    </xf>
    <xf numFmtId="0" fontId="12" fillId="0" borderId="7" xfId="0" applyFont="1" applyBorder="1" applyAlignment="1" applyProtection="1">
      <alignment vertical="top"/>
    </xf>
    <xf numFmtId="0" fontId="4" fillId="0" borderId="8" xfId="0" applyFont="1" applyBorder="1" applyAlignment="1" applyProtection="1">
      <alignment vertical="top"/>
    </xf>
    <xf numFmtId="17" fontId="4" fillId="0" borderId="13" xfId="0" applyNumberFormat="1" applyFont="1" applyBorder="1" applyAlignment="1" applyProtection="1">
      <alignment vertical="top" wrapText="1"/>
    </xf>
    <xf numFmtId="0" fontId="6"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0" xfId="0" applyFont="1" applyBorder="1" applyAlignment="1" applyProtection="1">
      <alignment horizontal="center" vertical="top" wrapText="1"/>
    </xf>
    <xf numFmtId="0" fontId="4" fillId="0" borderId="12" xfId="0" applyFont="1" applyBorder="1" applyAlignment="1" applyProtection="1">
      <alignment vertical="top" wrapText="1"/>
    </xf>
    <xf numFmtId="0" fontId="4" fillId="0" borderId="14" xfId="0" applyFont="1" applyBorder="1" applyAlignment="1" applyProtection="1">
      <alignment horizontal="center" vertical="top" wrapText="1"/>
    </xf>
    <xf numFmtId="0" fontId="4" fillId="0" borderId="9" xfId="0" applyFont="1" applyBorder="1" applyAlignment="1" applyProtection="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0" fontId="7" fillId="0" borderId="0" xfId="0" applyFont="1" applyAlignment="1" applyProtection="1">
      <alignment horizontal="center" vertical="top"/>
    </xf>
    <xf numFmtId="9" fontId="4" fillId="9" borderId="12" xfId="3" applyFont="1" applyFill="1" applyBorder="1" applyAlignment="1" applyProtection="1">
      <alignment horizontal="center" vertical="top"/>
    </xf>
    <xf numFmtId="0" fontId="12" fillId="0" borderId="14" xfId="0" applyFont="1" applyBorder="1" applyAlignment="1" applyProtection="1">
      <alignment horizontal="center" vertical="top"/>
    </xf>
    <xf numFmtId="0" fontId="3" fillId="0" borderId="8" xfId="0"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xf>
    <xf numFmtId="0" fontId="12" fillId="0" borderId="12" xfId="0" applyFont="1" applyBorder="1" applyAlignment="1" applyProtection="1">
      <alignment vertical="top" wrapText="1"/>
    </xf>
    <xf numFmtId="0" fontId="12" fillId="0" borderId="0" xfId="0" applyFont="1" applyBorder="1" applyAlignment="1" applyProtection="1">
      <alignment horizontal="center" vertical="top" wrapText="1"/>
    </xf>
    <xf numFmtId="0" fontId="3" fillId="0" borderId="6" xfId="0" applyFont="1" applyBorder="1" applyAlignment="1" applyProtection="1">
      <alignment vertical="top" wrapText="1"/>
    </xf>
    <xf numFmtId="0" fontId="4" fillId="0" borderId="6" xfId="0" applyFont="1" applyBorder="1" applyAlignment="1" applyProtection="1">
      <alignment vertical="top" wrapText="1"/>
    </xf>
    <xf numFmtId="0" fontId="0" fillId="0" borderId="6" xfId="0" applyBorder="1" applyAlignment="1" applyProtection="1">
      <alignment vertical="top" wrapText="1"/>
    </xf>
    <xf numFmtId="0" fontId="4" fillId="5" borderId="8" xfId="0" applyFont="1" applyFill="1" applyBorder="1" applyAlignment="1" applyProtection="1">
      <alignment vertical="top"/>
      <protection locked="0"/>
    </xf>
    <xf numFmtId="0" fontId="7" fillId="0" borderId="0" xfId="0" applyFont="1" applyAlignment="1" applyProtection="1">
      <alignment vertical="top" wrapText="1"/>
    </xf>
    <xf numFmtId="0" fontId="4" fillId="0" borderId="7" xfId="0" applyFont="1" applyBorder="1" applyAlignment="1" applyProtection="1">
      <alignment horizontal="center" vertical="top"/>
    </xf>
    <xf numFmtId="0" fontId="7" fillId="0" borderId="0" xfId="0" applyFont="1" applyAlignment="1" applyProtection="1">
      <alignment vertical="top"/>
    </xf>
    <xf numFmtId="0" fontId="0" fillId="0" borderId="7" xfId="0" applyBorder="1" applyAlignment="1" applyProtection="1">
      <alignment vertical="top"/>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5" fillId="0" borderId="14" xfId="0" applyFont="1" applyBorder="1" applyAlignment="1" applyProtection="1">
      <alignment vertical="top" wrapText="1"/>
    </xf>
    <xf numFmtId="0" fontId="0" fillId="0" borderId="4" xfId="0" applyBorder="1" applyAlignment="1" applyProtection="1">
      <alignment vertical="top"/>
    </xf>
    <xf numFmtId="0" fontId="4" fillId="0" borderId="14" xfId="0" applyFont="1" applyBorder="1" applyAlignment="1" applyProtection="1">
      <alignment vertical="top" wrapText="1"/>
    </xf>
    <xf numFmtId="0" fontId="7" fillId="0" borderId="11" xfId="0" applyFont="1" applyBorder="1" applyAlignment="1" applyProtection="1">
      <alignment vertical="top" wrapText="1"/>
    </xf>
    <xf numFmtId="0" fontId="0" fillId="0" borderId="8" xfId="0" applyBorder="1" applyAlignment="1" applyProtection="1">
      <alignment vertical="top"/>
    </xf>
    <xf numFmtId="0" fontId="5" fillId="0" borderId="14" xfId="0" applyFont="1" applyBorder="1" applyAlignment="1" applyProtection="1">
      <alignment vertical="top"/>
    </xf>
    <xf numFmtId="0" fontId="4" fillId="0" borderId="14" xfId="0" applyFont="1" applyBorder="1" applyAlignment="1" applyProtection="1">
      <alignment vertical="top"/>
    </xf>
    <xf numFmtId="0" fontId="4" fillId="0" borderId="10" xfId="0" applyFont="1" applyBorder="1" applyAlignment="1" applyProtection="1">
      <alignment vertical="top" wrapText="1"/>
    </xf>
    <xf numFmtId="0" fontId="4" fillId="0" borderId="11" xfId="0" applyFont="1" applyBorder="1" applyAlignment="1" applyProtection="1">
      <alignment horizontal="center" vertical="top" wrapText="1"/>
    </xf>
    <xf numFmtId="0" fontId="4" fillId="0" borderId="15" xfId="0" applyFont="1" applyBorder="1" applyAlignment="1" applyProtection="1">
      <alignment vertical="top" wrapText="1"/>
    </xf>
    <xf numFmtId="0" fontId="3" fillId="0" borderId="7" xfId="0" applyFont="1" applyBorder="1" applyAlignment="1" applyProtection="1">
      <alignment vertical="top"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3" fillId="0" borderId="12"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pplyProtection="1">
      <alignment vertical="top" wrapText="1"/>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pplyProtection="1">
      <alignment vertical="top"/>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17" fillId="0" borderId="8" xfId="2" applyBorder="1" applyAlignment="1" applyProtection="1">
      <alignment vertical="top" wrapText="1"/>
    </xf>
    <xf numFmtId="0" fontId="16" fillId="0" borderId="6" xfId="0" applyFont="1" applyBorder="1" applyAlignment="1" applyProtection="1">
      <alignment vertical="top" wrapText="1"/>
    </xf>
    <xf numFmtId="0" fontId="16" fillId="0" borderId="8" xfId="0" applyFont="1" applyBorder="1" applyAlignment="1" applyProtection="1">
      <alignment vertical="top" wrapText="1"/>
    </xf>
    <xf numFmtId="0" fontId="4" fillId="0" borderId="1" xfId="0" applyFont="1" applyBorder="1" applyAlignment="1" applyProtection="1">
      <alignment horizontal="center" vertical="top" wrapText="1"/>
    </xf>
    <xf numFmtId="0" fontId="0" fillId="0" borderId="9" xfId="0" applyBorder="1" applyProtection="1">
      <protection locked="0"/>
    </xf>
    <xf numFmtId="3" fontId="4" fillId="4" borderId="13" xfId="0" applyNumberFormat="1" applyFont="1" applyFill="1" applyBorder="1" applyAlignment="1" applyProtection="1">
      <alignment horizontal="center" vertical="top"/>
    </xf>
    <xf numFmtId="0" fontId="0" fillId="0" borderId="13" xfId="0" applyBorder="1" applyProtection="1"/>
    <xf numFmtId="0" fontId="8" fillId="0" borderId="13" xfId="0" applyFont="1" applyBorder="1" applyAlignment="1" applyProtection="1">
      <alignment vertical="top" wrapText="1"/>
    </xf>
    <xf numFmtId="0" fontId="8" fillId="0" borderId="10"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15" fillId="0" borderId="6" xfId="0" applyFont="1" applyBorder="1" applyAlignment="1" applyProtection="1">
      <alignment vertical="top" wrapText="1"/>
    </xf>
    <xf numFmtId="0" fontId="14" fillId="0" borderId="16" xfId="0" applyFont="1" applyBorder="1" applyAlignment="1" applyProtection="1">
      <alignment horizontal="left" vertical="top"/>
    </xf>
    <xf numFmtId="0" fontId="24" fillId="0" borderId="16" xfId="2" applyFont="1" applyBorder="1" applyAlignment="1" applyProtection="1">
      <alignment horizontal="left" vertical="top" wrapText="1"/>
    </xf>
    <xf numFmtId="0" fontId="0" fillId="0" borderId="0" xfId="0" applyAlignment="1" applyProtection="1"/>
    <xf numFmtId="0" fontId="8" fillId="0" borderId="2"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0" fillId="0" borderId="5" xfId="0" applyBorder="1" applyAlignment="1" applyProtection="1">
      <alignment vertical="top"/>
    </xf>
    <xf numFmtId="0" fontId="3" fillId="0" borderId="7" xfId="0" applyFont="1" applyBorder="1" applyAlignment="1" applyProtection="1">
      <alignment horizontal="center" vertical="top" wrapText="1"/>
    </xf>
    <xf numFmtId="0" fontId="3" fillId="0" borderId="7" xfId="0" applyFont="1" applyBorder="1" applyAlignment="1" applyProtection="1">
      <alignment vertical="top"/>
    </xf>
    <xf numFmtId="0" fontId="4" fillId="6" borderId="8" xfId="0" applyFont="1" applyFill="1" applyBorder="1" applyAlignment="1" applyProtection="1">
      <alignment vertical="top"/>
    </xf>
    <xf numFmtId="9" fontId="4" fillId="6" borderId="8" xfId="0" applyNumberFormat="1" applyFont="1" applyFill="1" applyBorder="1" applyAlignment="1" applyProtection="1">
      <alignment horizontal="center" vertical="top"/>
    </xf>
    <xf numFmtId="0" fontId="3" fillId="0" borderId="12" xfId="0" applyFont="1" applyBorder="1" applyAlignment="1" applyProtection="1">
      <alignment horizontal="center" vertical="top" wrapText="1"/>
    </xf>
    <xf numFmtId="0" fontId="3" fillId="0" borderId="7" xfId="0" applyFont="1" applyFill="1" applyBorder="1" applyAlignment="1" applyProtection="1">
      <alignment vertical="top"/>
    </xf>
    <xf numFmtId="9" fontId="4" fillId="4" borderId="8" xfId="0" applyNumberFormat="1" applyFont="1" applyFill="1" applyBorder="1" applyAlignment="1" applyProtection="1">
      <alignment horizontal="center" vertical="top"/>
    </xf>
    <xf numFmtId="0" fontId="12" fillId="0" borderId="4" xfId="0" applyFont="1" applyBorder="1" applyAlignment="1" applyProtection="1">
      <alignment vertical="top"/>
    </xf>
    <xf numFmtId="0" fontId="4" fillId="0" borderId="12" xfId="0" applyFont="1" applyBorder="1" applyAlignment="1" applyProtection="1">
      <alignment vertical="top"/>
    </xf>
    <xf numFmtId="0" fontId="12" fillId="0" borderId="12" xfId="0" applyFont="1" applyBorder="1" applyAlignment="1" applyProtection="1">
      <alignment vertical="top"/>
    </xf>
    <xf numFmtId="9" fontId="4" fillId="5" borderId="8" xfId="0" applyNumberFormat="1" applyFont="1" applyFill="1" applyBorder="1" applyAlignment="1" applyProtection="1">
      <alignment vertical="top" wrapText="1"/>
    </xf>
    <xf numFmtId="9" fontId="0" fillId="0" borderId="0" xfId="0" applyNumberFormat="1" applyAlignment="1" applyProtection="1">
      <alignment vertical="top"/>
    </xf>
    <xf numFmtId="0" fontId="4" fillId="0" borderId="0" xfId="0" applyFont="1" applyBorder="1" applyAlignment="1" applyProtection="1">
      <alignment vertical="top" wrapText="1"/>
    </xf>
    <xf numFmtId="0" fontId="8" fillId="0" borderId="5" xfId="0" applyFont="1" applyBorder="1" applyAlignment="1" applyProtection="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3" fontId="4" fillId="4" borderId="8" xfId="0" applyNumberFormat="1" applyFont="1" applyFill="1" applyBorder="1" applyAlignment="1" applyProtection="1">
      <alignment horizontal="center" vertical="top"/>
    </xf>
    <xf numFmtId="0" fontId="3" fillId="0" borderId="9" xfId="0" applyFont="1" applyBorder="1" applyAlignment="1" applyProtection="1">
      <alignment vertical="top"/>
    </xf>
    <xf numFmtId="3" fontId="4" fillId="9" borderId="13" xfId="0" applyNumberFormat="1" applyFont="1" applyFill="1" applyBorder="1" applyAlignment="1" applyProtection="1">
      <alignment horizontal="right" vertical="top"/>
    </xf>
    <xf numFmtId="3" fontId="4" fillId="9" borderId="13" xfId="0" applyNumberFormat="1" applyFont="1" applyFill="1" applyBorder="1" applyAlignment="1" applyProtection="1">
      <alignment horizontal="center" vertical="top"/>
    </xf>
    <xf numFmtId="0" fontId="4" fillId="9" borderId="8" xfId="0" applyFont="1" applyFill="1" applyBorder="1" applyAlignment="1" applyProtection="1">
      <alignment vertical="top"/>
    </xf>
    <xf numFmtId="0" fontId="4" fillId="0" borderId="31" xfId="0" applyFont="1" applyBorder="1" applyAlignment="1" applyProtection="1">
      <alignment vertical="top"/>
    </xf>
    <xf numFmtId="0" fontId="4" fillId="0" borderId="32" xfId="0" applyFont="1" applyBorder="1" applyAlignment="1" applyProtection="1">
      <alignment vertical="top"/>
    </xf>
    <xf numFmtId="0" fontId="4" fillId="0" borderId="33" xfId="0" applyFont="1" applyBorder="1" applyAlignment="1" applyProtection="1">
      <alignment vertical="top"/>
    </xf>
    <xf numFmtId="0" fontId="4" fillId="0" borderId="34" xfId="0" applyFont="1" applyBorder="1" applyAlignment="1" applyProtection="1">
      <alignment vertical="top"/>
    </xf>
    <xf numFmtId="3" fontId="4" fillId="6" borderId="16" xfId="0" applyNumberFormat="1" applyFont="1" applyFill="1" applyBorder="1" applyAlignment="1" applyProtection="1">
      <alignment horizontal="center" vertical="top"/>
    </xf>
    <xf numFmtId="3" fontId="4" fillId="6" borderId="35" xfId="0" applyNumberFormat="1" applyFont="1" applyFill="1" applyBorder="1" applyAlignment="1" applyProtection="1">
      <alignment horizontal="center" vertical="top"/>
    </xf>
    <xf numFmtId="0" fontId="4" fillId="0" borderId="34" xfId="0" applyFont="1" applyBorder="1" applyAlignment="1" applyProtection="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0" xfId="0" applyBorder="1" applyProtection="1">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pplyProtection="1">
      <alignment vertical="top"/>
    </xf>
    <xf numFmtId="0" fontId="0" fillId="0" borderId="3" xfId="0" applyBorder="1" applyProtection="1"/>
    <xf numFmtId="0" fontId="0" fillId="0" borderId="4" xfId="0" applyBorder="1" applyProtection="1"/>
    <xf numFmtId="0" fontId="4" fillId="0" borderId="0" xfId="0" applyFont="1" applyBorder="1" applyAlignment="1" applyProtection="1">
      <alignment horizontal="center" vertical="top" wrapText="1"/>
    </xf>
    <xf numFmtId="3" fontId="4" fillId="0" borderId="8" xfId="0" applyNumberFormat="1" applyFont="1" applyFill="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7" fillId="0" borderId="16" xfId="0" applyFont="1" applyBorder="1" applyAlignment="1">
      <alignment vertical="top"/>
    </xf>
    <xf numFmtId="0" fontId="0" fillId="0" borderId="0" xfId="0"/>
    <xf numFmtId="0" fontId="0" fillId="0" borderId="0" xfId="0"/>
    <xf numFmtId="9" fontId="4" fillId="0" borderId="16" xfId="0" applyNumberFormat="1" applyFont="1" applyFill="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Border="1" applyAlignment="1">
      <alignment vertical="top" wrapText="1"/>
    </xf>
    <xf numFmtId="9" fontId="0" fillId="6" borderId="12" xfId="3" applyFont="1" applyFill="1" applyBorder="1" applyAlignment="1">
      <alignment horizontal="center" vertical="top"/>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3" xfId="0" applyFont="1" applyBorder="1" applyAlignment="1" applyProtection="1">
      <alignment vertical="top" wrapText="1"/>
    </xf>
    <xf numFmtId="0" fontId="4" fillId="0" borderId="8" xfId="0" applyFont="1" applyBorder="1" applyAlignment="1" applyProtection="1">
      <alignment vertical="top" wrapText="1"/>
    </xf>
    <xf numFmtId="0" fontId="6"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3" fillId="0" borderId="4" xfId="0" applyFont="1" applyBorder="1" applyAlignment="1">
      <alignment vertical="top" wrapText="1"/>
    </xf>
    <xf numFmtId="0" fontId="4" fillId="0" borderId="14" xfId="0" applyFont="1" applyBorder="1" applyAlignment="1">
      <alignment horizontal="center" vertical="top" wrapText="1"/>
    </xf>
    <xf numFmtId="0" fontId="3" fillId="0" borderId="3" xfId="0" applyFont="1" applyBorder="1" applyAlignment="1">
      <alignment vertical="top" wrapText="1"/>
    </xf>
    <xf numFmtId="0" fontId="4" fillId="0" borderId="14" xfId="0" applyFont="1" applyBorder="1" applyAlignment="1" applyProtection="1">
      <alignment vertical="top"/>
      <protection locked="0"/>
    </xf>
    <xf numFmtId="0" fontId="27" fillId="0" borderId="16" xfId="0" applyFont="1" applyBorder="1" applyAlignment="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15" xfId="0" applyFont="1" applyBorder="1" applyAlignment="1">
      <alignment vertical="top"/>
    </xf>
    <xf numFmtId="0" fontId="4" fillId="0" borderId="8" xfId="0" applyFont="1" applyBorder="1" applyAlignment="1">
      <alignment horizontal="center" vertical="top" wrapText="1"/>
    </xf>
    <xf numFmtId="0" fontId="3" fillId="0" borderId="1" xfId="0" applyFont="1" applyBorder="1" applyAlignment="1">
      <alignment vertical="top" wrapText="1"/>
    </xf>
    <xf numFmtId="0" fontId="4" fillId="0" borderId="14" xfId="0" applyFont="1" applyBorder="1" applyAlignment="1" applyProtection="1">
      <alignment vertical="top"/>
      <protection locked="0"/>
    </xf>
    <xf numFmtId="9" fontId="4" fillId="3" borderId="12" xfId="0" applyNumberFormat="1" applyFont="1" applyFill="1" applyBorder="1" applyAlignment="1" applyProtection="1">
      <alignment vertical="top"/>
      <protection locked="0"/>
    </xf>
    <xf numFmtId="9" fontId="4" fillId="4" borderId="12" xfId="0" applyNumberFormat="1" applyFont="1" applyFill="1" applyBorder="1" applyAlignment="1" applyProtection="1">
      <alignment horizontal="right" vertical="top"/>
    </xf>
    <xf numFmtId="0" fontId="0" fillId="0" borderId="6" xfId="0" applyBorder="1" applyAlignment="1" applyProtection="1">
      <alignment horizontal="center" vertical="top"/>
    </xf>
    <xf numFmtId="3" fontId="4" fillId="4" borderId="8" xfId="0" applyNumberFormat="1" applyFont="1" applyFill="1" applyBorder="1" applyAlignment="1" applyProtection="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0" fontId="4" fillId="0" borderId="12" xfId="0" applyFont="1" applyBorder="1" applyAlignment="1" applyProtection="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pplyProtection="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3" fontId="4" fillId="4" borderId="16" xfId="0" applyNumberFormat="1" applyFont="1" applyFill="1" applyBorder="1" applyAlignment="1" applyProtection="1">
      <alignment horizontal="right" vertical="top"/>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9" fontId="25" fillId="6" borderId="16" xfId="0" applyNumberFormat="1"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9" fontId="4" fillId="4" borderId="14" xfId="3" applyFont="1" applyFill="1" applyBorder="1" applyAlignment="1">
      <alignment horizontal="center" vertical="center"/>
    </xf>
    <xf numFmtId="0" fontId="0" fillId="0" borderId="2" xfId="0" applyBorder="1" applyAlignment="1">
      <alignment vertical="top"/>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pplyProtection="1">
      <alignment vertical="top" wrapText="1"/>
    </xf>
    <xf numFmtId="3" fontId="4" fillId="3" borderId="13" xfId="0" applyNumberFormat="1" applyFont="1" applyFill="1" applyBorder="1" applyAlignment="1" applyProtection="1">
      <alignment vertical="top" wrapText="1"/>
      <protection locked="0"/>
    </xf>
    <xf numFmtId="0" fontId="4" fillId="3" borderId="8" xfId="0" applyFont="1" applyFill="1" applyBorder="1" applyAlignment="1" applyProtection="1">
      <alignment horizontal="lef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9" fontId="3" fillId="3" borderId="8" xfId="0" applyNumberFormat="1" applyFont="1" applyFill="1" applyBorder="1" applyAlignment="1" applyProtection="1">
      <alignment horizontal="center" vertical="top"/>
      <protection locked="0"/>
    </xf>
    <xf numFmtId="0" fontId="28" fillId="0" borderId="1" xfId="0" applyFont="1" applyBorder="1" applyAlignment="1">
      <alignment vertical="top" wrapText="1"/>
    </xf>
    <xf numFmtId="164" fontId="4" fillId="3" borderId="8" xfId="0" applyNumberFormat="1" applyFont="1" applyFill="1" applyBorder="1" applyAlignment="1" applyProtection="1">
      <alignment horizontal="center" vertical="top"/>
      <protection locked="0"/>
    </xf>
    <xf numFmtId="165" fontId="4" fillId="8" borderId="15" xfId="0" applyNumberFormat="1" applyFont="1" applyFill="1" applyBorder="1" applyAlignment="1" applyProtection="1">
      <alignment horizontal="center" wrapText="1"/>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4" fillId="0" borderId="14" xfId="0" applyFont="1" applyBorder="1" applyAlignment="1" applyProtection="1">
      <alignment vertical="top"/>
      <protection locked="0"/>
    </xf>
    <xf numFmtId="0" fontId="17" fillId="0" borderId="0" xfId="2" applyFill="1"/>
    <xf numFmtId="0" fontId="0" fillId="0" borderId="16" xfId="0" applyBorder="1" applyAlignment="1">
      <alignment horizontal="center"/>
    </xf>
    <xf numFmtId="0" fontId="0" fillId="0" borderId="0" xfId="0" applyFill="1" applyBorder="1" applyAlignment="1">
      <alignment vertical="top"/>
    </xf>
    <xf numFmtId="0" fontId="17" fillId="0" borderId="0" xfId="2" applyFill="1" applyBorder="1"/>
    <xf numFmtId="0" fontId="7" fillId="0" borderId="0" xfId="0" applyFont="1" applyBorder="1" applyAlignment="1" applyProtection="1">
      <alignment horizontal="center" vertical="top"/>
    </xf>
    <xf numFmtId="0" fontId="4" fillId="0" borderId="0" xfId="0" applyFont="1" applyBorder="1" applyAlignment="1" applyProtection="1">
      <alignment horizontal="right" vertical="top"/>
    </xf>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0" fillId="6" borderId="16" xfId="3" applyNumberFormat="1" applyFont="1" applyFill="1" applyBorder="1" applyAlignment="1" applyProtection="1">
      <alignment horizontal="left" vertical="top"/>
    </xf>
    <xf numFmtId="0" fontId="7" fillId="6" borderId="20" xfId="3" applyNumberFormat="1" applyFont="1" applyFill="1" applyBorder="1" applyAlignment="1" applyProtection="1">
      <alignment horizontal="left" vertical="top"/>
      <protection locked="0"/>
    </xf>
    <xf numFmtId="0" fontId="7" fillId="6" borderId="19" xfId="3" applyNumberFormat="1" applyFont="1" applyFill="1" applyBorder="1" applyAlignment="1" applyProtection="1">
      <alignment horizontal="left" vertical="top"/>
    </xf>
    <xf numFmtId="0" fontId="7" fillId="0" borderId="16" xfId="0" applyFont="1" applyBorder="1" applyAlignment="1">
      <alignment horizontal="center" vertical="center"/>
    </xf>
    <xf numFmtId="0" fontId="17" fillId="0" borderId="0" xfId="2" applyFill="1" applyProtection="1"/>
    <xf numFmtId="0" fontId="17" fillId="0" borderId="0" xfId="2" applyFill="1" applyBorder="1" applyProtection="1"/>
    <xf numFmtId="0" fontId="4" fillId="0" borderId="8" xfId="0" applyFont="1" applyBorder="1" applyAlignment="1" applyProtection="1">
      <alignment horizontal="center" vertical="top"/>
    </xf>
    <xf numFmtId="0" fontId="4" fillId="0" borderId="13" xfId="0" applyFont="1" applyBorder="1" applyAlignment="1" applyProtection="1">
      <alignment vertical="top"/>
    </xf>
    <xf numFmtId="9" fontId="4" fillId="4" borderId="8" xfId="3" applyFont="1" applyFill="1" applyBorder="1" applyAlignment="1" applyProtection="1">
      <alignment vertical="top"/>
    </xf>
    <xf numFmtId="9" fontId="0" fillId="0" borderId="0" xfId="0" applyNumberFormat="1" applyProtection="1"/>
    <xf numFmtId="9" fontId="4" fillId="4" borderId="12" xfId="0" applyNumberFormat="1" applyFont="1" applyFill="1" applyBorder="1" applyAlignment="1" applyProtection="1">
      <alignment horizontal="center" vertical="top"/>
    </xf>
    <xf numFmtId="0" fontId="0" fillId="0" borderId="11" xfId="0" applyBorder="1" applyAlignment="1" applyProtection="1">
      <alignment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7" fillId="6" borderId="16" xfId="3" applyNumberFormat="1" applyFont="1" applyFill="1" applyBorder="1" applyAlignment="1" applyProtection="1">
      <alignment horizontal="left" vertical="top" wrapText="1"/>
      <protection hidden="1"/>
    </xf>
    <xf numFmtId="0" fontId="7" fillId="6" borderId="18" xfId="3" applyNumberFormat="1" applyFont="1" applyFill="1" applyBorder="1" applyAlignment="1" applyProtection="1">
      <alignment horizontal="left" vertical="top" wrapText="1"/>
      <protection hidden="1"/>
    </xf>
    <xf numFmtId="0" fontId="4" fillId="0" borderId="6" xfId="0" applyFont="1" applyBorder="1" applyAlignment="1" applyProtection="1">
      <alignment horizontal="center" vertical="top"/>
    </xf>
    <xf numFmtId="0" fontId="4" fillId="3" borderId="7" xfId="0" applyFont="1" applyFill="1" applyBorder="1" applyAlignment="1" applyProtection="1">
      <alignment horizontal="center" vertical="top"/>
    </xf>
    <xf numFmtId="0" fontId="4" fillId="0" borderId="0" xfId="0" applyFont="1" applyBorder="1" applyAlignment="1" applyProtection="1">
      <alignment horizontal="right" vertical="top" wrapText="1"/>
    </xf>
    <xf numFmtId="0" fontId="29" fillId="0" borderId="0" xfId="0" applyFont="1" applyFill="1" applyAlignment="1">
      <alignment vertical="center" wrapText="1"/>
    </xf>
    <xf numFmtId="0" fontId="29" fillId="0" borderId="0" xfId="0" applyFont="1" applyBorder="1" applyAlignment="1">
      <alignment vertical="center"/>
    </xf>
    <xf numFmtId="0" fontId="29" fillId="11" borderId="0" xfId="5" applyFont="1" applyFill="1" applyAlignment="1">
      <alignment vertical="center" wrapText="1"/>
    </xf>
    <xf numFmtId="0" fontId="29" fillId="0" borderId="0" xfId="5" applyFont="1" applyFill="1" applyAlignment="1">
      <alignment vertical="center" wrapText="1"/>
    </xf>
    <xf numFmtId="0" fontId="31" fillId="0" borderId="0" xfId="5" applyAlignment="1">
      <alignment vertical="center"/>
    </xf>
    <xf numFmtId="0" fontId="38" fillId="13" borderId="1" xfId="5" applyFont="1" applyFill="1" applyBorder="1" applyAlignment="1">
      <alignment horizontal="center" vertical="center" wrapText="1"/>
    </xf>
    <xf numFmtId="0" fontId="38" fillId="0" borderId="44" xfId="5" applyFont="1" applyBorder="1" applyAlignment="1">
      <alignment vertical="center" wrapText="1"/>
    </xf>
    <xf numFmtId="0" fontId="39" fillId="0" borderId="44" xfId="5" applyFont="1" applyBorder="1" applyAlignment="1">
      <alignment horizontal="justify" vertical="center" wrapText="1"/>
    </xf>
    <xf numFmtId="0" fontId="38" fillId="0" borderId="50" xfId="5" applyFont="1" applyBorder="1" applyAlignment="1">
      <alignment vertical="center" wrapText="1"/>
    </xf>
    <xf numFmtId="0" fontId="39" fillId="0" borderId="50" xfId="5" applyFont="1" applyBorder="1" applyAlignment="1">
      <alignment horizontal="justify" vertical="center" wrapText="1"/>
    </xf>
    <xf numFmtId="0" fontId="31" fillId="0" borderId="0" xfId="5"/>
    <xf numFmtId="0" fontId="41" fillId="11" borderId="0" xfId="5" applyFont="1" applyFill="1" applyBorder="1" applyAlignment="1">
      <alignment horizontal="center" vertical="center"/>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0" fillId="0" borderId="39" xfId="0" applyBorder="1" applyAlignment="1">
      <alignment vertical="center"/>
    </xf>
    <xf numFmtId="0" fontId="30" fillId="12" borderId="15" xfId="5" applyFont="1" applyFill="1" applyBorder="1" applyAlignment="1">
      <alignment vertical="center" wrapText="1"/>
    </xf>
    <xf numFmtId="0" fontId="30" fillId="12" borderId="15" xfId="0" applyFont="1" applyFill="1" applyBorder="1" applyAlignment="1">
      <alignment vertical="center" wrapText="1"/>
    </xf>
    <xf numFmtId="0" fontId="30" fillId="12" borderId="7" xfId="0" applyFont="1" applyFill="1" applyBorder="1" applyAlignment="1">
      <alignment vertical="center" wrapText="1"/>
    </xf>
    <xf numFmtId="0" fontId="29" fillId="11" borderId="14" xfId="0" applyFont="1" applyFill="1" applyBorder="1" applyAlignment="1">
      <alignment vertical="center" wrapText="1"/>
    </xf>
    <xf numFmtId="0" fontId="29" fillId="11" borderId="15" xfId="0" applyFont="1" applyFill="1" applyBorder="1" applyAlignment="1">
      <alignment vertical="center" wrapText="1"/>
    </xf>
    <xf numFmtId="0" fontId="29" fillId="11" borderId="7" xfId="0" applyFont="1" applyFill="1" applyBorder="1" applyAlignment="1">
      <alignment vertical="center" wrapText="1"/>
    </xf>
    <xf numFmtId="0" fontId="4" fillId="3" borderId="30" xfId="0" applyFont="1" applyFill="1" applyBorder="1" applyAlignment="1" applyProtection="1">
      <alignment vertical="top" wrapText="1"/>
    </xf>
    <xf numFmtId="0" fontId="35" fillId="15" borderId="1" xfId="0" applyFont="1" applyFill="1" applyBorder="1" applyAlignment="1">
      <alignment horizontal="center" vertical="top" wrapText="1"/>
    </xf>
    <xf numFmtId="0" fontId="35" fillId="17" borderId="1" xfId="0" applyFont="1" applyFill="1" applyBorder="1" applyAlignment="1">
      <alignment horizontal="center" vertical="center" wrapText="1"/>
    </xf>
    <xf numFmtId="0" fontId="35" fillId="18" borderId="1" xfId="0" applyFont="1" applyFill="1" applyBorder="1" applyAlignment="1">
      <alignment horizontal="center" vertical="top" wrapText="1"/>
    </xf>
    <xf numFmtId="9" fontId="35" fillId="15" borderId="12" xfId="0" applyNumberFormat="1" applyFont="1" applyFill="1" applyBorder="1" applyAlignment="1">
      <alignment horizontal="center" vertical="center" wrapText="1"/>
    </xf>
    <xf numFmtId="10" fontId="35" fillId="15" borderId="3" xfId="0" applyNumberFormat="1" applyFont="1" applyFill="1" applyBorder="1" applyAlignment="1">
      <alignment horizontal="center" vertical="center" wrapText="1"/>
    </xf>
    <xf numFmtId="10" fontId="35" fillId="15" borderId="12" xfId="0" applyNumberFormat="1" applyFont="1" applyFill="1" applyBorder="1" applyAlignment="1">
      <alignment horizontal="center" vertical="center" wrapText="1"/>
    </xf>
    <xf numFmtId="9" fontId="35" fillId="23" borderId="3" xfId="0" applyNumberFormat="1" applyFont="1" applyFill="1" applyBorder="1" applyAlignment="1">
      <alignment horizontal="center" vertical="center" wrapText="1"/>
    </xf>
    <xf numFmtId="9" fontId="35" fillId="0" borderId="3" xfId="3" applyFont="1" applyFill="1" applyBorder="1" applyAlignment="1">
      <alignment horizontal="center" vertical="center" wrapText="1"/>
    </xf>
    <xf numFmtId="3" fontId="35" fillId="0" borderId="4" xfId="0" applyNumberFormat="1" applyFont="1" applyFill="1" applyBorder="1" applyAlignment="1">
      <alignment vertical="center" wrapText="1"/>
    </xf>
    <xf numFmtId="9" fontId="35" fillId="15" borderId="11" xfId="0" applyNumberFormat="1" applyFont="1" applyFill="1" applyBorder="1" applyAlignment="1">
      <alignment horizontal="center" vertical="center" wrapText="1"/>
    </xf>
    <xf numFmtId="0" fontId="35" fillId="15" borderId="12" xfId="0" applyFont="1" applyFill="1" applyBorder="1" applyAlignment="1">
      <alignment vertical="center" wrapText="1"/>
    </xf>
    <xf numFmtId="0" fontId="35" fillId="16" borderId="11" xfId="0" applyFont="1" applyFill="1" applyBorder="1" applyAlignment="1">
      <alignment vertical="center" wrapText="1"/>
    </xf>
    <xf numFmtId="166" fontId="36" fillId="16" borderId="11" xfId="0" applyNumberFormat="1" applyFont="1" applyFill="1" applyBorder="1" applyAlignment="1">
      <alignment horizontal="center" vertical="center" wrapText="1"/>
    </xf>
    <xf numFmtId="3" fontId="35" fillId="0" borderId="12" xfId="0" applyNumberFormat="1" applyFont="1" applyFill="1" applyBorder="1" applyAlignment="1">
      <alignment vertical="center" wrapText="1"/>
    </xf>
    <xf numFmtId="3" fontId="36" fillId="15" borderId="30" xfId="0" applyNumberFormat="1" applyFont="1" applyFill="1" applyBorder="1" applyAlignment="1">
      <alignment horizontal="center" vertical="center" wrapText="1"/>
    </xf>
    <xf numFmtId="9" fontId="36" fillId="15" borderId="30" xfId="3" applyFont="1" applyFill="1" applyBorder="1" applyAlignment="1">
      <alignment horizontal="center" vertical="center" wrapText="1"/>
    </xf>
    <xf numFmtId="9" fontId="36" fillId="22" borderId="30" xfId="3" applyFont="1" applyFill="1" applyBorder="1" applyAlignment="1">
      <alignment horizontal="center" vertical="center" wrapText="1"/>
    </xf>
    <xf numFmtId="3" fontId="36" fillId="16" borderId="30" xfId="0" applyNumberFormat="1" applyFont="1" applyFill="1" applyBorder="1" applyAlignment="1">
      <alignment horizontal="center" vertical="center" wrapText="1"/>
    </xf>
    <xf numFmtId="9" fontId="36" fillId="16" borderId="30" xfId="0" applyNumberFormat="1" applyFont="1" applyFill="1" applyBorder="1" applyAlignment="1">
      <alignment horizontal="center" vertical="center" wrapText="1"/>
    </xf>
    <xf numFmtId="3" fontId="55" fillId="16" borderId="30" xfId="0" applyNumberFormat="1" applyFont="1" applyFill="1" applyBorder="1" applyAlignment="1">
      <alignment vertical="center" wrapText="1"/>
    </xf>
    <xf numFmtId="3" fontId="56" fillId="0" borderId="30" xfId="0" applyNumberFormat="1" applyFont="1" applyFill="1" applyBorder="1" applyAlignment="1">
      <alignment vertical="center" wrapText="1"/>
    </xf>
    <xf numFmtId="3" fontId="57" fillId="0" borderId="63" xfId="0" applyNumberFormat="1" applyFont="1" applyFill="1" applyBorder="1" applyAlignment="1">
      <alignment vertical="center" wrapText="1"/>
    </xf>
    <xf numFmtId="3" fontId="36" fillId="15" borderId="16" xfId="0" applyNumberFormat="1" applyFont="1" applyFill="1" applyBorder="1" applyAlignment="1">
      <alignment horizontal="center" vertical="center" wrapText="1"/>
    </xf>
    <xf numFmtId="9" fontId="36" fillId="15" borderId="16" xfId="3" applyFont="1" applyFill="1" applyBorder="1" applyAlignment="1">
      <alignment horizontal="center" vertical="center" wrapText="1"/>
    </xf>
    <xf numFmtId="9" fontId="36" fillId="22" borderId="16" xfId="3" applyFont="1" applyFill="1" applyBorder="1" applyAlignment="1">
      <alignment horizontal="center" vertical="center" wrapText="1"/>
    </xf>
    <xf numFmtId="9" fontId="36" fillId="15" borderId="16" xfId="0" applyNumberFormat="1" applyFont="1" applyFill="1" applyBorder="1" applyAlignment="1">
      <alignment horizontal="center" vertical="center" wrapText="1"/>
    </xf>
    <xf numFmtId="1" fontId="36" fillId="16" borderId="16" xfId="3" applyNumberFormat="1" applyFont="1" applyFill="1" applyBorder="1" applyAlignment="1">
      <alignment horizontal="center" vertical="center" wrapText="1"/>
    </xf>
    <xf numFmtId="3" fontId="36" fillId="16" borderId="16" xfId="0" applyNumberFormat="1" applyFont="1" applyFill="1" applyBorder="1" applyAlignment="1">
      <alignment horizontal="center" vertical="center" wrapText="1"/>
    </xf>
    <xf numFmtId="9" fontId="36" fillId="16" borderId="16" xfId="0" applyNumberFormat="1" applyFont="1" applyFill="1" applyBorder="1" applyAlignment="1">
      <alignment horizontal="center" vertical="center" wrapText="1"/>
    </xf>
    <xf numFmtId="3" fontId="55" fillId="16" borderId="16" xfId="0" applyNumberFormat="1" applyFont="1" applyFill="1" applyBorder="1" applyAlignment="1">
      <alignment vertical="center" wrapText="1"/>
    </xf>
    <xf numFmtId="3" fontId="56" fillId="0" borderId="16" xfId="0" applyNumberFormat="1" applyFont="1" applyFill="1" applyBorder="1" applyAlignment="1">
      <alignment vertical="center" wrapText="1"/>
    </xf>
    <xf numFmtId="3" fontId="56" fillId="0" borderId="45" xfId="0" applyNumberFormat="1" applyFont="1" applyFill="1" applyBorder="1" applyAlignment="1">
      <alignment vertical="center" wrapText="1"/>
    </xf>
    <xf numFmtId="9" fontId="36" fillId="16" borderId="16" xfId="3" applyFont="1" applyFill="1" applyBorder="1" applyAlignment="1">
      <alignment horizontal="center" vertical="center" wrapText="1"/>
    </xf>
    <xf numFmtId="9" fontId="58" fillId="15" borderId="16" xfId="0" applyNumberFormat="1" applyFont="1" applyFill="1" applyBorder="1" applyAlignment="1">
      <alignment horizontal="center" vertical="center" wrapText="1"/>
    </xf>
    <xf numFmtId="3" fontId="36" fillId="16" borderId="16" xfId="0" applyNumberFormat="1" applyFont="1" applyFill="1" applyBorder="1" applyAlignment="1">
      <alignment vertical="center" wrapText="1"/>
    </xf>
    <xf numFmtId="3" fontId="35" fillId="0" borderId="16" xfId="0" applyNumberFormat="1" applyFont="1" applyFill="1" applyBorder="1" applyAlignment="1">
      <alignment vertical="center" wrapText="1"/>
    </xf>
    <xf numFmtId="3" fontId="35" fillId="0" borderId="45" xfId="0" applyNumberFormat="1" applyFont="1" applyFill="1" applyBorder="1" applyAlignment="1">
      <alignment vertical="center" wrapText="1"/>
    </xf>
    <xf numFmtId="0" fontId="54" fillId="24" borderId="18" xfId="0" applyFont="1" applyFill="1" applyBorder="1" applyAlignment="1">
      <alignment horizontal="justify" vertical="top" wrapText="1"/>
    </xf>
    <xf numFmtId="9" fontId="36" fillId="23" borderId="16" xfId="0" applyNumberFormat="1" applyFont="1" applyFill="1" applyBorder="1" applyAlignment="1">
      <alignment horizontal="center" vertical="center" wrapText="1"/>
    </xf>
    <xf numFmtId="9" fontId="36" fillId="3" borderId="16" xfId="0" applyNumberFormat="1" applyFont="1" applyFill="1" applyBorder="1" applyAlignment="1">
      <alignment horizontal="center" vertical="center" wrapText="1"/>
    </xf>
    <xf numFmtId="0" fontId="54" fillId="24" borderId="21" xfId="0" applyFont="1" applyFill="1" applyBorder="1" applyAlignment="1">
      <alignment horizontal="justify" vertical="center" wrapText="1"/>
    </xf>
    <xf numFmtId="3" fontId="36" fillId="15" borderId="37" xfId="0" applyNumberFormat="1" applyFont="1" applyFill="1" applyBorder="1" applyAlignment="1">
      <alignment horizontal="center" vertical="center" wrapText="1"/>
    </xf>
    <xf numFmtId="9" fontId="36" fillId="15" borderId="37" xfId="3" applyFont="1" applyFill="1" applyBorder="1" applyAlignment="1">
      <alignment horizontal="center" vertical="center" wrapText="1"/>
    </xf>
    <xf numFmtId="9" fontId="36" fillId="22" borderId="37" xfId="3" applyFont="1" applyFill="1" applyBorder="1" applyAlignment="1">
      <alignment horizontal="center" vertical="center" wrapText="1"/>
    </xf>
    <xf numFmtId="9" fontId="36" fillId="15" borderId="37" xfId="0" applyNumberFormat="1" applyFont="1" applyFill="1" applyBorder="1" applyAlignment="1">
      <alignment horizontal="center" vertical="center" wrapText="1"/>
    </xf>
    <xf numFmtId="3" fontId="36" fillId="16" borderId="37" xfId="0" applyNumberFormat="1" applyFont="1" applyFill="1" applyBorder="1" applyAlignment="1">
      <alignment horizontal="center" vertical="center" wrapText="1"/>
    </xf>
    <xf numFmtId="9" fontId="36" fillId="3" borderId="37" xfId="0" applyNumberFormat="1" applyFont="1" applyFill="1" applyBorder="1" applyAlignment="1">
      <alignment horizontal="center" vertical="center" wrapText="1"/>
    </xf>
    <xf numFmtId="3" fontId="36" fillId="16" borderId="37" xfId="0" applyNumberFormat="1" applyFont="1" applyFill="1" applyBorder="1" applyAlignment="1">
      <alignment vertical="center" wrapText="1"/>
    </xf>
    <xf numFmtId="3" fontId="35" fillId="0" borderId="37" xfId="0" applyNumberFormat="1" applyFont="1" applyFill="1" applyBorder="1" applyAlignment="1">
      <alignment vertical="center" wrapText="1"/>
    </xf>
    <xf numFmtId="3" fontId="35" fillId="0" borderId="48" xfId="0" applyNumberFormat="1" applyFont="1" applyFill="1" applyBorder="1" applyAlignment="1">
      <alignment vertical="center" wrapText="1"/>
    </xf>
    <xf numFmtId="10" fontId="35" fillId="15" borderId="15" xfId="0" applyNumberFormat="1" applyFont="1" applyFill="1" applyBorder="1" applyAlignment="1">
      <alignment horizontal="center" vertical="center" wrapText="1"/>
    </xf>
    <xf numFmtId="10" fontId="35" fillId="3" borderId="12" xfId="0" applyNumberFormat="1" applyFont="1" applyFill="1" applyBorder="1" applyAlignment="1">
      <alignment horizontal="center" vertical="center" wrapText="1"/>
    </xf>
    <xf numFmtId="10" fontId="35" fillId="3" borderId="15" xfId="0" applyNumberFormat="1" applyFont="1" applyFill="1" applyBorder="1" applyAlignment="1">
      <alignment horizontal="center" vertical="center" wrapText="1"/>
    </xf>
    <xf numFmtId="9" fontId="35" fillId="3" borderId="15" xfId="0" applyNumberFormat="1" applyFont="1" applyFill="1" applyBorder="1" applyAlignment="1">
      <alignment horizontal="center" vertical="center" wrapText="1"/>
    </xf>
    <xf numFmtId="166" fontId="36" fillId="16" borderId="12" xfId="0" applyNumberFormat="1" applyFont="1" applyFill="1" applyBorder="1" applyAlignment="1">
      <alignment horizontal="center" vertical="center" wrapText="1"/>
    </xf>
    <xf numFmtId="9" fontId="36" fillId="16" borderId="30" xfId="3" applyFont="1" applyFill="1" applyBorder="1" applyAlignment="1">
      <alignment horizontal="center" vertical="center" wrapText="1"/>
    </xf>
    <xf numFmtId="9" fontId="36" fillId="3" borderId="30" xfId="0" applyNumberFormat="1" applyFont="1" applyFill="1" applyBorder="1" applyAlignment="1">
      <alignment horizontal="center" vertical="center" wrapText="1"/>
    </xf>
    <xf numFmtId="3" fontId="36" fillId="16" borderId="30" xfId="0" applyNumberFormat="1" applyFont="1" applyFill="1" applyBorder="1" applyAlignment="1">
      <alignment vertical="center" wrapText="1"/>
    </xf>
    <xf numFmtId="3" fontId="35" fillId="0" borderId="30" xfId="0" applyNumberFormat="1" applyFont="1" applyFill="1" applyBorder="1" applyAlignment="1">
      <alignment vertical="center" wrapText="1"/>
    </xf>
    <xf numFmtId="3" fontId="35" fillId="0" borderId="63" xfId="0" applyNumberFormat="1" applyFont="1" applyFill="1" applyBorder="1" applyAlignment="1">
      <alignment vertical="center" wrapText="1"/>
    </xf>
    <xf numFmtId="3" fontId="59" fillId="16" borderId="16" xfId="0" applyNumberFormat="1" applyFont="1" applyFill="1" applyBorder="1" applyAlignment="1">
      <alignment vertical="center" wrapText="1"/>
    </xf>
    <xf numFmtId="3" fontId="60" fillId="0" borderId="16" xfId="0" applyNumberFormat="1" applyFont="1" applyFill="1" applyBorder="1" applyAlignment="1">
      <alignment vertical="center" wrapText="1"/>
    </xf>
    <xf numFmtId="3" fontId="60" fillId="0" borderId="45" xfId="0" applyNumberFormat="1" applyFont="1" applyFill="1" applyBorder="1" applyAlignment="1">
      <alignment vertical="center" wrapText="1"/>
    </xf>
    <xf numFmtId="0" fontId="54" fillId="24" borderId="18" xfId="6" applyFont="1" applyFill="1" applyBorder="1" applyAlignment="1">
      <alignment horizontal="justify" vertical="top" wrapText="1"/>
    </xf>
    <xf numFmtId="3" fontId="36" fillId="22" borderId="16" xfId="0" applyNumberFormat="1" applyFont="1" applyFill="1" applyBorder="1" applyAlignment="1">
      <alignment horizontal="center" vertical="center" wrapText="1"/>
    </xf>
    <xf numFmtId="0" fontId="54" fillId="24" borderId="21" xfId="6" applyFont="1" applyFill="1" applyBorder="1" applyAlignment="1">
      <alignment horizontal="justify" vertical="top" wrapText="1"/>
    </xf>
    <xf numFmtId="9" fontId="36" fillId="16" borderId="37" xfId="3" applyFont="1" applyFill="1" applyBorder="1" applyAlignment="1">
      <alignment horizontal="center" vertical="center" wrapText="1"/>
    </xf>
    <xf numFmtId="9" fontId="35" fillId="15" borderId="15" xfId="0" applyNumberFormat="1" applyFont="1" applyFill="1" applyBorder="1" applyAlignment="1">
      <alignment horizontal="center" vertical="center" wrapText="1"/>
    </xf>
    <xf numFmtId="9" fontId="35" fillId="3" borderId="12" xfId="0" applyNumberFormat="1" applyFont="1" applyFill="1" applyBorder="1" applyAlignment="1">
      <alignment horizontal="center" vertical="center" wrapText="1"/>
    </xf>
    <xf numFmtId="0" fontId="54" fillId="24" borderId="24" xfId="0" applyFont="1" applyFill="1" applyBorder="1" applyAlignment="1">
      <alignment horizontal="justify" vertical="top" wrapText="1"/>
    </xf>
    <xf numFmtId="0" fontId="36" fillId="23" borderId="30" xfId="0" applyFont="1" applyFill="1" applyBorder="1" applyAlignment="1">
      <alignment horizontal="center" vertical="center" wrapText="1"/>
    </xf>
    <xf numFmtId="0" fontId="36" fillId="22" borderId="30" xfId="0" applyFont="1" applyFill="1" applyBorder="1" applyAlignment="1">
      <alignment horizontal="center" vertical="center" wrapText="1"/>
    </xf>
    <xf numFmtId="9" fontId="36" fillId="15" borderId="30" xfId="0" applyNumberFormat="1" applyFont="1" applyFill="1" applyBorder="1" applyAlignment="1">
      <alignment horizontal="center" vertical="center" wrapText="1"/>
    </xf>
    <xf numFmtId="0" fontId="36" fillId="15" borderId="30" xfId="0" applyFont="1" applyFill="1" applyBorder="1" applyAlignment="1">
      <alignment horizontal="center" vertical="center" wrapText="1"/>
    </xf>
    <xf numFmtId="0" fontId="36" fillId="16" borderId="30" xfId="0" applyFont="1" applyFill="1" applyBorder="1" applyAlignment="1">
      <alignment horizontal="center" vertical="center" wrapText="1"/>
    </xf>
    <xf numFmtId="168" fontId="36" fillId="16" borderId="30" xfId="0" applyNumberFormat="1" applyFont="1" applyFill="1" applyBorder="1" applyAlignment="1">
      <alignment horizontal="center" vertical="center" wrapText="1"/>
    </xf>
    <xf numFmtId="43" fontId="36" fillId="0" borderId="30" xfId="4" applyFont="1" applyFill="1" applyBorder="1" applyAlignment="1" applyProtection="1">
      <alignment horizontal="center" vertical="center" wrapText="1"/>
      <protection locked="0"/>
    </xf>
    <xf numFmtId="4" fontId="35" fillId="0" borderId="30" xfId="0" applyNumberFormat="1" applyFont="1" applyFill="1" applyBorder="1" applyAlignment="1">
      <alignment horizontal="center" vertical="center" wrapText="1"/>
    </xf>
    <xf numFmtId="4" fontId="36" fillId="0" borderId="30" xfId="0" applyNumberFormat="1" applyFont="1" applyFill="1" applyBorder="1" applyAlignment="1">
      <alignment horizontal="center" vertical="center" wrapText="1"/>
    </xf>
    <xf numFmtId="9" fontId="36" fillId="23" borderId="16" xfId="3" applyFont="1" applyFill="1" applyBorder="1" applyAlignment="1">
      <alignment horizontal="center" vertical="center" wrapText="1"/>
    </xf>
    <xf numFmtId="0" fontId="36" fillId="15" borderId="16" xfId="0" applyFont="1" applyFill="1" applyBorder="1" applyAlignment="1">
      <alignment horizontal="center" vertical="center" wrapText="1"/>
    </xf>
    <xf numFmtId="168" fontId="36" fillId="16" borderId="16" xfId="0" applyNumberFormat="1" applyFont="1" applyFill="1" applyBorder="1" applyAlignment="1">
      <alignment horizontal="center" vertical="center" wrapText="1"/>
    </xf>
    <xf numFmtId="43" fontId="36" fillId="0" borderId="16" xfId="4" applyFont="1" applyFill="1" applyBorder="1" applyAlignment="1" applyProtection="1">
      <alignment horizontal="center" vertical="center" wrapText="1"/>
      <protection locked="0"/>
    </xf>
    <xf numFmtId="4" fontId="35" fillId="0" borderId="16" xfId="0" applyNumberFormat="1" applyFont="1" applyFill="1" applyBorder="1" applyAlignment="1">
      <alignment horizontal="center" vertical="center" wrapText="1"/>
    </xf>
    <xf numFmtId="4" fontId="36" fillId="0" borderId="16" xfId="0" applyNumberFormat="1" applyFont="1" applyFill="1" applyBorder="1" applyAlignment="1">
      <alignment horizontal="center" vertical="center" wrapText="1"/>
    </xf>
    <xf numFmtId="0" fontId="36" fillId="23" borderId="16" xfId="0" applyFont="1" applyFill="1" applyBorder="1" applyAlignment="1">
      <alignment horizontal="center" vertical="center" wrapText="1"/>
    </xf>
    <xf numFmtId="0" fontId="36" fillId="22" borderId="16" xfId="0" applyFont="1" applyFill="1" applyBorder="1" applyAlignment="1">
      <alignment horizontal="center" vertical="center" wrapText="1"/>
    </xf>
    <xf numFmtId="0" fontId="36" fillId="16" borderId="16" xfId="0" applyFont="1" applyFill="1" applyBorder="1" applyAlignment="1">
      <alignment horizontal="center" vertical="center" wrapText="1"/>
    </xf>
    <xf numFmtId="0" fontId="54" fillId="13" borderId="21" xfId="0" applyFont="1" applyFill="1" applyBorder="1" applyAlignment="1">
      <alignment horizontal="justify" vertical="top" wrapText="1"/>
    </xf>
    <xf numFmtId="0" fontId="36" fillId="23" borderId="37" xfId="0" applyFont="1" applyFill="1" applyBorder="1" applyAlignment="1">
      <alignment horizontal="center" vertical="center" wrapText="1"/>
    </xf>
    <xf numFmtId="0" fontId="36" fillId="22" borderId="37" xfId="0" applyFont="1" applyFill="1" applyBorder="1" applyAlignment="1">
      <alignment horizontal="center" vertical="center" wrapText="1"/>
    </xf>
    <xf numFmtId="0" fontId="36" fillId="15" borderId="37" xfId="0" applyFont="1" applyFill="1" applyBorder="1" applyAlignment="1">
      <alignment horizontal="center" vertical="center" wrapText="1"/>
    </xf>
    <xf numFmtId="0" fontId="36" fillId="16" borderId="37" xfId="0" applyFont="1" applyFill="1" applyBorder="1" applyAlignment="1">
      <alignment horizontal="center" vertical="center" wrapText="1"/>
    </xf>
    <xf numFmtId="168" fontId="36" fillId="16" borderId="37" xfId="0" applyNumberFormat="1" applyFont="1" applyFill="1" applyBorder="1" applyAlignment="1">
      <alignment horizontal="center" vertical="center" wrapText="1"/>
    </xf>
    <xf numFmtId="43" fontId="36" fillId="0" borderId="37" xfId="4" applyFont="1" applyFill="1" applyBorder="1" applyAlignment="1" applyProtection="1">
      <alignment horizontal="center" vertical="center" wrapText="1"/>
      <protection locked="0"/>
    </xf>
    <xf numFmtId="4" fontId="35" fillId="0" borderId="37" xfId="0" applyNumberFormat="1" applyFont="1" applyFill="1" applyBorder="1" applyAlignment="1">
      <alignment horizontal="center" vertical="center" wrapText="1"/>
    </xf>
    <xf numFmtId="4" fontId="36" fillId="0" borderId="37" xfId="0" applyNumberFormat="1" applyFont="1" applyFill="1" applyBorder="1" applyAlignment="1">
      <alignment horizontal="center" vertical="center" wrapText="1"/>
    </xf>
    <xf numFmtId="0" fontId="35" fillId="0" borderId="37" xfId="0" applyFont="1" applyFill="1" applyBorder="1" applyAlignment="1">
      <alignment vertical="center" wrapText="1"/>
    </xf>
    <xf numFmtId="9" fontId="35" fillId="15" borderId="3" xfId="0" applyNumberFormat="1" applyFont="1" applyFill="1" applyBorder="1" applyAlignment="1">
      <alignment horizontal="center" vertical="center" wrapText="1"/>
    </xf>
    <xf numFmtId="0" fontId="35" fillId="15" borderId="3" xfId="0" applyFont="1" applyFill="1" applyBorder="1" applyAlignment="1">
      <alignment vertical="center" wrapText="1"/>
    </xf>
    <xf numFmtId="0" fontId="35" fillId="23" borderId="12" xfId="0" applyFont="1" applyFill="1" applyBorder="1" applyAlignment="1">
      <alignment vertical="center" wrapText="1"/>
    </xf>
    <xf numFmtId="3" fontId="36" fillId="23" borderId="3" xfId="0" applyNumberFormat="1" applyFont="1" applyFill="1" applyBorder="1" applyAlignment="1">
      <alignment horizontal="center" vertical="center" wrapText="1"/>
    </xf>
    <xf numFmtId="9" fontId="35" fillId="23" borderId="12" xfId="0" applyNumberFormat="1" applyFont="1" applyFill="1" applyBorder="1" applyAlignment="1">
      <alignment horizontal="center" vertical="center" wrapText="1"/>
    </xf>
    <xf numFmtId="166" fontId="35" fillId="23" borderId="3" xfId="0" applyNumberFormat="1" applyFont="1" applyFill="1" applyBorder="1" applyAlignment="1">
      <alignment horizontal="center" vertical="center" wrapText="1"/>
    </xf>
    <xf numFmtId="0" fontId="35" fillId="0" borderId="60" xfId="0" applyFont="1" applyFill="1" applyBorder="1" applyAlignment="1">
      <alignment vertical="center" wrapText="1"/>
    </xf>
    <xf numFmtId="3" fontId="36" fillId="16" borderId="12" xfId="0" applyNumberFormat="1" applyFont="1" applyFill="1" applyBorder="1" applyAlignment="1">
      <alignment horizontal="center" vertical="center" wrapText="1"/>
    </xf>
    <xf numFmtId="9" fontId="35" fillId="16" borderId="11" xfId="0" applyNumberFormat="1" applyFont="1" applyFill="1" applyBorder="1" applyAlignment="1">
      <alignment horizontal="center" vertical="center" wrapText="1"/>
    </xf>
    <xf numFmtId="3" fontId="35" fillId="0" borderId="6" xfId="0" applyNumberFormat="1" applyFont="1" applyFill="1" applyBorder="1" applyAlignment="1">
      <alignment vertical="center" wrapText="1"/>
    </xf>
    <xf numFmtId="9" fontId="36" fillId="23" borderId="16" xfId="3" applyNumberFormat="1" applyFont="1" applyFill="1" applyBorder="1" applyAlignment="1">
      <alignment horizontal="center" vertical="center" wrapText="1"/>
    </xf>
    <xf numFmtId="3" fontId="62" fillId="0" borderId="48" xfId="0" applyNumberFormat="1" applyFont="1" applyFill="1" applyBorder="1" applyAlignment="1">
      <alignment vertical="center" wrapText="1"/>
    </xf>
    <xf numFmtId="3" fontId="39" fillId="15" borderId="16" xfId="0" applyNumberFormat="1" applyFont="1" applyFill="1" applyBorder="1" applyAlignment="1">
      <alignment horizontal="center" vertical="center" wrapText="1"/>
    </xf>
    <xf numFmtId="3" fontId="61" fillId="0" borderId="48" xfId="0" applyNumberFormat="1" applyFont="1" applyFill="1" applyBorder="1" applyAlignment="1">
      <alignment horizontal="justify" vertical="top" wrapText="1"/>
    </xf>
    <xf numFmtId="9" fontId="36" fillId="3" borderId="16" xfId="3" applyFont="1" applyFill="1" applyBorder="1" applyAlignment="1">
      <alignment horizontal="center" vertical="center" wrapText="1"/>
    </xf>
    <xf numFmtId="3" fontId="35" fillId="0" borderId="18" xfId="0" applyNumberFormat="1" applyFont="1" applyFill="1" applyBorder="1" applyAlignment="1">
      <alignment vertical="center" wrapText="1"/>
    </xf>
    <xf numFmtId="3" fontId="36" fillId="22" borderId="37" xfId="0" applyNumberFormat="1" applyFont="1" applyFill="1" applyBorder="1" applyAlignment="1">
      <alignment horizontal="center" vertical="center" wrapText="1"/>
    </xf>
    <xf numFmtId="9" fontId="35" fillId="15" borderId="15" xfId="6" applyNumberFormat="1" applyFont="1" applyFill="1" applyBorder="1" applyAlignment="1">
      <alignment horizontal="center" vertical="center" wrapText="1"/>
    </xf>
    <xf numFmtId="10" fontId="35" fillId="15" borderId="12" xfId="6" applyNumberFormat="1" applyFont="1" applyFill="1" applyBorder="1" applyAlignment="1">
      <alignment horizontal="center" vertical="center" wrapText="1"/>
    </xf>
    <xf numFmtId="10" fontId="35" fillId="15" borderId="15" xfId="6" applyNumberFormat="1" applyFont="1" applyFill="1" applyBorder="1" applyAlignment="1">
      <alignment horizontal="center" vertical="center" wrapText="1"/>
    </xf>
    <xf numFmtId="10" fontId="35" fillId="3" borderId="12" xfId="6" applyNumberFormat="1" applyFont="1" applyFill="1" applyBorder="1" applyAlignment="1">
      <alignment horizontal="center" vertical="center" wrapText="1"/>
    </xf>
    <xf numFmtId="10" fontId="35" fillId="3" borderId="15" xfId="6" applyNumberFormat="1" applyFont="1" applyFill="1" applyBorder="1" applyAlignment="1">
      <alignment horizontal="center" vertical="center" wrapText="1"/>
    </xf>
    <xf numFmtId="9" fontId="35" fillId="3" borderId="12" xfId="6" applyNumberFormat="1" applyFont="1" applyFill="1" applyBorder="1" applyAlignment="1">
      <alignment horizontal="center" vertical="center" wrapText="1"/>
    </xf>
    <xf numFmtId="166" fontId="36" fillId="16" borderId="15" xfId="0" applyNumberFormat="1" applyFont="1" applyFill="1" applyBorder="1" applyAlignment="1">
      <alignment horizontal="center" vertical="center" wrapText="1"/>
    </xf>
    <xf numFmtId="0" fontId="54" fillId="24" borderId="24" xfId="6" applyFont="1" applyFill="1" applyBorder="1" applyAlignment="1">
      <alignment horizontal="justify" vertical="top" wrapText="1"/>
    </xf>
    <xf numFmtId="3" fontId="36" fillId="22" borderId="30" xfId="0" applyNumberFormat="1" applyFont="1" applyFill="1" applyBorder="1" applyAlignment="1">
      <alignment horizontal="center" vertical="center" wrapText="1"/>
    </xf>
    <xf numFmtId="0" fontId="54" fillId="13" borderId="18" xfId="6" applyFont="1" applyFill="1" applyBorder="1" applyAlignment="1">
      <alignment horizontal="justify" vertical="top" wrapText="1"/>
    </xf>
    <xf numFmtId="10" fontId="36" fillId="15" borderId="16" xfId="0" applyNumberFormat="1" applyFont="1" applyFill="1" applyBorder="1" applyAlignment="1">
      <alignment horizontal="center" vertical="center" wrapText="1"/>
    </xf>
    <xf numFmtId="1" fontId="36" fillId="15" borderId="16" xfId="3" applyNumberFormat="1" applyFont="1" applyFill="1" applyBorder="1" applyAlignment="1">
      <alignment horizontal="center" vertical="center" wrapText="1"/>
    </xf>
    <xf numFmtId="1" fontId="36" fillId="22" borderId="16" xfId="3" applyNumberFormat="1" applyFont="1" applyFill="1" applyBorder="1" applyAlignment="1">
      <alignment horizontal="center" vertical="center" wrapText="1"/>
    </xf>
    <xf numFmtId="3" fontId="35" fillId="0" borderId="20" xfId="0" applyNumberFormat="1" applyFont="1" applyFill="1" applyBorder="1" applyAlignment="1">
      <alignment vertical="center" wrapText="1"/>
    </xf>
    <xf numFmtId="3" fontId="55" fillId="16" borderId="37" xfId="0" applyNumberFormat="1" applyFont="1" applyFill="1" applyBorder="1" applyAlignment="1">
      <alignment vertical="center" wrapText="1"/>
    </xf>
    <xf numFmtId="3" fontId="56" fillId="0" borderId="37" xfId="0" applyNumberFormat="1" applyFont="1" applyFill="1" applyBorder="1" applyAlignment="1">
      <alignment vertical="center" wrapText="1"/>
    </xf>
    <xf numFmtId="166" fontId="35" fillId="16" borderId="12" xfId="0" applyNumberFormat="1" applyFont="1" applyFill="1" applyBorder="1" applyAlignment="1">
      <alignment horizontal="center" vertical="top" wrapText="1"/>
    </xf>
    <xf numFmtId="4" fontId="35" fillId="0" borderId="12" xfId="0" applyNumberFormat="1" applyFont="1" applyFill="1" applyBorder="1" applyAlignment="1">
      <alignment horizontal="center" vertical="center" wrapText="1"/>
    </xf>
    <xf numFmtId="9" fontId="35" fillId="0" borderId="65" xfId="3" applyFont="1" applyFill="1" applyBorder="1" applyAlignment="1">
      <alignment horizontal="center" vertical="center" wrapText="1"/>
    </xf>
    <xf numFmtId="10" fontId="35" fillId="15" borderId="11" xfId="0" applyNumberFormat="1" applyFont="1" applyFill="1" applyBorder="1" applyAlignment="1">
      <alignment horizontal="center" vertical="center" wrapText="1"/>
    </xf>
    <xf numFmtId="10" fontId="35" fillId="3" borderId="11" xfId="0" applyNumberFormat="1" applyFont="1" applyFill="1" applyBorder="1" applyAlignment="1">
      <alignment horizontal="center" vertical="center" wrapText="1"/>
    </xf>
    <xf numFmtId="169" fontId="36" fillId="16" borderId="11" xfId="0" applyNumberFormat="1" applyFont="1" applyFill="1" applyBorder="1" applyAlignment="1">
      <alignment horizontal="center" vertical="center" wrapText="1"/>
    </xf>
    <xf numFmtId="0" fontId="54" fillId="25" borderId="18" xfId="6" applyFont="1" applyFill="1" applyBorder="1" applyAlignment="1">
      <alignment horizontal="justify" vertical="top" wrapText="1"/>
    </xf>
    <xf numFmtId="0" fontId="54" fillId="25" borderId="21" xfId="6" applyFont="1" applyFill="1" applyBorder="1" applyAlignment="1">
      <alignment horizontal="justify" vertical="top" wrapText="1"/>
    </xf>
    <xf numFmtId="0" fontId="46" fillId="0" borderId="60" xfId="0" applyFont="1" applyFill="1" applyBorder="1" applyAlignment="1">
      <alignment vertical="center" textRotation="90" wrapText="1"/>
    </xf>
    <xf numFmtId="1" fontId="36" fillId="15" borderId="37" xfId="3" applyNumberFormat="1" applyFont="1" applyFill="1" applyBorder="1" applyAlignment="1">
      <alignment horizontal="center" vertical="center" wrapText="1"/>
    </xf>
    <xf numFmtId="1" fontId="36" fillId="22" borderId="37" xfId="3" applyNumberFormat="1" applyFont="1" applyFill="1" applyBorder="1" applyAlignment="1">
      <alignment horizontal="center" vertical="center" wrapText="1"/>
    </xf>
    <xf numFmtId="3" fontId="36" fillId="15" borderId="60" xfId="0" applyNumberFormat="1" applyFont="1" applyFill="1" applyBorder="1" applyAlignment="1">
      <alignment horizontal="center" vertical="center" wrapText="1"/>
    </xf>
    <xf numFmtId="9" fontId="36" fillId="15" borderId="60" xfId="3" applyFont="1" applyFill="1" applyBorder="1" applyAlignment="1">
      <alignment horizontal="center" vertical="center" wrapText="1"/>
    </xf>
    <xf numFmtId="9" fontId="36" fillId="22" borderId="60" xfId="3" applyFont="1" applyFill="1" applyBorder="1" applyAlignment="1">
      <alignment horizontal="center" vertical="center" wrapText="1"/>
    </xf>
    <xf numFmtId="9" fontId="36" fillId="16" borderId="60" xfId="3" applyFont="1" applyFill="1" applyBorder="1" applyAlignment="1">
      <alignment horizontal="center" vertical="center" wrapText="1"/>
    </xf>
    <xf numFmtId="9" fontId="36" fillId="16" borderId="60" xfId="0" applyNumberFormat="1" applyFont="1" applyFill="1" applyBorder="1" applyAlignment="1">
      <alignment horizontal="center" vertical="center" wrapText="1"/>
    </xf>
    <xf numFmtId="3" fontId="36" fillId="16" borderId="60" xfId="0" applyNumberFormat="1" applyFont="1" applyFill="1" applyBorder="1" applyAlignment="1">
      <alignment horizontal="center" vertical="center" wrapText="1"/>
    </xf>
    <xf numFmtId="3" fontId="35" fillId="0" borderId="60" xfId="0" applyNumberFormat="1" applyFont="1" applyFill="1" applyBorder="1" applyAlignment="1">
      <alignment vertical="center" wrapText="1"/>
    </xf>
    <xf numFmtId="166" fontId="35" fillId="16" borderId="12" xfId="0" applyNumberFormat="1" applyFont="1" applyFill="1" applyBorder="1" applyAlignment="1">
      <alignment horizontal="center" vertical="center" wrapText="1"/>
    </xf>
    <xf numFmtId="3" fontId="36" fillId="0" borderId="12" xfId="0" applyNumberFormat="1" applyFont="1" applyFill="1" applyBorder="1" applyAlignment="1">
      <alignment vertical="center" wrapText="1"/>
    </xf>
    <xf numFmtId="0" fontId="54" fillId="15" borderId="60" xfId="0" applyFont="1" applyFill="1" applyBorder="1" applyAlignment="1">
      <alignment horizontal="center" vertical="center" wrapText="1"/>
    </xf>
    <xf numFmtId="9" fontId="36" fillId="15" borderId="60" xfId="3" applyNumberFormat="1"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6" borderId="60" xfId="0" applyFont="1" applyFill="1" applyBorder="1" applyAlignment="1">
      <alignment horizontal="center" vertical="center" wrapText="1"/>
    </xf>
    <xf numFmtId="171" fontId="36" fillId="16" borderId="12" xfId="0" applyNumberFormat="1" applyFont="1" applyFill="1" applyBorder="1" applyAlignment="1">
      <alignment horizontal="center" vertical="center" wrapText="1"/>
    </xf>
    <xf numFmtId="0" fontId="55" fillId="15" borderId="60" xfId="0" applyFont="1" applyFill="1" applyBorder="1" applyAlignment="1">
      <alignment horizontal="center" vertical="center" wrapText="1"/>
    </xf>
    <xf numFmtId="0" fontId="55" fillId="16" borderId="60" xfId="0" applyFont="1" applyFill="1" applyBorder="1" applyAlignment="1">
      <alignment vertical="center" wrapText="1"/>
    </xf>
    <xf numFmtId="9" fontId="35" fillId="15" borderId="62" xfId="0" applyNumberFormat="1" applyFont="1" applyFill="1" applyBorder="1" applyAlignment="1">
      <alignment horizontal="center" vertical="center" wrapText="1"/>
    </xf>
    <xf numFmtId="9" fontId="35" fillId="16" borderId="12" xfId="0" applyNumberFormat="1" applyFont="1" applyFill="1" applyBorder="1" applyAlignment="1">
      <alignment horizontal="center" vertical="center" wrapText="1"/>
    </xf>
    <xf numFmtId="171" fontId="35" fillId="16" borderId="3" xfId="0" applyNumberFormat="1" applyFont="1" applyFill="1" applyBorder="1" applyAlignment="1">
      <alignment horizontal="center" vertical="center" wrapText="1"/>
    </xf>
    <xf numFmtId="0" fontId="36" fillId="16" borderId="60" xfId="0" applyFont="1" applyFill="1" applyBorder="1" applyAlignment="1">
      <alignment vertical="center" wrapText="1"/>
    </xf>
    <xf numFmtId="0" fontId="36" fillId="15" borderId="60" xfId="0" applyNumberFormat="1" applyFont="1" applyFill="1" applyBorder="1" applyAlignment="1">
      <alignment horizontal="center" vertical="center" wrapText="1"/>
    </xf>
    <xf numFmtId="9" fontId="36" fillId="15" borderId="60" xfId="0" applyNumberFormat="1" applyFont="1" applyFill="1" applyBorder="1" applyAlignment="1">
      <alignment horizontal="center" vertical="center" wrapText="1"/>
    </xf>
    <xf numFmtId="1" fontId="36" fillId="15" borderId="60" xfId="0" applyNumberFormat="1" applyFont="1" applyFill="1" applyBorder="1" applyAlignment="1">
      <alignment horizontal="center" vertical="center" wrapText="1"/>
    </xf>
    <xf numFmtId="3" fontId="35" fillId="0" borderId="60" xfId="0" applyNumberFormat="1" applyFont="1" applyFill="1" applyBorder="1" applyAlignment="1">
      <alignment horizontal="center" vertical="center" wrapText="1"/>
    </xf>
    <xf numFmtId="3" fontId="35" fillId="0" borderId="61" xfId="0" applyNumberFormat="1" applyFont="1" applyFill="1" applyBorder="1" applyAlignment="1">
      <alignment horizontal="center" vertical="center" wrapText="1"/>
    </xf>
    <xf numFmtId="0" fontId="35" fillId="13" borderId="19" xfId="0" applyFont="1" applyFill="1" applyBorder="1" applyAlignment="1">
      <alignment vertical="center" wrapText="1"/>
    </xf>
    <xf numFmtId="0" fontId="35" fillId="13" borderId="14" xfId="0" applyFont="1" applyFill="1" applyBorder="1" applyAlignment="1">
      <alignment vertical="center" wrapText="1"/>
    </xf>
    <xf numFmtId="0" fontId="35" fillId="13" borderId="15" xfId="0" applyFont="1" applyFill="1" applyBorder="1" applyAlignment="1">
      <alignment vertical="center" wrapText="1"/>
    </xf>
    <xf numFmtId="9" fontId="35" fillId="23" borderId="15" xfId="0" applyNumberFormat="1" applyFont="1" applyFill="1" applyBorder="1" applyAlignment="1">
      <alignment horizontal="center" vertical="center" wrapText="1"/>
    </xf>
    <xf numFmtId="0" fontId="35" fillId="23" borderId="15" xfId="0" applyFont="1" applyFill="1" applyBorder="1" applyAlignment="1">
      <alignment vertical="center" wrapText="1"/>
    </xf>
    <xf numFmtId="3" fontId="36" fillId="23" borderId="15" xfId="0" applyNumberFormat="1" applyFont="1" applyFill="1" applyBorder="1" applyAlignment="1">
      <alignment horizontal="center" vertical="center" wrapText="1"/>
    </xf>
    <xf numFmtId="166" fontId="35" fillId="16" borderId="15" xfId="0" applyNumberFormat="1" applyFont="1" applyFill="1" applyBorder="1" applyAlignment="1">
      <alignment horizontal="center" vertical="center" wrapText="1"/>
    </xf>
    <xf numFmtId="0" fontId="35" fillId="0" borderId="37" xfId="0" applyFont="1" applyFill="1" applyBorder="1" applyAlignment="1">
      <alignment vertical="center" textRotation="90" wrapText="1"/>
    </xf>
    <xf numFmtId="9" fontId="35" fillId="15" borderId="26" xfId="0" applyNumberFormat="1" applyFont="1" applyFill="1" applyBorder="1" applyAlignment="1">
      <alignment horizontal="center" vertical="center" wrapText="1"/>
    </xf>
    <xf numFmtId="0" fontId="35" fillId="15" borderId="30" xfId="0" applyFont="1" applyFill="1" applyBorder="1" applyAlignment="1">
      <alignment vertical="center" wrapText="1"/>
    </xf>
    <xf numFmtId="0" fontId="35" fillId="16" borderId="30" xfId="0" applyFont="1" applyFill="1" applyBorder="1" applyAlignment="1">
      <alignment vertical="center" wrapText="1"/>
    </xf>
    <xf numFmtId="9" fontId="35" fillId="16" borderId="30" xfId="0" applyNumberFormat="1" applyFont="1" applyFill="1" applyBorder="1" applyAlignment="1">
      <alignment horizontal="center" vertical="center" wrapText="1"/>
    </xf>
    <xf numFmtId="166" fontId="36" fillId="16" borderId="30" xfId="0" applyNumberFormat="1" applyFont="1" applyFill="1" applyBorder="1" applyAlignment="1">
      <alignment horizontal="center" vertical="center" wrapText="1"/>
    </xf>
    <xf numFmtId="3" fontId="36" fillId="0" borderId="6" xfId="0" applyNumberFormat="1" applyFont="1" applyFill="1" applyBorder="1" applyAlignment="1">
      <alignment vertical="center" wrapText="1"/>
    </xf>
    <xf numFmtId="0" fontId="35" fillId="0" borderId="60" xfId="0" applyFont="1" applyFill="1" applyBorder="1" applyAlignment="1">
      <alignment vertical="center" textRotation="90" wrapText="1"/>
    </xf>
    <xf numFmtId="0" fontId="54" fillId="15" borderId="60" xfId="0" applyNumberFormat="1" applyFont="1" applyFill="1" applyBorder="1" applyAlignment="1">
      <alignment horizontal="center" vertical="center" wrapText="1"/>
    </xf>
    <xf numFmtId="9" fontId="36" fillId="26" borderId="30" xfId="3" applyFont="1" applyFill="1" applyBorder="1" applyAlignment="1">
      <alignment horizontal="center" vertical="center" wrapText="1"/>
    </xf>
    <xf numFmtId="0" fontId="39" fillId="15" borderId="16" xfId="0" applyFont="1" applyFill="1" applyBorder="1" applyAlignment="1">
      <alignment horizontal="center" vertical="center" wrapText="1"/>
    </xf>
    <xf numFmtId="9" fontId="35" fillId="0" borderId="16" xfId="3" applyFont="1" applyFill="1" applyBorder="1" applyAlignment="1">
      <alignment vertical="center" wrapText="1"/>
    </xf>
    <xf numFmtId="0" fontId="54" fillId="15" borderId="37" xfId="0" applyNumberFormat="1" applyFont="1" applyFill="1" applyBorder="1" applyAlignment="1">
      <alignment horizontal="center" vertical="center" wrapText="1"/>
    </xf>
    <xf numFmtId="9" fontId="36" fillId="26" borderId="16" xfId="3" applyFont="1" applyFill="1" applyBorder="1" applyAlignment="1">
      <alignment horizontal="center" vertical="center" wrapText="1"/>
    </xf>
    <xf numFmtId="9" fontId="36" fillId="26" borderId="16" xfId="0" applyNumberFormat="1" applyFont="1" applyFill="1" applyBorder="1" applyAlignment="1">
      <alignment horizontal="center" vertical="center" wrapText="1"/>
    </xf>
    <xf numFmtId="1" fontId="36" fillId="15" borderId="16" xfId="0" applyNumberFormat="1" applyFont="1" applyFill="1" applyBorder="1" applyAlignment="1">
      <alignment horizontal="center" vertical="center" wrapText="1"/>
    </xf>
    <xf numFmtId="3" fontId="66" fillId="0" borderId="16" xfId="0" applyNumberFormat="1" applyFont="1" applyFill="1" applyBorder="1" applyAlignment="1">
      <alignment vertical="center" wrapText="1"/>
    </xf>
    <xf numFmtId="1" fontId="36" fillId="15" borderId="37" xfId="0" applyNumberFormat="1" applyFont="1" applyFill="1" applyBorder="1" applyAlignment="1">
      <alignment horizontal="center" vertical="center" wrapText="1"/>
    </xf>
    <xf numFmtId="0" fontId="39" fillId="15" borderId="37" xfId="0" applyFont="1" applyFill="1" applyBorder="1" applyAlignment="1">
      <alignment horizontal="center" vertical="center" wrapText="1"/>
    </xf>
    <xf numFmtId="1" fontId="36" fillId="16" borderId="37" xfId="3" applyNumberFormat="1" applyFont="1" applyFill="1" applyBorder="1" applyAlignment="1">
      <alignment horizontal="center" vertical="center" wrapText="1"/>
    </xf>
    <xf numFmtId="9" fontId="36" fillId="16" borderId="37" xfId="0" applyNumberFormat="1" applyFont="1" applyFill="1" applyBorder="1" applyAlignment="1">
      <alignment horizontal="center" vertical="center" wrapText="1"/>
    </xf>
    <xf numFmtId="0" fontId="46" fillId="0" borderId="16" xfId="0" applyFont="1" applyFill="1" applyBorder="1" applyAlignment="1">
      <alignment vertical="center" textRotation="90" wrapText="1"/>
    </xf>
    <xf numFmtId="0" fontId="54" fillId="13" borderId="24" xfId="0" applyFont="1" applyFill="1" applyBorder="1" applyAlignment="1">
      <alignment horizontal="justify" vertical="top" wrapText="1"/>
    </xf>
    <xf numFmtId="172" fontId="36" fillId="23" borderId="30" xfId="0" applyNumberFormat="1" applyFont="1" applyFill="1" applyBorder="1" applyAlignment="1">
      <alignment horizontal="center" vertical="center" wrapText="1"/>
    </xf>
    <xf numFmtId="172" fontId="36" fillId="16" borderId="30" xfId="0" applyNumberFormat="1" applyFont="1" applyFill="1" applyBorder="1" applyAlignment="1">
      <alignment horizontal="center" vertical="center" wrapText="1"/>
    </xf>
    <xf numFmtId="173" fontId="36" fillId="16" borderId="30" xfId="0" applyNumberFormat="1" applyFont="1" applyFill="1" applyBorder="1" applyAlignment="1">
      <alignment vertical="center" wrapText="1"/>
    </xf>
    <xf numFmtId="0" fontId="54" fillId="13" borderId="18" xfId="0" applyFont="1" applyFill="1" applyBorder="1" applyAlignment="1">
      <alignment horizontal="justify" vertical="top" wrapText="1"/>
    </xf>
    <xf numFmtId="173" fontId="36" fillId="16" borderId="16" xfId="0" applyNumberFormat="1" applyFont="1" applyFill="1" applyBorder="1" applyAlignment="1">
      <alignment vertical="center" wrapText="1"/>
    </xf>
    <xf numFmtId="3" fontId="36" fillId="0" borderId="48" xfId="0" applyNumberFormat="1" applyFont="1" applyFill="1" applyBorder="1" applyAlignment="1">
      <alignment vertical="center" wrapText="1"/>
    </xf>
    <xf numFmtId="172" fontId="36" fillId="23" borderId="16" xfId="0" applyNumberFormat="1" applyFont="1" applyFill="1" applyBorder="1" applyAlignment="1">
      <alignment horizontal="center" vertical="center" wrapText="1"/>
    </xf>
    <xf numFmtId="9" fontId="46" fillId="23" borderId="12" xfId="3" applyNumberFormat="1" applyFont="1" applyFill="1" applyBorder="1" applyAlignment="1">
      <alignment horizontal="center" vertical="center" wrapText="1"/>
    </xf>
    <xf numFmtId="0" fontId="67" fillId="15" borderId="15" xfId="0" applyFont="1" applyFill="1" applyBorder="1" applyAlignment="1">
      <alignment horizontal="center" vertical="center" wrapText="1"/>
    </xf>
    <xf numFmtId="0" fontId="67" fillId="15" borderId="12" xfId="0" applyFont="1" applyFill="1" applyBorder="1" applyAlignment="1">
      <alignment horizontal="center" vertical="center" wrapText="1"/>
    </xf>
    <xf numFmtId="0" fontId="67" fillId="16" borderId="15" xfId="0" applyFont="1" applyFill="1" applyBorder="1" applyAlignment="1">
      <alignment horizontal="center" vertical="center" wrapText="1"/>
    </xf>
    <xf numFmtId="3" fontId="35" fillId="13" borderId="7" xfId="0" applyNumberFormat="1" applyFont="1" applyFill="1" applyBorder="1" applyAlignment="1">
      <alignment vertical="center" wrapText="1"/>
    </xf>
    <xf numFmtId="0" fontId="54" fillId="28" borderId="24" xfId="6" applyFont="1" applyFill="1" applyBorder="1" applyAlignment="1">
      <alignment horizontal="justify" vertical="top" wrapText="1"/>
    </xf>
    <xf numFmtId="0" fontId="54" fillId="28" borderId="18" xfId="6" applyFont="1" applyFill="1" applyBorder="1" applyAlignment="1">
      <alignment horizontal="justify" vertical="top" wrapText="1"/>
    </xf>
    <xf numFmtId="0" fontId="54" fillId="28" borderId="24" xfId="0" applyFont="1" applyFill="1" applyBorder="1" applyAlignment="1">
      <alignment horizontal="justify" vertical="top" wrapText="1"/>
    </xf>
    <xf numFmtId="0" fontId="54" fillId="28" borderId="18" xfId="0" applyFont="1" applyFill="1" applyBorder="1" applyAlignment="1">
      <alignment horizontal="justify" vertical="top" wrapText="1"/>
    </xf>
    <xf numFmtId="0" fontId="36" fillId="28" borderId="27" xfId="6" applyFont="1" applyFill="1" applyBorder="1" applyAlignment="1">
      <alignment horizontal="justify" vertical="top"/>
    </xf>
    <xf numFmtId="0" fontId="54" fillId="28" borderId="27" xfId="6" applyFont="1" applyFill="1" applyBorder="1" applyAlignment="1">
      <alignment horizontal="justify" vertical="top" wrapText="1"/>
    </xf>
    <xf numFmtId="175" fontId="45" fillId="20" borderId="16" xfId="4" applyNumberFormat="1" applyFont="1" applyFill="1" applyBorder="1" applyProtection="1"/>
    <xf numFmtId="175" fontId="45" fillId="13" borderId="16" xfId="4" applyNumberFormat="1" applyFont="1" applyFill="1" applyBorder="1" applyProtection="1"/>
    <xf numFmtId="175" fontId="43" fillId="0" borderId="16" xfId="4" applyNumberFormat="1" applyFont="1" applyFill="1" applyBorder="1" applyProtection="1">
      <protection locked="0"/>
    </xf>
    <xf numFmtId="175" fontId="42" fillId="0" borderId="16" xfId="4" applyNumberFormat="1" applyFont="1" applyFill="1" applyBorder="1" applyProtection="1"/>
    <xf numFmtId="175" fontId="42" fillId="0" borderId="16" xfId="4" applyNumberFormat="1" applyFont="1" applyFill="1" applyBorder="1" applyProtection="1">
      <protection locked="0"/>
    </xf>
    <xf numFmtId="175" fontId="43" fillId="0" borderId="16" xfId="4" applyNumberFormat="1" applyFont="1" applyFill="1" applyBorder="1" applyAlignment="1" applyProtection="1">
      <alignment horizontal="center" vertical="center"/>
      <protection locked="0"/>
    </xf>
    <xf numFmtId="175" fontId="42" fillId="0" borderId="16" xfId="4" applyNumberFormat="1" applyFont="1" applyFill="1" applyBorder="1" applyAlignment="1" applyProtection="1">
      <alignment horizontal="right"/>
      <protection locked="0"/>
    </xf>
    <xf numFmtId="175" fontId="45" fillId="0" borderId="16" xfId="4" applyNumberFormat="1" applyFont="1" applyBorder="1" applyProtection="1"/>
    <xf numFmtId="43" fontId="43" fillId="0" borderId="16" xfId="4" applyFont="1" applyFill="1" applyBorder="1" applyProtection="1">
      <protection locked="0"/>
    </xf>
    <xf numFmtId="175" fontId="74" fillId="21" borderId="16" xfId="4" applyNumberFormat="1" applyFont="1" applyFill="1" applyBorder="1" applyProtection="1">
      <protection locked="0"/>
    </xf>
    <xf numFmtId="1" fontId="69" fillId="21" borderId="16" xfId="0" applyNumberFormat="1" applyFont="1" applyFill="1" applyBorder="1" applyAlignment="1" applyProtection="1">
      <alignment horizontal="left"/>
    </xf>
    <xf numFmtId="1" fontId="73" fillId="21" borderId="16" xfId="0" applyNumberFormat="1" applyFont="1" applyFill="1" applyBorder="1" applyProtection="1"/>
    <xf numFmtId="0" fontId="41" fillId="0" borderId="10" xfId="0" applyFont="1" applyBorder="1" applyProtection="1"/>
    <xf numFmtId="0" fontId="0" fillId="0" borderId="11" xfId="0" applyBorder="1" applyProtection="1"/>
    <xf numFmtId="17" fontId="0" fillId="0" borderId="11" xfId="0" applyNumberFormat="1" applyBorder="1" applyProtection="1"/>
    <xf numFmtId="0" fontId="47" fillId="0" borderId="68" xfId="0" applyFont="1" applyBorder="1" applyAlignment="1" applyProtection="1">
      <alignment horizontal="center" vertical="center" wrapText="1"/>
    </xf>
    <xf numFmtId="0" fontId="47" fillId="0" borderId="69" xfId="0" applyFont="1" applyBorder="1" applyAlignment="1" applyProtection="1">
      <alignment horizontal="center" vertical="center" wrapText="1"/>
    </xf>
    <xf numFmtId="0" fontId="47" fillId="0" borderId="3" xfId="0" applyFont="1" applyBorder="1" applyAlignment="1" applyProtection="1">
      <alignment horizontal="center" vertical="center" wrapText="1"/>
    </xf>
    <xf numFmtId="0" fontId="47" fillId="0" borderId="61" xfId="0" applyFont="1" applyBorder="1" applyAlignment="1" applyProtection="1">
      <alignment horizontal="center" vertical="center" wrapText="1"/>
    </xf>
    <xf numFmtId="0" fontId="42" fillId="0" borderId="14" xfId="0" applyFont="1" applyFill="1" applyBorder="1" applyProtection="1"/>
    <xf numFmtId="0" fontId="42" fillId="0" borderId="41" xfId="0" applyFont="1" applyFill="1" applyBorder="1" applyProtection="1"/>
    <xf numFmtId="0" fontId="43" fillId="0" borderId="43" xfId="0" applyFont="1" applyFill="1" applyBorder="1" applyProtection="1"/>
    <xf numFmtId="0" fontId="43" fillId="0" borderId="47" xfId="0" applyFont="1" applyFill="1" applyBorder="1" applyProtection="1"/>
    <xf numFmtId="0" fontId="42" fillId="0" borderId="16" xfId="0" applyFont="1" applyFill="1" applyBorder="1" applyProtection="1"/>
    <xf numFmtId="0" fontId="42" fillId="0" borderId="43" xfId="0" applyFont="1" applyFill="1" applyBorder="1" applyProtection="1"/>
    <xf numFmtId="0" fontId="42" fillId="0" borderId="49" xfId="0" applyFont="1" applyFill="1" applyBorder="1" applyProtection="1"/>
    <xf numFmtId="0" fontId="43" fillId="0" borderId="0" xfId="0" applyFont="1" applyBorder="1" applyProtection="1"/>
    <xf numFmtId="43" fontId="43" fillId="0" borderId="0" xfId="4" applyFont="1" applyBorder="1" applyProtection="1"/>
    <xf numFmtId="43" fontId="43" fillId="0" borderId="0" xfId="4" applyFont="1" applyFill="1" applyBorder="1" applyProtection="1"/>
    <xf numFmtId="43" fontId="74" fillId="0" borderId="16" xfId="4" applyFont="1" applyFill="1" applyBorder="1" applyAlignment="1" applyProtection="1"/>
    <xf numFmtId="43" fontId="74" fillId="0" borderId="18" xfId="4" applyFont="1" applyFill="1" applyBorder="1" applyAlignment="1" applyProtection="1"/>
    <xf numFmtId="43" fontId="74" fillId="0" borderId="43" xfId="4" applyFont="1" applyFill="1" applyBorder="1" applyProtection="1"/>
    <xf numFmtId="43" fontId="74" fillId="0" borderId="16" xfId="4" applyFont="1" applyFill="1" applyBorder="1" applyProtection="1"/>
    <xf numFmtId="43" fontId="74" fillId="0" borderId="37" xfId="4" applyFont="1" applyFill="1" applyBorder="1" applyAlignment="1" applyProtection="1"/>
    <xf numFmtId="43" fontId="74" fillId="0" borderId="21" xfId="4" applyFont="1" applyFill="1" applyBorder="1" applyAlignment="1" applyProtection="1"/>
    <xf numFmtId="43" fontId="74" fillId="0" borderId="58" xfId="4" applyFont="1" applyFill="1" applyBorder="1" applyProtection="1"/>
    <xf numFmtId="43" fontId="74" fillId="0" borderId="37" xfId="4" applyFont="1" applyFill="1" applyBorder="1" applyProtection="1"/>
    <xf numFmtId="43" fontId="31" fillId="0" borderId="0" xfId="4" applyFont="1"/>
    <xf numFmtId="43" fontId="31" fillId="0" borderId="0" xfId="5" applyNumberFormat="1"/>
    <xf numFmtId="43" fontId="31" fillId="0" borderId="0" xfId="4" applyFont="1" applyAlignment="1">
      <alignment vertical="center"/>
    </xf>
    <xf numFmtId="4" fontId="49" fillId="0" borderId="3" xfId="0" applyNumberFormat="1" applyFont="1" applyFill="1" applyBorder="1" applyAlignment="1">
      <alignment horizontal="right" vertical="center" wrapText="1"/>
    </xf>
    <xf numFmtId="4" fontId="49" fillId="0" borderId="12" xfId="0" applyNumberFormat="1" applyFont="1" applyFill="1" applyBorder="1" applyAlignment="1">
      <alignment horizontal="right" vertical="center" wrapText="1"/>
    </xf>
    <xf numFmtId="9" fontId="49" fillId="0" borderId="12" xfId="3" applyFont="1" applyFill="1" applyBorder="1" applyAlignment="1">
      <alignment horizontal="center" vertical="center" wrapText="1"/>
    </xf>
    <xf numFmtId="3" fontId="49" fillId="0" borderId="4" xfId="0" applyNumberFormat="1" applyFont="1" applyFill="1" applyBorder="1" applyAlignment="1">
      <alignment vertical="center" wrapText="1"/>
    </xf>
    <xf numFmtId="167" fontId="75" fillId="0" borderId="12" xfId="4" applyNumberFormat="1" applyFont="1" applyFill="1" applyBorder="1" applyAlignment="1" applyProtection="1">
      <alignment horizontal="right" vertical="center" wrapText="1"/>
      <protection locked="0"/>
    </xf>
    <xf numFmtId="167" fontId="75" fillId="0" borderId="11" xfId="4" applyNumberFormat="1" applyFont="1" applyFill="1" applyBorder="1" applyAlignment="1" applyProtection="1">
      <alignment horizontal="right" vertical="center" wrapText="1"/>
      <protection locked="0"/>
    </xf>
    <xf numFmtId="4" fontId="75" fillId="0" borderId="11" xfId="0" applyNumberFormat="1" applyFont="1" applyFill="1" applyBorder="1" applyAlignment="1">
      <alignment horizontal="right" vertical="center" wrapText="1"/>
    </xf>
    <xf numFmtId="4" fontId="75" fillId="0" borderId="12" xfId="0" applyNumberFormat="1" applyFont="1" applyFill="1" applyBorder="1" applyAlignment="1">
      <alignment horizontal="right" vertical="center" wrapText="1"/>
    </xf>
    <xf numFmtId="9" fontId="75" fillId="0" borderId="11" xfId="3" applyFont="1" applyFill="1" applyBorder="1" applyAlignment="1">
      <alignment horizontal="center" vertical="center" wrapText="1"/>
    </xf>
    <xf numFmtId="3" fontId="49" fillId="0" borderId="12" xfId="0" applyNumberFormat="1" applyFont="1" applyFill="1" applyBorder="1" applyAlignment="1">
      <alignment vertical="center" wrapText="1"/>
    </xf>
    <xf numFmtId="9" fontId="75" fillId="0" borderId="12" xfId="3" applyNumberFormat="1" applyFont="1" applyFill="1" applyBorder="1" applyAlignment="1">
      <alignment horizontal="center" vertical="center" wrapText="1"/>
    </xf>
    <xf numFmtId="9" fontId="49" fillId="0" borderId="3" xfId="3" applyNumberFormat="1" applyFont="1" applyFill="1" applyBorder="1" applyAlignment="1">
      <alignment horizontal="center" vertical="center" wrapText="1"/>
    </xf>
    <xf numFmtId="9" fontId="31" fillId="0" borderId="0" xfId="3" applyFont="1" applyAlignment="1">
      <alignment vertical="center"/>
    </xf>
    <xf numFmtId="0" fontId="31" fillId="0" borderId="16" xfId="5" applyBorder="1"/>
    <xf numFmtId="1" fontId="31" fillId="0" borderId="16" xfId="5" applyNumberFormat="1" applyBorder="1"/>
    <xf numFmtId="0" fontId="31" fillId="0" borderId="16" xfId="5" applyBorder="1" applyAlignment="1">
      <alignment vertical="center"/>
    </xf>
    <xf numFmtId="165" fontId="31" fillId="0" borderId="16" xfId="5" applyNumberFormat="1" applyBorder="1" applyAlignment="1">
      <alignment vertical="center"/>
    </xf>
    <xf numFmtId="0" fontId="4" fillId="3" borderId="7" xfId="0" applyFont="1" applyFill="1" applyBorder="1" applyAlignment="1" applyProtection="1">
      <alignment horizontal="center" vertical="center" wrapText="1"/>
      <protection locked="0"/>
    </xf>
    <xf numFmtId="0" fontId="4" fillId="3" borderId="7" xfId="0" applyFont="1" applyFill="1" applyBorder="1" applyAlignment="1" applyProtection="1">
      <alignment vertical="top"/>
      <protection locked="0"/>
    </xf>
    <xf numFmtId="0" fontId="17" fillId="0" borderId="35" xfId="2" applyBorder="1" applyAlignment="1">
      <alignment vertical="center"/>
    </xf>
    <xf numFmtId="0" fontId="17" fillId="3" borderId="8" xfId="2" applyFill="1" applyBorder="1" applyAlignment="1" applyProtection="1">
      <alignment vertical="top"/>
      <protection locked="0"/>
    </xf>
    <xf numFmtId="0" fontId="4" fillId="3" borderId="12" xfId="0" applyFont="1" applyFill="1" applyBorder="1" applyAlignment="1" applyProtection="1">
      <alignment horizontal="left" vertical="center"/>
      <protection locked="0"/>
    </xf>
    <xf numFmtId="0" fontId="0" fillId="3" borderId="12" xfId="0" applyFill="1" applyBorder="1"/>
    <xf numFmtId="0" fontId="0" fillId="3" borderId="12" xfId="0" applyFill="1" applyBorder="1" applyAlignment="1" applyProtection="1">
      <alignment horizontal="center" vertical="center"/>
      <protection locked="0"/>
    </xf>
    <xf numFmtId="0" fontId="0" fillId="3" borderId="12" xfId="0"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5" xfId="0" applyFont="1" applyBorder="1" applyAlignment="1">
      <alignment vertical="top" wrapText="1"/>
    </xf>
    <xf numFmtId="0" fontId="4" fillId="0" borderId="5" xfId="0" applyFont="1" applyBorder="1" applyAlignment="1">
      <alignment vertical="top" wrapText="1"/>
    </xf>
    <xf numFmtId="9" fontId="39" fillId="22" borderId="30" xfId="3" applyFont="1" applyFill="1" applyBorder="1" applyAlignment="1">
      <alignment horizontal="center" vertical="center" wrapText="1"/>
    </xf>
    <xf numFmtId="0" fontId="17" fillId="3" borderId="8" xfId="2" applyFill="1" applyBorder="1" applyAlignment="1" applyProtection="1">
      <alignment horizontal="left" vertical="top"/>
      <protection locked="0"/>
    </xf>
    <xf numFmtId="9" fontId="4" fillId="3" borderId="16" xfId="0" applyNumberFormat="1" applyFont="1" applyFill="1" applyBorder="1" applyAlignment="1" applyProtection="1">
      <alignment vertical="center"/>
      <protection locked="0"/>
    </xf>
    <xf numFmtId="0" fontId="4" fillId="3" borderId="8" xfId="0" applyFont="1" applyFill="1" applyBorder="1" applyAlignment="1" applyProtection="1">
      <alignment horizontal="justify" vertical="top" wrapText="1"/>
      <protection locked="0"/>
    </xf>
    <xf numFmtId="0" fontId="4" fillId="3" borderId="8" xfId="0" applyFont="1" applyFill="1" applyBorder="1" applyAlignment="1" applyProtection="1">
      <alignment horizontal="justify" vertical="top"/>
      <protection locked="0"/>
    </xf>
    <xf numFmtId="0" fontId="42" fillId="0" borderId="16" xfId="0" applyFont="1" applyFill="1" applyBorder="1" applyAlignment="1" applyProtection="1">
      <alignment horizontal="justify" vertical="top" wrapText="1"/>
      <protection locked="0"/>
    </xf>
    <xf numFmtId="0" fontId="36" fillId="0" borderId="16" xfId="0" applyFont="1" applyFill="1" applyBorder="1" applyAlignment="1" applyProtection="1">
      <alignment horizontal="justify" vertical="top" wrapText="1"/>
      <protection locked="0"/>
    </xf>
    <xf numFmtId="0" fontId="36" fillId="0" borderId="37" xfId="0" applyFont="1" applyFill="1" applyBorder="1" applyAlignment="1" applyProtection="1">
      <alignment horizontal="justify" vertical="top" wrapText="1"/>
      <protection locked="0"/>
    </xf>
    <xf numFmtId="0" fontId="42" fillId="0" borderId="30" xfId="0" applyFont="1" applyFill="1" applyBorder="1" applyAlignment="1" applyProtection="1">
      <alignment horizontal="justify" vertical="top" wrapText="1"/>
      <protection locked="0"/>
    </xf>
    <xf numFmtId="0" fontId="36" fillId="0" borderId="30" xfId="0" applyFont="1" applyFill="1" applyBorder="1" applyAlignment="1" applyProtection="1">
      <alignment horizontal="justify" vertical="top" wrapText="1"/>
      <protection locked="0"/>
    </xf>
    <xf numFmtId="0" fontId="36" fillId="0" borderId="16" xfId="0" applyFont="1" applyFill="1" applyBorder="1" applyAlignment="1" applyProtection="1">
      <alignment horizontal="justify" vertical="top"/>
      <protection locked="0"/>
    </xf>
    <xf numFmtId="0" fontId="17" fillId="3" borderId="8" xfId="2" applyFill="1" applyBorder="1" applyAlignment="1">
      <alignment vertical="top"/>
    </xf>
    <xf numFmtId="0" fontId="4" fillId="3" borderId="8" xfId="0" applyFont="1" applyFill="1" applyBorder="1" applyAlignment="1">
      <alignment horizontal="justify" vertical="top" wrapText="1"/>
    </xf>
    <xf numFmtId="0" fontId="17" fillId="3" borderId="8" xfId="2" applyFill="1" applyBorder="1" applyAlignment="1">
      <alignment horizontal="left" vertical="top"/>
    </xf>
    <xf numFmtId="9" fontId="4" fillId="4" borderId="8" xfId="3" applyFont="1" applyFill="1" applyBorder="1" applyAlignment="1">
      <alignment vertical="center" wrapText="1"/>
    </xf>
    <xf numFmtId="43" fontId="0" fillId="0" borderId="0" xfId="4" applyFont="1"/>
    <xf numFmtId="0" fontId="41" fillId="0" borderId="11" xfId="0" applyFont="1" applyBorder="1" applyAlignment="1" applyProtection="1">
      <alignment horizontal="center"/>
    </xf>
    <xf numFmtId="0" fontId="47" fillId="0" borderId="12" xfId="0" applyFont="1" applyBorder="1" applyAlignment="1" applyProtection="1">
      <alignment horizontal="center" vertical="center" wrapText="1"/>
    </xf>
    <xf numFmtId="0" fontId="42" fillId="0" borderId="14" xfId="0" applyFont="1" applyFill="1" applyBorder="1" applyAlignment="1" applyProtection="1">
      <alignment horizontal="justify" vertical="top" wrapText="1"/>
      <protection locked="0"/>
    </xf>
    <xf numFmtId="0" fontId="22" fillId="0" borderId="12" xfId="0" applyFont="1" applyBorder="1" applyAlignment="1">
      <alignment horizontal="center" vertical="center"/>
    </xf>
    <xf numFmtId="0" fontId="76" fillId="0" borderId="7" xfId="0" applyFont="1" applyBorder="1" applyAlignment="1">
      <alignment horizontal="center" vertical="center" wrapText="1"/>
    </xf>
    <xf numFmtId="0" fontId="36" fillId="0" borderId="60" xfId="0" applyFont="1" applyFill="1" applyBorder="1" applyAlignment="1" applyProtection="1">
      <alignment horizontal="justify" vertical="top" wrapText="1"/>
      <protection locked="0"/>
    </xf>
    <xf numFmtId="0" fontId="76" fillId="0" borderId="12" xfId="0" applyFont="1" applyBorder="1" applyAlignment="1">
      <alignment horizontal="center" vertical="center"/>
    </xf>
    <xf numFmtId="0" fontId="76" fillId="0" borderId="0" xfId="0" applyFont="1" applyBorder="1" applyAlignment="1">
      <alignment horizontal="center" vertical="center" wrapText="1"/>
    </xf>
    <xf numFmtId="0" fontId="76" fillId="0" borderId="12" xfId="0" applyFont="1" applyBorder="1" applyAlignment="1">
      <alignment horizontal="center" vertical="center" wrapText="1"/>
    </xf>
    <xf numFmtId="4" fontId="76" fillId="0" borderId="7" xfId="0" applyNumberFormat="1" applyFont="1" applyBorder="1" applyAlignment="1">
      <alignment horizontal="center" vertical="center" wrapText="1"/>
    </xf>
    <xf numFmtId="43" fontId="76" fillId="0" borderId="7" xfId="4" applyFont="1" applyBorder="1" applyAlignment="1">
      <alignment horizontal="center" vertical="center" wrapText="1"/>
    </xf>
    <xf numFmtId="0" fontId="51" fillId="0" borderId="14" xfId="0" applyFont="1" applyFill="1" applyBorder="1" applyAlignment="1" applyProtection="1">
      <alignment horizontal="justify" vertical="top" wrapText="1"/>
      <protection locked="0"/>
    </xf>
    <xf numFmtId="43" fontId="27" fillId="0" borderId="7" xfId="4" applyFont="1" applyBorder="1" applyAlignment="1">
      <alignment horizontal="center" vertical="center" wrapText="1"/>
    </xf>
    <xf numFmtId="0" fontId="77" fillId="0" borderId="14" xfId="0" applyFont="1" applyBorder="1" applyAlignment="1">
      <alignment horizontal="center" vertical="center"/>
    </xf>
    <xf numFmtId="9" fontId="77" fillId="0" borderId="12" xfId="0" applyNumberFormat="1" applyFont="1" applyBorder="1" applyAlignment="1">
      <alignment horizontal="center" vertical="center"/>
    </xf>
    <xf numFmtId="0" fontId="14" fillId="0" borderId="0" xfId="0" applyFont="1" applyAlignment="1">
      <alignment horizontal="center" vertical="center"/>
    </xf>
    <xf numFmtId="9"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9" fontId="14" fillId="0" borderId="7" xfId="0" applyNumberFormat="1" applyFont="1" applyBorder="1" applyAlignment="1">
      <alignment horizontal="center" vertical="center" wrapText="1"/>
    </xf>
    <xf numFmtId="0" fontId="77" fillId="0" borderId="12" xfId="0" applyFont="1" applyBorder="1" applyAlignment="1">
      <alignment horizontal="center" vertical="center"/>
    </xf>
    <xf numFmtId="9" fontId="77" fillId="0" borderId="7" xfId="0" applyNumberFormat="1" applyFont="1" applyBorder="1" applyAlignment="1">
      <alignment horizontal="center" vertical="center" wrapText="1"/>
    </xf>
    <xf numFmtId="0" fontId="14" fillId="0" borderId="1" xfId="0" applyFont="1" applyBorder="1" applyAlignment="1">
      <alignment horizontal="center" vertical="center"/>
    </xf>
    <xf numFmtId="9" fontId="14" fillId="0" borderId="4" xfId="0" applyNumberFormat="1" applyFont="1" applyBorder="1" applyAlignment="1">
      <alignment horizontal="center" vertical="center" wrapText="1"/>
    </xf>
    <xf numFmtId="9" fontId="77" fillId="0" borderId="7" xfId="0" applyNumberFormat="1" applyFont="1" applyBorder="1" applyAlignment="1">
      <alignment horizontal="center" vertical="center"/>
    </xf>
    <xf numFmtId="9" fontId="77" fillId="0" borderId="12" xfId="3" applyFont="1" applyBorder="1" applyAlignment="1">
      <alignment horizontal="center" vertical="center" wrapText="1"/>
    </xf>
    <xf numFmtId="9" fontId="4" fillId="3" borderId="8" xfId="0" applyNumberFormat="1" applyFont="1" applyFill="1" applyBorder="1" applyAlignment="1" applyProtection="1">
      <alignment horizontal="right" vertical="center"/>
      <protection locked="0"/>
    </xf>
    <xf numFmtId="43" fontId="4" fillId="3" borderId="8" xfId="4" applyFont="1" applyFill="1" applyBorder="1" applyAlignment="1" applyProtection="1">
      <alignment horizontal="right" vertical="center" wrapText="1"/>
      <protection locked="0"/>
    </xf>
    <xf numFmtId="43" fontId="0" fillId="0" borderId="0" xfId="0" applyNumberFormat="1"/>
    <xf numFmtId="43" fontId="4" fillId="3" borderId="8" xfId="4" applyFont="1" applyFill="1" applyBorder="1" applyAlignment="1" applyProtection="1">
      <alignment vertical="center"/>
      <protection locked="0"/>
    </xf>
    <xf numFmtId="43" fontId="4" fillId="4" borderId="13" xfId="4" applyFont="1" applyFill="1" applyBorder="1" applyAlignment="1">
      <alignment vertical="top"/>
    </xf>
    <xf numFmtId="0" fontId="4" fillId="3" borderId="8" xfId="0" applyFont="1" applyFill="1" applyBorder="1" applyAlignment="1" applyProtection="1">
      <alignment horizontal="center" vertical="center" wrapText="1"/>
      <protection locked="0"/>
    </xf>
    <xf numFmtId="43" fontId="4" fillId="3" borderId="8" xfId="4" applyFont="1" applyFill="1" applyBorder="1" applyAlignment="1" applyProtection="1">
      <alignment vertical="center" wrapText="1"/>
      <protection locked="0"/>
    </xf>
    <xf numFmtId="0" fontId="12" fillId="0" borderId="0" xfId="0" applyFont="1" applyBorder="1" applyAlignment="1">
      <alignment vertical="top" wrapText="1"/>
    </xf>
    <xf numFmtId="43" fontId="75" fillId="0" borderId="15" xfId="4" applyFont="1" applyFill="1" applyBorder="1" applyAlignment="1" applyProtection="1">
      <alignment horizontal="center" vertical="center" wrapText="1"/>
      <protection locked="0"/>
    </xf>
    <xf numFmtId="4" fontId="49" fillId="0" borderId="3" xfId="0" applyNumberFormat="1" applyFont="1" applyFill="1" applyBorder="1" applyAlignment="1">
      <alignment horizontal="center" vertical="center" wrapText="1"/>
    </xf>
    <xf numFmtId="4" fontId="75" fillId="0" borderId="12" xfId="2" applyNumberFormat="1" applyFont="1" applyFill="1" applyBorder="1" applyAlignment="1">
      <alignment horizontal="right" vertical="center" wrapText="1"/>
    </xf>
    <xf numFmtId="4" fontId="75" fillId="0" borderId="15" xfId="0" applyNumberFormat="1" applyFont="1" applyFill="1" applyBorder="1" applyAlignment="1">
      <alignment horizontal="right" vertical="center" wrapText="1"/>
    </xf>
    <xf numFmtId="3" fontId="49" fillId="0" borderId="60" xfId="0" applyNumberFormat="1" applyFont="1" applyFill="1" applyBorder="1" applyAlignment="1">
      <alignment vertical="center" wrapText="1"/>
    </xf>
    <xf numFmtId="43" fontId="75" fillId="0" borderId="15" xfId="4" applyFont="1" applyFill="1" applyBorder="1" applyAlignment="1" applyProtection="1">
      <alignment wrapText="1"/>
      <protection locked="0"/>
    </xf>
    <xf numFmtId="43" fontId="75" fillId="0" borderId="12" xfId="4" applyFont="1" applyFill="1" applyBorder="1" applyAlignment="1" applyProtection="1">
      <alignment horizontal="center" vertical="center" wrapText="1"/>
      <protection locked="0"/>
    </xf>
    <xf numFmtId="3" fontId="49" fillId="0" borderId="60" xfId="0" applyNumberFormat="1" applyFont="1" applyFill="1" applyBorder="1" applyAlignment="1">
      <alignment horizontal="center" vertical="center" wrapText="1"/>
    </xf>
    <xf numFmtId="4" fontId="49" fillId="0" borderId="12" xfId="0" applyNumberFormat="1" applyFont="1" applyFill="1" applyBorder="1" applyAlignment="1">
      <alignment vertical="center" wrapText="1"/>
    </xf>
    <xf numFmtId="4" fontId="75" fillId="0" borderId="30" xfId="0" applyNumberFormat="1" applyFont="1" applyFill="1" applyBorder="1" applyAlignment="1">
      <alignment vertical="center" wrapText="1"/>
    </xf>
    <xf numFmtId="9" fontId="49" fillId="0" borderId="15" xfId="3" applyNumberFormat="1" applyFont="1" applyFill="1" applyBorder="1" applyAlignment="1">
      <alignment horizontal="center" vertical="center" wrapText="1"/>
    </xf>
    <xf numFmtId="9" fontId="75" fillId="0" borderId="12" xfId="3" applyFont="1" applyFill="1" applyBorder="1" applyAlignment="1">
      <alignment horizontal="center" vertical="center" wrapText="1"/>
    </xf>
    <xf numFmtId="3" fontId="49" fillId="0" borderId="7" xfId="0" applyNumberFormat="1" applyFont="1" applyFill="1" applyBorder="1" applyAlignment="1">
      <alignment vertical="center" wrapText="1"/>
    </xf>
    <xf numFmtId="9" fontId="49" fillId="0" borderId="15" xfId="3" applyFont="1" applyFill="1" applyBorder="1" applyAlignment="1">
      <alignment horizontal="center" vertical="center" wrapText="1"/>
    </xf>
    <xf numFmtId="4" fontId="49" fillId="0" borderId="64" xfId="0" applyNumberFormat="1" applyFont="1" applyFill="1" applyBorder="1" applyAlignment="1">
      <alignment horizontal="right" vertical="center" wrapText="1"/>
    </xf>
    <xf numFmtId="9" fontId="49" fillId="0" borderId="62" xfId="3" applyFont="1" applyFill="1" applyBorder="1" applyAlignment="1">
      <alignment horizontal="center" vertical="center" wrapText="1"/>
    </xf>
    <xf numFmtId="3" fontId="75" fillId="0" borderId="7" xfId="0" applyNumberFormat="1" applyFont="1" applyFill="1" applyBorder="1" applyAlignment="1">
      <alignment vertical="center" wrapText="1"/>
    </xf>
    <xf numFmtId="43" fontId="75" fillId="0" borderId="11" xfId="4" applyFont="1" applyFill="1" applyBorder="1" applyAlignment="1" applyProtection="1">
      <alignment horizontal="right" vertical="center" wrapText="1"/>
      <protection locked="0"/>
    </xf>
    <xf numFmtId="9" fontId="75" fillId="0" borderId="51" xfId="3" applyFont="1" applyFill="1" applyBorder="1" applyAlignment="1">
      <alignment horizontal="center" vertical="center" wrapText="1"/>
    </xf>
    <xf numFmtId="9" fontId="75" fillId="0" borderId="15" xfId="3" applyNumberFormat="1" applyFont="1" applyFill="1" applyBorder="1" applyAlignment="1">
      <alignment horizontal="center" vertical="center" wrapText="1"/>
    </xf>
    <xf numFmtId="9" fontId="75" fillId="0" borderId="15" xfId="3" applyFont="1" applyFill="1" applyBorder="1" applyAlignment="1">
      <alignment horizontal="center" vertical="center" wrapText="1"/>
    </xf>
    <xf numFmtId="3" fontId="75" fillId="0" borderId="12" xfId="0" applyNumberFormat="1" applyFont="1" applyFill="1" applyBorder="1" applyAlignment="1">
      <alignment vertical="center" wrapText="1"/>
    </xf>
    <xf numFmtId="3" fontId="75" fillId="0" borderId="8" xfId="0" applyNumberFormat="1" applyFont="1" applyFill="1" applyBorder="1" applyAlignment="1">
      <alignment vertical="center" wrapText="1"/>
    </xf>
    <xf numFmtId="4" fontId="49" fillId="0" borderId="15" xfId="0" applyNumberFormat="1" applyFont="1" applyFill="1" applyBorder="1" applyAlignment="1">
      <alignment vertical="center" wrapText="1"/>
    </xf>
    <xf numFmtId="4" fontId="49" fillId="0" borderId="15" xfId="0" applyNumberFormat="1" applyFont="1" applyFill="1" applyBorder="1" applyAlignment="1">
      <alignment horizontal="right" vertical="center" wrapText="1"/>
    </xf>
    <xf numFmtId="43" fontId="75" fillId="0" borderId="30" xfId="4" applyFont="1" applyFill="1" applyBorder="1" applyAlignment="1" applyProtection="1">
      <alignment vertical="center" wrapText="1"/>
      <protection locked="0"/>
    </xf>
    <xf numFmtId="9" fontId="75" fillId="0" borderId="30" xfId="3" applyFont="1" applyFill="1" applyBorder="1" applyAlignment="1">
      <alignment horizontal="center" vertical="center" wrapText="1"/>
    </xf>
    <xf numFmtId="4" fontId="75" fillId="0" borderId="30" xfId="0" applyNumberFormat="1" applyFont="1" applyFill="1" applyBorder="1" applyAlignment="1">
      <alignment horizontal="right" vertical="center" wrapText="1"/>
    </xf>
    <xf numFmtId="3" fontId="75" fillId="0" borderId="6" xfId="0" applyNumberFormat="1" applyFont="1" applyFill="1" applyBorder="1" applyAlignment="1">
      <alignment vertical="center" wrapText="1"/>
    </xf>
    <xf numFmtId="9" fontId="75" fillId="0" borderId="53" xfId="3" applyFont="1" applyFill="1" applyBorder="1" applyAlignment="1">
      <alignment horizontal="center" vertical="center" wrapText="1"/>
    </xf>
    <xf numFmtId="175" fontId="43" fillId="0" borderId="16" xfId="4" applyNumberFormat="1" applyFont="1" applyFill="1" applyBorder="1" applyAlignment="1" applyProtection="1">
      <alignment horizontal="right"/>
      <protection locked="0"/>
    </xf>
    <xf numFmtId="0" fontId="42" fillId="10" borderId="14" xfId="0" applyFont="1" applyFill="1" applyBorder="1" applyProtection="1"/>
    <xf numFmtId="9" fontId="7" fillId="3" borderId="16" xfId="0" applyNumberFormat="1" applyFont="1" applyFill="1" applyBorder="1" applyAlignment="1">
      <alignment horizontal="center" vertical="center"/>
    </xf>
    <xf numFmtId="170" fontId="4" fillId="4" borderId="12" xfId="3" applyNumberFormat="1" applyFont="1" applyFill="1" applyBorder="1" applyAlignment="1">
      <alignment horizontal="center" vertical="center" wrapText="1"/>
    </xf>
    <xf numFmtId="9" fontId="36" fillId="22" borderId="60" xfId="3" applyNumberFormat="1" applyFont="1" applyFill="1" applyBorder="1" applyAlignment="1">
      <alignment horizontal="center" vertical="center" wrapText="1"/>
    </xf>
    <xf numFmtId="0" fontId="35" fillId="15" borderId="12" xfId="0" applyFont="1" applyFill="1" applyBorder="1" applyAlignment="1">
      <alignment horizontal="center" vertical="center" wrapText="1"/>
    </xf>
    <xf numFmtId="3" fontId="4" fillId="3" borderId="8" xfId="0" applyNumberFormat="1" applyFont="1" applyFill="1" applyBorder="1" applyAlignment="1" applyProtection="1">
      <alignment horizontal="center" vertical="center" wrapText="1"/>
      <protection locked="0"/>
    </xf>
    <xf numFmtId="3" fontId="4" fillId="4" borderId="8" xfId="0" applyNumberFormat="1" applyFont="1" applyFill="1" applyBorder="1" applyAlignment="1">
      <alignment horizontal="center" vertical="center" wrapText="1"/>
    </xf>
    <xf numFmtId="9" fontId="4" fillId="4" borderId="12" xfId="3" applyFont="1" applyFill="1" applyBorder="1" applyAlignment="1">
      <alignment horizontal="center" vertical="center" wrapText="1"/>
    </xf>
    <xf numFmtId="43" fontId="31" fillId="0" borderId="0" xfId="4" applyFont="1" applyFill="1"/>
    <xf numFmtId="0" fontId="31" fillId="0" borderId="0" xfId="5" applyFill="1"/>
    <xf numFmtId="165" fontId="31" fillId="0" borderId="16" xfId="4" applyNumberFormat="1" applyFont="1" applyBorder="1" applyAlignment="1">
      <alignment vertical="center"/>
    </xf>
    <xf numFmtId="0" fontId="4" fillId="4" borderId="12" xfId="0" applyFont="1" applyFill="1" applyBorder="1" applyAlignment="1">
      <alignment horizontal="left" vertical="center" wrapText="1"/>
    </xf>
    <xf numFmtId="9" fontId="7" fillId="3" borderId="37" xfId="0" applyNumberFormat="1" applyFont="1" applyFill="1" applyBorder="1" applyAlignment="1">
      <alignment horizontal="center" vertical="center"/>
    </xf>
    <xf numFmtId="43" fontId="0" fillId="0" borderId="0" xfId="3" applyNumberFormat="1" applyFont="1"/>
    <xf numFmtId="0" fontId="4" fillId="0" borderId="8"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6" fontId="35" fillId="23" borderId="12" xfId="0" applyNumberFormat="1" applyFont="1" applyFill="1" applyBorder="1" applyAlignment="1">
      <alignment horizontal="center" vertical="center" wrapText="1"/>
    </xf>
    <xf numFmtId="3" fontId="36" fillId="23" borderId="12" xfId="0" applyNumberFormat="1" applyFont="1" applyFill="1" applyBorder="1" applyAlignment="1">
      <alignment horizontal="center" vertical="center" wrapText="1"/>
    </xf>
    <xf numFmtId="9" fontId="35" fillId="23" borderId="2" xfId="0" applyNumberFormat="1" applyFont="1" applyFill="1" applyBorder="1" applyAlignment="1">
      <alignment horizontal="center" vertical="center" wrapText="1"/>
    </xf>
    <xf numFmtId="10" fontId="35" fillId="23" borderId="3" xfId="0" applyNumberFormat="1" applyFont="1" applyFill="1" applyBorder="1" applyAlignment="1">
      <alignment horizontal="center" vertical="center" wrapText="1"/>
    </xf>
    <xf numFmtId="10" fontId="35" fillId="23" borderId="12" xfId="0" applyNumberFormat="1" applyFont="1" applyFill="1" applyBorder="1" applyAlignment="1">
      <alignment horizontal="center" vertical="center" wrapText="1"/>
    </xf>
    <xf numFmtId="9" fontId="35" fillId="3" borderId="11" xfId="0" applyNumberFormat="1" applyFont="1" applyFill="1" applyBorder="1" applyAlignment="1">
      <alignment horizontal="center" vertical="center" wrapText="1"/>
    </xf>
    <xf numFmtId="9" fontId="29" fillId="0" borderId="0" xfId="5" applyNumberFormat="1" applyFont="1" applyFill="1" applyAlignment="1">
      <alignment vertical="center" wrapText="1"/>
    </xf>
    <xf numFmtId="0" fontId="39" fillId="15" borderId="30" xfId="0" applyFont="1" applyFill="1" applyBorder="1" applyAlignment="1">
      <alignment horizontal="center" vertical="center" wrapText="1"/>
    </xf>
    <xf numFmtId="9" fontId="0" fillId="0" borderId="0" xfId="3" applyFont="1" applyAlignment="1">
      <alignment vertical="center"/>
    </xf>
    <xf numFmtId="43" fontId="0" fillId="0" borderId="0" xfId="0" applyNumberFormat="1" applyAlignment="1">
      <alignment vertical="center"/>
    </xf>
    <xf numFmtId="43" fontId="0" fillId="0" borderId="0" xfId="4" applyFont="1" applyAlignment="1">
      <alignment vertical="center"/>
    </xf>
    <xf numFmtId="9" fontId="29" fillId="0" borderId="0" xfId="3" applyFont="1" applyFill="1" applyAlignment="1">
      <alignment vertical="center" wrapText="1"/>
    </xf>
    <xf numFmtId="9" fontId="79" fillId="6" borderId="16" xfId="3" applyFont="1" applyFill="1" applyBorder="1" applyAlignment="1" applyProtection="1">
      <alignment horizontal="center" vertical="center" wrapText="1"/>
      <protection hidden="1"/>
    </xf>
    <xf numFmtId="9" fontId="0" fillId="6" borderId="0" xfId="3" applyFont="1" applyFill="1" applyAlignment="1" applyProtection="1">
      <alignment horizontal="center" vertical="center"/>
      <protection hidden="1"/>
    </xf>
    <xf numFmtId="9" fontId="0" fillId="32" borderId="16" xfId="0" applyNumberFormat="1" applyFill="1" applyBorder="1" applyAlignment="1" applyProtection="1">
      <alignment horizontal="center" vertical="center"/>
      <protection locked="0"/>
    </xf>
    <xf numFmtId="9" fontId="0" fillId="34" borderId="16" xfId="0" applyNumberFormat="1" applyFill="1" applyBorder="1" applyAlignment="1" applyProtection="1">
      <alignment horizontal="center" vertical="center"/>
      <protection locked="0"/>
    </xf>
    <xf numFmtId="9" fontId="0" fillId="6" borderId="16" xfId="3" applyFont="1" applyFill="1" applyBorder="1" applyAlignment="1" applyProtection="1">
      <alignment horizontal="center" vertical="center"/>
      <protection hidden="1"/>
    </xf>
    <xf numFmtId="9" fontId="0" fillId="23" borderId="16" xfId="0" applyNumberFormat="1" applyFill="1" applyBorder="1" applyAlignment="1" applyProtection="1">
      <alignment horizontal="center" vertical="center"/>
      <protection locked="0"/>
    </xf>
    <xf numFmtId="9" fontId="0" fillId="7" borderId="16" xfId="0" applyNumberFormat="1" applyFill="1" applyBorder="1" applyAlignment="1" applyProtection="1">
      <alignment horizontal="center" vertical="center"/>
      <protection locked="0"/>
    </xf>
    <xf numFmtId="9" fontId="79" fillId="34" borderId="16" xfId="0" applyNumberFormat="1" applyFont="1" applyFill="1" applyBorder="1" applyAlignment="1" applyProtection="1">
      <alignment horizontal="center" vertical="center" wrapText="1"/>
      <protection locked="0"/>
    </xf>
    <xf numFmtId="9" fontId="0" fillId="35" borderId="16" xfId="0" applyNumberFormat="1" applyFill="1" applyBorder="1" applyAlignment="1" applyProtection="1">
      <alignment horizontal="center" vertical="center"/>
      <protection locked="0"/>
    </xf>
    <xf numFmtId="9" fontId="0" fillId="33" borderId="16" xfId="0" applyNumberFormat="1" applyFill="1" applyBorder="1" applyAlignment="1" applyProtection="1">
      <alignment horizontal="center" vertical="center"/>
      <protection locked="0"/>
    </xf>
    <xf numFmtId="9" fontId="27" fillId="33" borderId="16" xfId="0" applyNumberFormat="1" applyFont="1" applyFill="1" applyBorder="1" applyAlignment="1" applyProtection="1">
      <alignment horizontal="center" vertical="center" wrapText="1"/>
      <protection locked="0"/>
    </xf>
    <xf numFmtId="0" fontId="36" fillId="23" borderId="60" xfId="0" applyFont="1" applyFill="1" applyBorder="1" applyAlignment="1">
      <alignment horizontal="center" vertical="center" wrapText="1"/>
    </xf>
    <xf numFmtId="9" fontId="36" fillId="23" borderId="60" xfId="3" applyFont="1" applyFill="1" applyBorder="1" applyAlignment="1">
      <alignment horizontal="center" vertical="center" wrapText="1"/>
    </xf>
    <xf numFmtId="1" fontId="36" fillId="22" borderId="16" xfId="0" applyNumberFormat="1" applyFont="1" applyFill="1" applyBorder="1" applyAlignment="1">
      <alignment horizontal="center" vertical="center" wrapText="1"/>
    </xf>
    <xf numFmtId="3" fontId="39" fillId="15" borderId="24" xfId="0" applyNumberFormat="1" applyFont="1" applyFill="1" applyBorder="1" applyAlignment="1">
      <alignment horizontal="center" vertical="center" wrapText="1"/>
    </xf>
    <xf numFmtId="3" fontId="39" fillId="23" borderId="16" xfId="0" applyNumberFormat="1" applyFont="1" applyFill="1" applyBorder="1" applyAlignment="1">
      <alignment horizontal="center" vertical="center" wrapText="1"/>
    </xf>
    <xf numFmtId="3" fontId="39" fillId="23" borderId="37" xfId="0" applyNumberFormat="1" applyFont="1" applyFill="1" applyBorder="1" applyAlignment="1">
      <alignment horizontal="center" vertical="center" wrapText="1"/>
    </xf>
    <xf numFmtId="0" fontId="39" fillId="15" borderId="37" xfId="0" applyNumberFormat="1" applyFont="1" applyFill="1" applyBorder="1" applyAlignment="1">
      <alignment horizontal="justify" vertical="top" wrapText="1"/>
    </xf>
    <xf numFmtId="9" fontId="4" fillId="4" borderId="8" xfId="3" applyFont="1" applyFill="1" applyBorder="1" applyAlignment="1">
      <alignment horizontal="center" vertical="top"/>
    </xf>
    <xf numFmtId="3" fontId="4" fillId="3" borderId="7" xfId="0" applyNumberFormat="1" applyFont="1" applyFill="1" applyBorder="1" applyAlignment="1" applyProtection="1">
      <alignment horizontal="center" vertical="top" wrapText="1"/>
      <protection locked="0"/>
    </xf>
    <xf numFmtId="3" fontId="4" fillId="3" borderId="7" xfId="0" applyNumberFormat="1" applyFont="1" applyFill="1" applyBorder="1" applyAlignment="1" applyProtection="1">
      <alignment horizontal="center" vertical="center" wrapText="1"/>
      <protection locked="0"/>
    </xf>
    <xf numFmtId="9" fontId="4" fillId="4" borderId="12" xfId="3" applyFont="1" applyFill="1" applyBorder="1" applyAlignment="1" applyProtection="1">
      <alignment horizontal="center" vertical="center"/>
    </xf>
    <xf numFmtId="43" fontId="4" fillId="3" borderId="6" xfId="4" applyFont="1" applyFill="1" applyBorder="1" applyAlignment="1" applyProtection="1">
      <alignment vertical="center" wrapText="1"/>
      <protection locked="0"/>
    </xf>
    <xf numFmtId="0" fontId="4" fillId="3" borderId="11" xfId="0" applyFont="1" applyFill="1" applyBorder="1" applyAlignment="1" applyProtection="1">
      <alignment horizontal="center" vertical="top" wrapText="1"/>
      <protection locked="0"/>
    </xf>
    <xf numFmtId="43" fontId="4" fillId="3" borderId="12" xfId="4" applyFont="1" applyFill="1" applyBorder="1" applyAlignment="1" applyProtection="1">
      <alignment vertical="center" wrapText="1"/>
      <protection locked="0"/>
    </xf>
    <xf numFmtId="3" fontId="4" fillId="3" borderId="11" xfId="0" applyNumberFormat="1" applyFont="1" applyFill="1" applyBorder="1" applyAlignment="1" applyProtection="1">
      <alignment vertical="top" wrapText="1"/>
      <protection locked="0"/>
    </xf>
    <xf numFmtId="43" fontId="4" fillId="3" borderId="4" xfId="4" applyFont="1" applyFill="1" applyBorder="1" applyAlignment="1" applyProtection="1">
      <alignment vertical="center" wrapText="1"/>
      <protection locked="0"/>
    </xf>
    <xf numFmtId="43" fontId="4" fillId="3" borderId="7" xfId="4" applyFont="1" applyFill="1" applyBorder="1" applyAlignment="1" applyProtection="1">
      <alignment vertical="center" wrapText="1"/>
      <protection locked="0"/>
    </xf>
    <xf numFmtId="3" fontId="4" fillId="4" borderId="13" xfId="0" applyNumberFormat="1" applyFont="1" applyFill="1" applyBorder="1" applyAlignment="1">
      <alignment horizontal="center" vertical="center"/>
    </xf>
    <xf numFmtId="0" fontId="8" fillId="0" borderId="7" xfId="0" applyFont="1" applyBorder="1" applyAlignment="1">
      <alignment horizontal="center" vertical="center" wrapText="1"/>
    </xf>
    <xf numFmtId="3" fontId="54" fillId="3" borderId="8" xfId="0" applyNumberFormat="1" applyFont="1" applyFill="1" applyBorder="1" applyAlignment="1" applyProtection="1">
      <alignment horizontal="right" vertical="center"/>
      <protection locked="0"/>
    </xf>
    <xf numFmtId="9" fontId="35" fillId="23" borderId="11" xfId="0" applyNumberFormat="1" applyFont="1" applyFill="1" applyBorder="1" applyAlignment="1">
      <alignment horizontal="center" vertical="center" wrapText="1"/>
    </xf>
    <xf numFmtId="9" fontId="39" fillId="23" borderId="30" xfId="0" applyNumberFormat="1" applyFont="1" applyFill="1" applyBorder="1" applyAlignment="1">
      <alignment horizontal="center" vertical="center" wrapText="1"/>
    </xf>
    <xf numFmtId="10" fontId="36" fillId="23" borderId="16" xfId="0" applyNumberFormat="1" applyFont="1" applyFill="1" applyBorder="1" applyAlignment="1">
      <alignment horizontal="center" vertical="center" wrapText="1"/>
    </xf>
    <xf numFmtId="10" fontId="55" fillId="23" borderId="16" xfId="0" applyNumberFormat="1" applyFont="1" applyFill="1" applyBorder="1" applyAlignment="1">
      <alignment horizontal="center" vertical="center" wrapText="1"/>
    </xf>
    <xf numFmtId="9" fontId="55" fillId="23" borderId="16" xfId="0" applyNumberFormat="1" applyFont="1" applyFill="1" applyBorder="1" applyAlignment="1">
      <alignment horizontal="center" vertical="center" wrapText="1"/>
    </xf>
    <xf numFmtId="9" fontId="55" fillId="23" borderId="37" xfId="0" applyNumberFormat="1" applyFont="1" applyFill="1" applyBorder="1" applyAlignment="1">
      <alignment horizontal="center" vertical="center" wrapText="1"/>
    </xf>
    <xf numFmtId="0" fontId="4" fillId="0" borderId="5" xfId="0" applyFont="1" applyBorder="1" applyAlignment="1">
      <alignment vertical="top" wrapText="1"/>
    </xf>
    <xf numFmtId="0" fontId="8" fillId="0" borderId="8" xfId="0" applyFont="1" applyFill="1" applyBorder="1" applyAlignment="1" applyProtection="1">
      <alignment horizontal="justify" vertical="top" wrapText="1"/>
      <protection locked="0"/>
    </xf>
    <xf numFmtId="0" fontId="8" fillId="0" borderId="8" xfId="0" applyFont="1" applyFill="1" applyBorder="1" applyAlignment="1" applyProtection="1">
      <alignment horizontal="center" vertical="center"/>
      <protection locked="0"/>
    </xf>
    <xf numFmtId="3" fontId="4" fillId="0" borderId="8" xfId="0" applyNumberFormat="1" applyFont="1" applyFill="1" applyBorder="1" applyAlignment="1" applyProtection="1">
      <alignment horizontal="center" vertical="center"/>
      <protection locked="0"/>
    </xf>
    <xf numFmtId="3" fontId="78" fillId="0" borderId="8" xfId="0" applyNumberFormat="1" applyFont="1" applyFill="1" applyBorder="1" applyAlignment="1" applyProtection="1">
      <alignment horizontal="justify" vertical="top" wrapText="1"/>
      <protection locked="0"/>
    </xf>
    <xf numFmtId="3" fontId="4" fillId="28" borderId="8" xfId="0" applyNumberFormat="1" applyFont="1" applyFill="1" applyBorder="1" applyAlignment="1" applyProtection="1">
      <alignment horizontal="center" vertical="center"/>
      <protection locked="0"/>
    </xf>
    <xf numFmtId="0" fontId="4" fillId="0" borderId="8" xfId="0" applyFont="1" applyBorder="1" applyAlignment="1">
      <alignment horizontal="center" vertical="top" wrapText="1"/>
    </xf>
    <xf numFmtId="0" fontId="8" fillId="3" borderId="8" xfId="0" applyFont="1" applyFill="1" applyBorder="1" applyAlignment="1">
      <alignment horizontal="justify" vertical="top" wrapText="1"/>
    </xf>
    <xf numFmtId="0" fontId="8" fillId="3" borderId="8" xfId="0" applyFont="1" applyFill="1" applyBorder="1" applyAlignment="1" applyProtection="1">
      <alignment vertical="top" wrapText="1"/>
      <protection locked="0"/>
    </xf>
    <xf numFmtId="0" fontId="8" fillId="3" borderId="8" xfId="0" applyFont="1" applyFill="1" applyBorder="1" applyAlignment="1" applyProtection="1">
      <alignment horizontal="justify" vertical="top" wrapText="1"/>
      <protection locked="0"/>
    </xf>
    <xf numFmtId="9" fontId="4" fillId="4" borderId="12" xfId="3" applyNumberFormat="1" applyFont="1" applyFill="1" applyBorder="1" applyAlignment="1" applyProtection="1">
      <alignment horizontal="center" vertical="top"/>
    </xf>
    <xf numFmtId="1" fontId="4" fillId="4" borderId="8" xfId="0" applyNumberFormat="1" applyFont="1" applyFill="1" applyBorder="1" applyAlignment="1">
      <alignment horizontal="center" vertical="top"/>
    </xf>
    <xf numFmtId="9" fontId="36" fillId="36" borderId="60" xfId="3" applyFont="1" applyFill="1" applyBorder="1" applyAlignment="1">
      <alignment horizontal="center" vertical="center" wrapText="1"/>
    </xf>
    <xf numFmtId="0" fontId="4" fillId="0" borderId="7" xfId="0" applyFont="1" applyBorder="1" applyAlignment="1">
      <alignment horizontal="center" vertical="center" wrapText="1"/>
    </xf>
    <xf numFmtId="9" fontId="27" fillId="34" borderId="16" xfId="0" applyNumberFormat="1" applyFont="1" applyFill="1" applyBorder="1" applyAlignment="1" applyProtection="1">
      <alignment horizontal="center" vertical="center" wrapText="1"/>
      <protection locked="0"/>
    </xf>
    <xf numFmtId="9" fontId="27" fillId="23" borderId="16" xfId="0" applyNumberFormat="1" applyFont="1" applyFill="1" applyBorder="1" applyAlignment="1" applyProtection="1">
      <alignment horizontal="center" vertical="center" wrapText="1"/>
      <protection locked="0"/>
    </xf>
    <xf numFmtId="0" fontId="27" fillId="6" borderId="16" xfId="3" applyNumberFormat="1" applyFont="1" applyFill="1" applyBorder="1" applyAlignment="1" applyProtection="1">
      <alignment horizontal="left" vertical="top" wrapText="1"/>
    </xf>
    <xf numFmtId="43" fontId="27" fillId="0" borderId="0" xfId="4" applyFont="1" applyAlignment="1">
      <alignment vertical="top"/>
    </xf>
    <xf numFmtId="43" fontId="0" fillId="0" borderId="0" xfId="0" applyNumberFormat="1" applyAlignment="1">
      <alignment vertical="top"/>
    </xf>
    <xf numFmtId="165" fontId="0" fillId="0" borderId="0" xfId="0" applyNumberFormat="1"/>
    <xf numFmtId="9" fontId="0" fillId="0" borderId="0" xfId="3" applyFont="1" applyProtection="1">
      <protection locked="0"/>
    </xf>
    <xf numFmtId="1" fontId="69" fillId="19" borderId="16" xfId="0" applyNumberFormat="1" applyFont="1" applyFill="1" applyBorder="1" applyAlignment="1" applyProtection="1">
      <alignment horizontal="left"/>
    </xf>
    <xf numFmtId="0" fontId="45" fillId="19" borderId="16" xfId="0" applyFont="1" applyFill="1" applyBorder="1" applyProtection="1"/>
    <xf numFmtId="175" fontId="45" fillId="19" borderId="16" xfId="4" applyNumberFormat="1" applyFont="1" applyFill="1" applyBorder="1" applyAlignment="1" applyProtection="1">
      <alignment horizontal="right"/>
    </xf>
    <xf numFmtId="175" fontId="45" fillId="19" borderId="16" xfId="4" applyNumberFormat="1" applyFont="1" applyFill="1" applyBorder="1" applyProtection="1"/>
    <xf numFmtId="1" fontId="69" fillId="20" borderId="16" xfId="0" applyNumberFormat="1" applyFont="1" applyFill="1" applyBorder="1" applyAlignment="1" applyProtection="1">
      <alignment horizontal="left"/>
    </xf>
    <xf numFmtId="0" fontId="45" fillId="20" borderId="16" xfId="0" applyFont="1" applyFill="1" applyBorder="1" applyProtection="1"/>
    <xf numFmtId="175" fontId="45" fillId="20" borderId="16" xfId="4" applyNumberFormat="1" applyFont="1" applyFill="1" applyBorder="1" applyAlignment="1" applyProtection="1">
      <alignment horizontal="right"/>
    </xf>
    <xf numFmtId="1" fontId="69" fillId="13" borderId="16" xfId="0" applyNumberFormat="1" applyFont="1" applyFill="1" applyBorder="1" applyAlignment="1" applyProtection="1">
      <alignment horizontal="left"/>
    </xf>
    <xf numFmtId="0" fontId="45" fillId="13" borderId="16" xfId="0" applyFont="1" applyFill="1" applyBorder="1" applyProtection="1"/>
    <xf numFmtId="175" fontId="45" fillId="13" borderId="16" xfId="4" applyNumberFormat="1" applyFont="1" applyFill="1" applyBorder="1" applyAlignment="1" applyProtection="1">
      <alignment horizontal="right"/>
    </xf>
    <xf numFmtId="0" fontId="70" fillId="0" borderId="16" xfId="0" applyFont="1" applyBorder="1" applyAlignment="1">
      <alignment horizontal="left"/>
    </xf>
    <xf numFmtId="0" fontId="43" fillId="0" borderId="16" xfId="0" applyFont="1" applyFill="1" applyBorder="1" applyProtection="1"/>
    <xf numFmtId="1" fontId="69" fillId="0" borderId="16" xfId="5" applyNumberFormat="1" applyFont="1" applyBorder="1" applyAlignment="1" applyProtection="1">
      <alignment horizontal="left"/>
    </xf>
    <xf numFmtId="4" fontId="79" fillId="0" borderId="16" xfId="0" applyNumberFormat="1" applyFont="1" applyBorder="1" applyAlignment="1">
      <alignment horizontal="right" vertical="center"/>
    </xf>
    <xf numFmtId="1" fontId="69" fillId="13" borderId="16" xfId="5" applyNumberFormat="1" applyFont="1" applyFill="1" applyBorder="1" applyAlignment="1" applyProtection="1">
      <alignment horizontal="left"/>
    </xf>
    <xf numFmtId="0" fontId="43" fillId="0" borderId="16" xfId="0" applyFont="1" applyFill="1" applyBorder="1" applyAlignment="1" applyProtection="1">
      <alignment wrapText="1"/>
    </xf>
    <xf numFmtId="175" fontId="42" fillId="0" borderId="16" xfId="4" applyNumberFormat="1" applyFont="1" applyFill="1" applyBorder="1" applyAlignment="1" applyProtection="1">
      <alignment horizontal="right"/>
    </xf>
    <xf numFmtId="1" fontId="69" fillId="0" borderId="16" xfId="5" applyNumberFormat="1" applyFont="1" applyBorder="1" applyAlignment="1" applyProtection="1">
      <alignment horizontal="left" vertical="center"/>
    </xf>
    <xf numFmtId="4" fontId="79" fillId="0" borderId="16" xfId="0" applyNumberFormat="1" applyFont="1" applyBorder="1" applyAlignment="1">
      <alignment horizontal="right" vertical="center" wrapText="1"/>
    </xf>
    <xf numFmtId="0" fontId="43" fillId="0" borderId="16" xfId="0" applyFont="1" applyFill="1" applyBorder="1" applyAlignment="1" applyProtection="1">
      <alignment horizontal="justify" vertical="top" wrapText="1"/>
    </xf>
    <xf numFmtId="175" fontId="43" fillId="0" borderId="16" xfId="4" applyNumberFormat="1" applyFont="1" applyFill="1" applyBorder="1" applyAlignment="1" applyProtection="1">
      <alignment horizontal="right" vertical="center"/>
      <protection locked="0"/>
    </xf>
    <xf numFmtId="1" fontId="69" fillId="29" borderId="16" xfId="5" applyNumberFormat="1" applyFont="1" applyFill="1" applyBorder="1" applyAlignment="1" applyProtection="1">
      <alignment horizontal="left"/>
    </xf>
    <xf numFmtId="0" fontId="45" fillId="29" borderId="16" xfId="0" applyFont="1" applyFill="1" applyBorder="1" applyProtection="1"/>
    <xf numFmtId="175" fontId="45" fillId="29" borderId="16" xfId="4" applyNumberFormat="1" applyFont="1" applyFill="1" applyBorder="1" applyAlignment="1" applyProtection="1">
      <alignment horizontal="right"/>
    </xf>
    <xf numFmtId="1" fontId="71" fillId="0" borderId="16" xfId="5" applyNumberFormat="1" applyFont="1" applyBorder="1" applyAlignment="1" applyProtection="1">
      <alignment horizontal="left"/>
    </xf>
    <xf numFmtId="0" fontId="45" fillId="0" borderId="16" xfId="0" applyFont="1" applyBorder="1" applyProtection="1"/>
    <xf numFmtId="1" fontId="69" fillId="27" borderId="16" xfId="5" applyNumberFormat="1" applyFont="1" applyFill="1" applyBorder="1" applyAlignment="1" applyProtection="1">
      <alignment horizontal="left"/>
    </xf>
    <xf numFmtId="0" fontId="45" fillId="27" borderId="16" xfId="0" applyFont="1" applyFill="1" applyBorder="1" applyProtection="1"/>
    <xf numFmtId="175" fontId="45" fillId="27" borderId="16" xfId="4" applyNumberFormat="1" applyFont="1" applyFill="1" applyBorder="1" applyAlignment="1" applyProtection="1">
      <alignment horizontal="right"/>
      <protection locked="0"/>
    </xf>
    <xf numFmtId="1" fontId="69" fillId="0" borderId="16" xfId="5" applyNumberFormat="1" applyFont="1" applyFill="1" applyBorder="1" applyAlignment="1" applyProtection="1">
      <alignment horizontal="left"/>
    </xf>
    <xf numFmtId="175" fontId="45" fillId="0" borderId="16" xfId="4" applyNumberFormat="1" applyFont="1" applyFill="1" applyBorder="1" applyAlignment="1" applyProtection="1">
      <alignment horizontal="right"/>
      <protection locked="0"/>
    </xf>
    <xf numFmtId="1" fontId="68" fillId="0" borderId="16" xfId="5" applyNumberFormat="1" applyFont="1" applyBorder="1" applyAlignment="1" applyProtection="1">
      <alignment horizontal="left"/>
    </xf>
    <xf numFmtId="1" fontId="69" fillId="30" borderId="16" xfId="5" applyNumberFormat="1" applyFont="1" applyFill="1" applyBorder="1" applyAlignment="1" applyProtection="1">
      <alignment horizontal="left"/>
    </xf>
    <xf numFmtId="0" fontId="45" fillId="30" borderId="16" xfId="0" applyFont="1" applyFill="1" applyBorder="1" applyProtection="1"/>
    <xf numFmtId="43" fontId="72" fillId="30" borderId="16" xfId="4" applyFont="1" applyFill="1" applyBorder="1" applyProtection="1">
      <protection locked="0"/>
    </xf>
    <xf numFmtId="1" fontId="69" fillId="21" borderId="16" xfId="5" applyNumberFormat="1" applyFont="1" applyFill="1" applyBorder="1" applyAlignment="1" applyProtection="1">
      <alignment horizontal="left"/>
    </xf>
    <xf numFmtId="43" fontId="45" fillId="0" borderId="16" xfId="4" applyFont="1" applyBorder="1" applyProtection="1">
      <protection locked="0"/>
    </xf>
    <xf numFmtId="1" fontId="69" fillId="19" borderId="16" xfId="5" applyNumberFormat="1" applyFont="1" applyFill="1" applyBorder="1" applyAlignment="1" applyProtection="1">
      <alignment horizontal="left"/>
    </xf>
    <xf numFmtId="1" fontId="45" fillId="19" borderId="16" xfId="0" applyNumberFormat="1" applyFont="1" applyFill="1" applyBorder="1" applyProtection="1"/>
    <xf numFmtId="4" fontId="79" fillId="37" borderId="16" xfId="0" applyNumberFormat="1" applyFont="1" applyFill="1" applyBorder="1" applyAlignment="1">
      <alignment horizontal="right" vertical="center"/>
    </xf>
    <xf numFmtId="175" fontId="73" fillId="21" borderId="16" xfId="4" applyNumberFormat="1" applyFont="1" applyFill="1" applyBorder="1" applyProtection="1">
      <protection locked="0"/>
    </xf>
    <xf numFmtId="1" fontId="69" fillId="38" borderId="16" xfId="0" applyNumberFormat="1" applyFont="1" applyFill="1" applyBorder="1" applyAlignment="1" applyProtection="1">
      <alignment horizontal="left"/>
    </xf>
    <xf numFmtId="1" fontId="80" fillId="38" borderId="16" xfId="0" applyNumberFormat="1" applyFont="1" applyFill="1" applyBorder="1" applyProtection="1"/>
    <xf numFmtId="175" fontId="72" fillId="38" borderId="16" xfId="4" applyNumberFormat="1" applyFont="1" applyFill="1" applyBorder="1" applyAlignment="1" applyProtection="1">
      <alignment horizontal="right"/>
      <protection locked="0"/>
    </xf>
    <xf numFmtId="1" fontId="42" fillId="19" borderId="16" xfId="0" applyNumberFormat="1" applyFont="1" applyFill="1" applyBorder="1" applyProtection="1"/>
    <xf numFmtId="9" fontId="0" fillId="0" borderId="0" xfId="3" applyFont="1" applyAlignment="1" applyProtection="1">
      <alignment vertical="top"/>
    </xf>
    <xf numFmtId="0" fontId="4" fillId="3" borderId="1"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43" fontId="7" fillId="3" borderId="16" xfId="4" applyFont="1" applyFill="1" applyBorder="1" applyAlignment="1" applyProtection="1">
      <alignment horizontal="right" vertical="center"/>
      <protection locked="0"/>
    </xf>
    <xf numFmtId="43" fontId="4" fillId="0" borderId="12" xfId="4" applyFont="1" applyBorder="1" applyAlignment="1">
      <alignment vertical="top"/>
    </xf>
    <xf numFmtId="43" fontId="4" fillId="4" borderId="12" xfId="4" applyFont="1" applyFill="1" applyBorder="1" applyAlignment="1">
      <alignment vertical="top"/>
    </xf>
    <xf numFmtId="0" fontId="4" fillId="3" borderId="12" xfId="0" applyFont="1" applyFill="1" applyBorder="1" applyAlignment="1" applyProtection="1">
      <alignment horizontal="center" vertical="top" wrapText="1"/>
      <protection locked="0"/>
    </xf>
    <xf numFmtId="0" fontId="4" fillId="28" borderId="8" xfId="0" applyFont="1" applyFill="1" applyBorder="1" applyAlignment="1" applyProtection="1">
      <alignment vertical="top" wrapText="1"/>
      <protection locked="0"/>
    </xf>
    <xf numFmtId="0" fontId="4" fillId="3" borderId="6" xfId="0" applyFont="1" applyFill="1" applyBorder="1" applyAlignment="1" applyProtection="1">
      <alignment horizontal="justify" vertical="top" wrapText="1"/>
      <protection locked="0"/>
    </xf>
    <xf numFmtId="0" fontId="4" fillId="3" borderId="1" xfId="0" applyFont="1" applyFill="1" applyBorder="1" applyAlignment="1" applyProtection="1">
      <alignment vertical="center" wrapText="1"/>
      <protection locked="0"/>
    </xf>
    <xf numFmtId="0" fontId="4" fillId="3" borderId="5"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justify" vertical="top" wrapText="1"/>
      <protection locked="0"/>
    </xf>
    <xf numFmtId="3" fontId="4" fillId="3" borderId="0" xfId="0" applyNumberFormat="1" applyFont="1" applyFill="1" applyBorder="1" applyAlignment="1" applyProtection="1">
      <alignment vertical="top" wrapText="1"/>
      <protection locked="0"/>
    </xf>
    <xf numFmtId="0" fontId="4" fillId="3" borderId="1" xfId="0" applyFont="1" applyFill="1" applyBorder="1" applyAlignment="1" applyProtection="1">
      <alignment horizontal="justify" vertical="top" wrapText="1"/>
      <protection locked="0"/>
    </xf>
    <xf numFmtId="0" fontId="4" fillId="3" borderId="5" xfId="0" applyFont="1" applyFill="1" applyBorder="1" applyAlignment="1" applyProtection="1">
      <alignment horizontal="justify" vertical="top" wrapText="1"/>
      <protection locked="0"/>
    </xf>
    <xf numFmtId="0" fontId="4" fillId="3" borderId="13" xfId="0" applyFont="1" applyFill="1" applyBorder="1" applyAlignment="1" applyProtection="1">
      <alignment horizontal="justify" vertical="top" wrapText="1"/>
      <protection locked="0"/>
    </xf>
    <xf numFmtId="0" fontId="4" fillId="3" borderId="12"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vertical="top" wrapText="1"/>
      <protection locked="0"/>
    </xf>
    <xf numFmtId="3" fontId="4" fillId="3" borderId="12" xfId="0" applyNumberFormat="1" applyFont="1" applyFill="1" applyBorder="1" applyAlignment="1" applyProtection="1">
      <alignment vertical="top" wrapText="1"/>
      <protection locked="0"/>
    </xf>
    <xf numFmtId="0" fontId="4" fillId="28" borderId="4" xfId="0" applyFont="1" applyFill="1" applyBorder="1" applyAlignment="1" applyProtection="1">
      <alignment vertical="top" wrapText="1"/>
      <protection locked="0"/>
    </xf>
    <xf numFmtId="0" fontId="4" fillId="28" borderId="6" xfId="0" applyFont="1" applyFill="1" applyBorder="1" applyAlignment="1" applyProtection="1">
      <alignment vertical="top" wrapText="1"/>
      <protection locked="0"/>
    </xf>
    <xf numFmtId="0" fontId="4" fillId="28" borderId="7" xfId="0" applyFont="1" applyFill="1" applyBorder="1" applyAlignment="1" applyProtection="1">
      <alignment vertical="top" wrapText="1"/>
      <protection locked="0"/>
    </xf>
    <xf numFmtId="0" fontId="8" fillId="0" borderId="6" xfId="0" applyFont="1" applyBorder="1" applyAlignment="1">
      <alignment horizontal="center" vertical="center" wrapText="1"/>
    </xf>
    <xf numFmtId="0" fontId="4" fillId="4" borderId="8" xfId="0" applyFont="1" applyFill="1" applyBorder="1" applyAlignment="1">
      <alignment horizontal="center" vertical="center"/>
    </xf>
    <xf numFmtId="43" fontId="4" fillId="3" borderId="8" xfId="4" applyFont="1" applyFill="1" applyBorder="1" applyAlignment="1" applyProtection="1">
      <alignment vertical="top" wrapText="1"/>
      <protection locked="0"/>
    </xf>
    <xf numFmtId="3" fontId="4" fillId="4" borderId="8" xfId="0" applyNumberFormat="1" applyFont="1" applyFill="1" applyBorder="1" applyAlignment="1" applyProtection="1">
      <alignment horizontal="center" vertical="center"/>
    </xf>
    <xf numFmtId="9" fontId="4" fillId="4" borderId="8" xfId="3" applyFont="1" applyFill="1" applyBorder="1" applyAlignment="1" applyProtection="1">
      <alignment horizontal="center" vertical="center"/>
    </xf>
    <xf numFmtId="43" fontId="4" fillId="4" borderId="13" xfId="4" applyFont="1" applyFill="1" applyBorder="1" applyAlignment="1" applyProtection="1">
      <alignment vertical="top"/>
    </xf>
    <xf numFmtId="0" fontId="4" fillId="4" borderId="8" xfId="0" applyFont="1" applyFill="1" applyBorder="1" applyAlignment="1" applyProtection="1">
      <alignment horizontal="center" vertical="top"/>
    </xf>
    <xf numFmtId="43" fontId="4" fillId="4" borderId="8" xfId="4" applyFont="1" applyFill="1" applyBorder="1" applyAlignment="1" applyProtection="1">
      <alignment vertical="top"/>
    </xf>
    <xf numFmtId="0" fontId="4" fillId="0" borderId="12" xfId="0" applyFont="1" applyBorder="1" applyAlignment="1">
      <alignment horizontal="center" vertical="top"/>
    </xf>
    <xf numFmtId="0" fontId="4" fillId="0" borderId="13" xfId="0" applyFont="1" applyBorder="1" applyAlignment="1">
      <alignment horizontal="center" vertical="top"/>
    </xf>
    <xf numFmtId="0" fontId="0" fillId="0" borderId="0" xfId="0" applyAlignment="1" applyProtection="1">
      <alignment horizontal="center"/>
    </xf>
    <xf numFmtId="3" fontId="4" fillId="3" borderId="8" xfId="0" applyNumberFormat="1" applyFont="1" applyFill="1" applyBorder="1" applyAlignment="1" applyProtection="1">
      <alignment horizontal="center" vertical="center"/>
      <protection locked="0"/>
    </xf>
    <xf numFmtId="0" fontId="35" fillId="18" borderId="1" xfId="0" applyFont="1" applyFill="1" applyBorder="1" applyAlignment="1">
      <alignment horizontal="center" vertical="center" wrapText="1"/>
    </xf>
    <xf numFmtId="0" fontId="50" fillId="17" borderId="1" xfId="0" applyFont="1" applyFill="1" applyBorder="1" applyAlignment="1">
      <alignment horizontal="center" vertical="center" wrapText="1"/>
    </xf>
    <xf numFmtId="0" fontId="4" fillId="0" borderId="5" xfId="0" applyFont="1" applyBorder="1" applyAlignment="1">
      <alignment vertical="top" wrapText="1"/>
    </xf>
    <xf numFmtId="0" fontId="4" fillId="28" borderId="13" xfId="0" applyFont="1" applyFill="1" applyBorder="1" applyAlignment="1">
      <alignment horizontal="center" vertical="top"/>
    </xf>
    <xf numFmtId="0" fontId="4" fillId="28" borderId="20" xfId="0" applyFont="1" applyFill="1" applyBorder="1" applyAlignment="1" applyProtection="1">
      <alignment vertical="top"/>
      <protection locked="0"/>
    </xf>
    <xf numFmtId="0" fontId="4" fillId="28" borderId="8" xfId="0" applyFont="1" applyFill="1" applyBorder="1" applyAlignment="1" applyProtection="1">
      <alignment vertical="top"/>
      <protection locked="0"/>
    </xf>
    <xf numFmtId="3" fontId="8" fillId="28" borderId="8" xfId="0" applyNumberFormat="1" applyFont="1" applyFill="1" applyBorder="1" applyAlignment="1" applyProtection="1">
      <alignment vertical="top"/>
      <protection locked="0"/>
    </xf>
    <xf numFmtId="3" fontId="4" fillId="28" borderId="8" xfId="0" applyNumberFormat="1" applyFont="1" applyFill="1" applyBorder="1" applyAlignment="1" applyProtection="1">
      <alignment vertical="top"/>
      <protection locked="0"/>
    </xf>
    <xf numFmtId="0" fontId="4" fillId="28" borderId="20" xfId="0" applyFont="1" applyFill="1" applyBorder="1" applyAlignment="1" applyProtection="1">
      <alignment horizontal="justify" vertical="top" wrapText="1"/>
      <protection locked="0"/>
    </xf>
    <xf numFmtId="0" fontId="4" fillId="28" borderId="8" xfId="0" applyFont="1" applyFill="1" applyBorder="1" applyAlignment="1" applyProtection="1">
      <alignment horizontal="center" vertical="center"/>
      <protection locked="0"/>
    </xf>
    <xf numFmtId="0" fontId="4" fillId="24" borderId="13" xfId="0" applyFont="1" applyFill="1" applyBorder="1" applyAlignment="1">
      <alignment horizontal="center" vertical="top"/>
    </xf>
    <xf numFmtId="0" fontId="4" fillId="24" borderId="20" xfId="0" applyFont="1" applyFill="1" applyBorder="1" applyAlignment="1" applyProtection="1">
      <alignment vertical="top"/>
      <protection locked="0"/>
    </xf>
    <xf numFmtId="3" fontId="8" fillId="24" borderId="8" xfId="0" applyNumberFormat="1" applyFont="1" applyFill="1" applyBorder="1" applyAlignment="1" applyProtection="1">
      <alignment vertical="top"/>
      <protection locked="0"/>
    </xf>
    <xf numFmtId="3" fontId="4" fillId="24" borderId="8" xfId="0" applyNumberFormat="1" applyFont="1" applyFill="1" applyBorder="1" applyAlignment="1" applyProtection="1">
      <alignment vertical="top"/>
      <protection locked="0"/>
    </xf>
    <xf numFmtId="0" fontId="4" fillId="24" borderId="8" xfId="0" applyFont="1" applyFill="1" applyBorder="1" applyAlignment="1" applyProtection="1">
      <alignment horizontal="center" vertical="center"/>
      <protection locked="0"/>
    </xf>
    <xf numFmtId="0" fontId="4" fillId="24" borderId="20" xfId="0" applyFont="1" applyFill="1" applyBorder="1" applyAlignment="1" applyProtection="1">
      <alignment vertical="top" wrapText="1"/>
      <protection locked="0"/>
    </xf>
    <xf numFmtId="0" fontId="4" fillId="24" borderId="20" xfId="0" applyFont="1" applyFill="1" applyBorder="1" applyAlignment="1" applyProtection="1">
      <alignment horizontal="justify" vertical="top" wrapText="1"/>
      <protection locked="0"/>
    </xf>
    <xf numFmtId="0" fontId="4" fillId="7" borderId="20" xfId="0" applyFont="1" applyFill="1" applyBorder="1" applyAlignment="1" applyProtection="1">
      <alignment vertical="top"/>
      <protection locked="0"/>
    </xf>
    <xf numFmtId="3" fontId="4" fillId="7" borderId="8" xfId="0" applyNumberFormat="1" applyFont="1" applyFill="1" applyBorder="1" applyAlignment="1" applyProtection="1">
      <alignment vertical="top"/>
      <protection locked="0"/>
    </xf>
    <xf numFmtId="3" fontId="4" fillId="7" borderId="6" xfId="0" applyNumberFormat="1" applyFont="1" applyFill="1" applyBorder="1" applyAlignment="1" applyProtection="1">
      <alignment vertical="top"/>
      <protection locked="0"/>
    </xf>
    <xf numFmtId="3" fontId="4" fillId="7" borderId="2" xfId="0" applyNumberFormat="1" applyFont="1" applyFill="1" applyBorder="1" applyAlignment="1" applyProtection="1">
      <alignment vertical="top"/>
      <protection locked="0"/>
    </xf>
    <xf numFmtId="3" fontId="4" fillId="7" borderId="12" xfId="0" applyNumberFormat="1" applyFont="1" applyFill="1" applyBorder="1" applyAlignment="1" applyProtection="1">
      <alignment vertical="top"/>
      <protection locked="0"/>
    </xf>
    <xf numFmtId="3" fontId="4" fillId="7" borderId="3" xfId="0" applyNumberFormat="1" applyFont="1" applyFill="1" applyBorder="1" applyAlignment="1" applyProtection="1">
      <alignment vertical="top"/>
      <protection locked="0"/>
    </xf>
    <xf numFmtId="3" fontId="4" fillId="7" borderId="14" xfId="0" applyNumberFormat="1" applyFont="1" applyFill="1" applyBorder="1" applyAlignment="1" applyProtection="1">
      <alignment vertical="top"/>
      <protection locked="0"/>
    </xf>
    <xf numFmtId="3" fontId="4" fillId="7" borderId="15" xfId="0" applyNumberFormat="1" applyFont="1" applyFill="1" applyBorder="1" applyAlignment="1" applyProtection="1">
      <alignment vertical="top"/>
      <protection locked="0"/>
    </xf>
    <xf numFmtId="3" fontId="4" fillId="7" borderId="9" xfId="0" applyNumberFormat="1" applyFont="1" applyFill="1" applyBorder="1" applyAlignment="1" applyProtection="1">
      <alignment vertical="top"/>
      <protection locked="0"/>
    </xf>
    <xf numFmtId="3" fontId="4" fillId="7" borderId="0" xfId="0" applyNumberFormat="1" applyFont="1" applyFill="1" applyBorder="1" applyAlignment="1" applyProtection="1">
      <alignment vertical="top"/>
      <protection locked="0"/>
    </xf>
    <xf numFmtId="3" fontId="4" fillId="7" borderId="7" xfId="0" applyNumberFormat="1" applyFont="1" applyFill="1" applyBorder="1" applyAlignment="1" applyProtection="1">
      <alignment vertical="top"/>
      <protection locked="0"/>
    </xf>
    <xf numFmtId="3" fontId="4" fillId="7" borderId="4" xfId="0" applyNumberFormat="1" applyFont="1" applyFill="1" applyBorder="1" applyAlignment="1" applyProtection="1">
      <alignment vertical="top"/>
      <protection locked="0"/>
    </xf>
    <xf numFmtId="3" fontId="4" fillId="7" borderId="1" xfId="0" applyNumberFormat="1" applyFont="1" applyFill="1" applyBorder="1" applyAlignment="1" applyProtection="1">
      <alignment vertical="top"/>
      <protection locked="0"/>
    </xf>
    <xf numFmtId="0" fontId="4" fillId="7" borderId="20" xfId="0" applyFont="1" applyFill="1" applyBorder="1" applyAlignment="1" applyProtection="1">
      <alignment vertical="top" wrapText="1"/>
      <protection locked="0"/>
    </xf>
    <xf numFmtId="0" fontId="4" fillId="7" borderId="20" xfId="0" applyFont="1" applyFill="1" applyBorder="1" applyAlignment="1" applyProtection="1">
      <alignment horizontal="justify" vertical="top" wrapText="1"/>
      <protection locked="0"/>
    </xf>
    <xf numFmtId="0" fontId="4" fillId="7" borderId="8" xfId="0" applyFont="1" applyFill="1" applyBorder="1" applyAlignment="1" applyProtection="1">
      <alignment horizontal="center" vertical="center"/>
      <protection locked="0"/>
    </xf>
    <xf numFmtId="0" fontId="4" fillId="7" borderId="23" xfId="0" applyFont="1" applyFill="1" applyBorder="1" applyAlignment="1" applyProtection="1">
      <alignment horizontal="justify" vertical="top" wrapText="1"/>
      <protection locked="0"/>
    </xf>
    <xf numFmtId="0" fontId="4" fillId="8" borderId="12" xfId="0" applyFont="1" applyFill="1" applyBorder="1" applyAlignment="1" applyProtection="1">
      <alignment horizontal="justify" vertical="top" wrapText="1"/>
      <protection locked="0"/>
    </xf>
    <xf numFmtId="0" fontId="4" fillId="8" borderId="8" xfId="0" applyFont="1" applyFill="1" applyBorder="1" applyAlignment="1" applyProtection="1">
      <alignment vertical="top" wrapText="1"/>
      <protection locked="0"/>
    </xf>
    <xf numFmtId="0" fontId="4" fillId="8" borderId="8" xfId="0" applyFont="1" applyFill="1" applyBorder="1" applyAlignment="1" applyProtection="1">
      <alignment vertical="top"/>
      <protection locked="0"/>
    </xf>
    <xf numFmtId="0" fontId="4" fillId="8" borderId="11" xfId="0" applyFont="1" applyFill="1" applyBorder="1" applyAlignment="1" applyProtection="1">
      <alignment horizontal="center" vertical="center"/>
      <protection locked="0"/>
    </xf>
    <xf numFmtId="3" fontId="4" fillId="8" borderId="14" xfId="0" applyNumberFormat="1" applyFont="1" applyFill="1" applyBorder="1" applyAlignment="1" applyProtection="1">
      <alignment vertical="top"/>
      <protection locked="0"/>
    </xf>
    <xf numFmtId="3" fontId="4" fillId="8" borderId="12" xfId="0" applyNumberFormat="1" applyFont="1" applyFill="1" applyBorder="1" applyAlignment="1" applyProtection="1">
      <alignment vertical="top"/>
      <protection locked="0"/>
    </xf>
    <xf numFmtId="3" fontId="4" fillId="8" borderId="15" xfId="0" applyNumberFormat="1" applyFont="1" applyFill="1" applyBorder="1" applyAlignment="1" applyProtection="1">
      <alignment vertical="top"/>
      <protection locked="0"/>
    </xf>
    <xf numFmtId="3" fontId="4" fillId="8" borderId="8" xfId="0" applyNumberFormat="1" applyFont="1" applyFill="1" applyBorder="1" applyAlignment="1" applyProtection="1">
      <alignment vertical="top"/>
      <protection locked="0"/>
    </xf>
    <xf numFmtId="0" fontId="4" fillId="8" borderId="28" xfId="0" applyFont="1" applyFill="1" applyBorder="1" applyAlignment="1" applyProtection="1">
      <alignment horizontal="justify" vertical="top" wrapText="1"/>
      <protection locked="0"/>
    </xf>
    <xf numFmtId="0" fontId="4" fillId="8" borderId="12" xfId="0" applyFont="1" applyFill="1" applyBorder="1" applyAlignment="1" applyProtection="1">
      <alignment vertical="top"/>
      <protection locked="0"/>
    </xf>
    <xf numFmtId="0" fontId="4" fillId="8" borderId="28" xfId="0" applyFont="1" applyFill="1" applyBorder="1" applyAlignment="1" applyProtection="1">
      <alignment vertical="top" wrapText="1"/>
      <protection locked="0"/>
    </xf>
    <xf numFmtId="3" fontId="4" fillId="8" borderId="0" xfId="0" applyNumberFormat="1" applyFont="1" applyFill="1" applyBorder="1" applyAlignment="1" applyProtection="1">
      <alignment vertical="top"/>
      <protection locked="0"/>
    </xf>
    <xf numFmtId="0" fontId="4" fillId="8" borderId="12" xfId="0" applyFont="1" applyFill="1" applyBorder="1" applyAlignment="1" applyProtection="1">
      <alignment vertical="center" wrapText="1"/>
      <protection locked="0"/>
    </xf>
    <xf numFmtId="3" fontId="8" fillId="8" borderId="78" xfId="0" applyNumberFormat="1" applyFont="1" applyFill="1" applyBorder="1" applyAlignment="1" applyProtection="1">
      <alignment vertical="center"/>
      <protection locked="0"/>
    </xf>
    <xf numFmtId="3" fontId="8" fillId="8" borderId="70" xfId="0" applyNumberFormat="1" applyFont="1" applyFill="1" applyBorder="1" applyAlignment="1" applyProtection="1">
      <alignment vertical="center"/>
      <protection locked="0"/>
    </xf>
    <xf numFmtId="3" fontId="8" fillId="8" borderId="12" xfId="0" applyNumberFormat="1" applyFont="1" applyFill="1" applyBorder="1" applyAlignment="1" applyProtection="1">
      <alignment vertical="center"/>
      <protection locked="0"/>
    </xf>
    <xf numFmtId="3" fontId="8" fillId="8" borderId="7" xfId="0" applyNumberFormat="1" applyFont="1" applyFill="1" applyBorder="1" applyAlignment="1" applyProtection="1">
      <alignment vertical="center"/>
      <protection locked="0"/>
    </xf>
    <xf numFmtId="3" fontId="8" fillId="8" borderId="54" xfId="0" applyNumberFormat="1" applyFont="1" applyFill="1" applyBorder="1" applyAlignment="1" applyProtection="1">
      <alignment vertical="center"/>
      <protection locked="0"/>
    </xf>
    <xf numFmtId="3" fontId="8" fillId="8" borderId="55" xfId="0" applyNumberFormat="1" applyFont="1" applyFill="1" applyBorder="1" applyAlignment="1" applyProtection="1">
      <alignment vertical="center"/>
      <protection locked="0"/>
    </xf>
    <xf numFmtId="3" fontId="8" fillId="8" borderId="68" xfId="0" applyNumberFormat="1" applyFont="1" applyFill="1" applyBorder="1" applyAlignment="1" applyProtection="1">
      <alignment vertical="center"/>
      <protection locked="0"/>
    </xf>
    <xf numFmtId="3" fontId="8" fillId="8" borderId="77" xfId="0" applyNumberFormat="1" applyFont="1" applyFill="1" applyBorder="1" applyAlignment="1" applyProtection="1">
      <alignment vertical="center"/>
      <protection locked="0"/>
    </xf>
    <xf numFmtId="3" fontId="8" fillId="8" borderId="69" xfId="0" applyNumberFormat="1" applyFont="1" applyFill="1" applyBorder="1" applyAlignment="1" applyProtection="1">
      <alignment vertical="center"/>
      <protection locked="0"/>
    </xf>
    <xf numFmtId="3" fontId="8" fillId="8" borderId="79" xfId="0" applyNumberFormat="1" applyFont="1" applyFill="1" applyBorder="1" applyAlignment="1" applyProtection="1">
      <alignment vertical="center"/>
      <protection locked="0"/>
    </xf>
    <xf numFmtId="3" fontId="8" fillId="8" borderId="60" xfId="0" applyNumberFormat="1" applyFont="1" applyFill="1" applyBorder="1" applyAlignment="1" applyProtection="1">
      <alignment vertical="center"/>
      <protection locked="0"/>
    </xf>
    <xf numFmtId="3" fontId="8" fillId="8" borderId="61" xfId="0" applyNumberFormat="1" applyFont="1" applyFill="1" applyBorder="1" applyAlignment="1" applyProtection="1">
      <alignment vertical="center"/>
      <protection locked="0"/>
    </xf>
    <xf numFmtId="0" fontId="4" fillId="8" borderId="28" xfId="0" applyFont="1" applyFill="1" applyBorder="1" applyAlignment="1" applyProtection="1">
      <alignment vertical="center" wrapText="1"/>
      <protection locked="0"/>
    </xf>
    <xf numFmtId="3" fontId="8" fillId="8" borderId="30" xfId="0" applyNumberFormat="1" applyFont="1" applyFill="1" applyBorder="1" applyAlignment="1" applyProtection="1">
      <alignment vertical="center"/>
      <protection locked="0"/>
    </xf>
    <xf numFmtId="0" fontId="4" fillId="23" borderId="8" xfId="0" applyFont="1" applyFill="1" applyBorder="1" applyAlignment="1">
      <alignment horizontal="center" vertical="top"/>
    </xf>
    <xf numFmtId="0" fontId="4" fillId="23" borderId="6" xfId="0" applyFont="1" applyFill="1" applyBorder="1" applyAlignment="1" applyProtection="1">
      <alignment vertical="top"/>
      <protection locked="0"/>
    </xf>
    <xf numFmtId="0" fontId="4" fillId="23" borderId="8" xfId="0" applyFont="1" applyFill="1" applyBorder="1" applyAlignment="1" applyProtection="1">
      <alignment vertical="top"/>
      <protection locked="0"/>
    </xf>
    <xf numFmtId="0" fontId="4" fillId="23" borderId="8" xfId="0" applyFont="1" applyFill="1" applyBorder="1" applyAlignment="1" applyProtection="1">
      <alignment horizontal="center" vertical="center"/>
      <protection locked="0"/>
    </xf>
    <xf numFmtId="3" fontId="4" fillId="23" borderId="8" xfId="0" applyNumberFormat="1" applyFont="1" applyFill="1" applyBorder="1" applyAlignment="1" applyProtection="1">
      <alignment vertical="top"/>
      <protection locked="0"/>
    </xf>
    <xf numFmtId="0" fontId="4" fillId="23" borderId="12" xfId="0" applyFont="1" applyFill="1" applyBorder="1" applyAlignment="1">
      <alignment horizontal="center" vertical="top"/>
    </xf>
    <xf numFmtId="0" fontId="4" fillId="23" borderId="20" xfId="0" applyFont="1" applyFill="1" applyBorder="1" applyAlignment="1" applyProtection="1">
      <alignment vertical="top"/>
      <protection locked="0"/>
    </xf>
    <xf numFmtId="0" fontId="4" fillId="23" borderId="13" xfId="0" applyFont="1" applyFill="1" applyBorder="1" applyAlignment="1">
      <alignment horizontal="center" vertical="top"/>
    </xf>
    <xf numFmtId="3" fontId="8" fillId="23" borderId="8" xfId="0" applyNumberFormat="1" applyFont="1" applyFill="1" applyBorder="1" applyAlignment="1" applyProtection="1">
      <alignment vertical="top"/>
      <protection locked="0"/>
    </xf>
    <xf numFmtId="0" fontId="4" fillId="23" borderId="20" xfId="0" applyFont="1" applyFill="1" applyBorder="1" applyAlignment="1" applyProtection="1">
      <alignment vertical="top" wrapText="1"/>
      <protection locked="0"/>
    </xf>
    <xf numFmtId="0" fontId="4" fillId="23" borderId="20" xfId="0" applyFont="1" applyFill="1" applyBorder="1" applyAlignment="1" applyProtection="1">
      <alignment horizontal="justify" vertical="top" wrapText="1"/>
      <protection locked="0"/>
    </xf>
    <xf numFmtId="0" fontId="4" fillId="0" borderId="9" xfId="0" applyFont="1" applyBorder="1" applyAlignment="1">
      <alignment vertical="top" wrapText="1"/>
    </xf>
    <xf numFmtId="0" fontId="4" fillId="39" borderId="8" xfId="0" applyFont="1" applyFill="1" applyBorder="1" applyAlignment="1" applyProtection="1">
      <alignment vertical="top" wrapText="1"/>
      <protection locked="0"/>
    </xf>
    <xf numFmtId="0" fontId="4" fillId="39" borderId="8" xfId="0" applyFont="1" applyFill="1" applyBorder="1" applyAlignment="1" applyProtection="1">
      <alignment vertical="top"/>
      <protection locked="0"/>
    </xf>
    <xf numFmtId="0" fontId="4" fillId="39" borderId="11" xfId="0" applyFont="1" applyFill="1" applyBorder="1" applyAlignment="1" applyProtection="1">
      <alignment vertical="top"/>
      <protection locked="0"/>
    </xf>
    <xf numFmtId="3" fontId="8" fillId="39" borderId="16" xfId="0" applyNumberFormat="1" applyFont="1" applyFill="1" applyBorder="1" applyAlignment="1" applyProtection="1">
      <alignment vertical="center"/>
      <protection locked="0"/>
    </xf>
    <xf numFmtId="3" fontId="4" fillId="39" borderId="8" xfId="0" applyNumberFormat="1" applyFont="1" applyFill="1" applyBorder="1" applyAlignment="1" applyProtection="1">
      <alignment vertical="top"/>
      <protection locked="0"/>
    </xf>
    <xf numFmtId="0" fontId="4" fillId="39" borderId="11" xfId="0" applyFont="1" applyFill="1" applyBorder="1" applyAlignment="1">
      <alignment horizontal="center" vertical="top"/>
    </xf>
    <xf numFmtId="0" fontId="4" fillId="30" borderId="8" xfId="0" applyFont="1" applyFill="1" applyBorder="1" applyAlignment="1" applyProtection="1">
      <alignment vertical="top" wrapText="1"/>
      <protection locked="0"/>
    </xf>
    <xf numFmtId="0" fontId="4" fillId="30" borderId="8" xfId="0" applyFont="1" applyFill="1" applyBorder="1" applyAlignment="1" applyProtection="1">
      <alignment vertical="top"/>
      <protection locked="0"/>
    </xf>
    <xf numFmtId="0" fontId="4" fillId="30" borderId="11" xfId="0" applyFont="1" applyFill="1" applyBorder="1" applyAlignment="1" applyProtection="1">
      <alignment vertical="top"/>
      <protection locked="0"/>
    </xf>
    <xf numFmtId="3" fontId="8" fillId="30" borderId="16" xfId="0" applyNumberFormat="1" applyFont="1" applyFill="1" applyBorder="1" applyAlignment="1" applyProtection="1">
      <alignment vertical="center"/>
      <protection locked="0"/>
    </xf>
    <xf numFmtId="3" fontId="4" fillId="30" borderId="8" xfId="0" applyNumberFormat="1" applyFont="1" applyFill="1" applyBorder="1" applyAlignment="1" applyProtection="1">
      <alignment vertical="top"/>
      <protection locked="0"/>
    </xf>
    <xf numFmtId="0" fontId="4" fillId="0" borderId="5" xfId="0" applyFont="1" applyBorder="1" applyAlignment="1">
      <alignment horizontal="center" vertical="top"/>
    </xf>
    <xf numFmtId="0" fontId="4" fillId="8" borderId="1" xfId="0" applyFont="1" applyFill="1" applyBorder="1" applyAlignment="1" applyProtection="1">
      <alignment vertical="center" wrapText="1"/>
      <protection locked="0"/>
    </xf>
    <xf numFmtId="0" fontId="4" fillId="30" borderId="16" xfId="0" applyFont="1" applyFill="1" applyBorder="1" applyAlignment="1">
      <alignment horizontal="center" vertical="top"/>
    </xf>
    <xf numFmtId="0" fontId="4" fillId="30" borderId="16" xfId="0" applyFont="1" applyFill="1" applyBorder="1" applyAlignment="1" applyProtection="1">
      <alignment horizontal="justify" vertical="center" wrapText="1"/>
      <protection locked="0"/>
    </xf>
    <xf numFmtId="0" fontId="4" fillId="39" borderId="16" xfId="0" applyFont="1" applyFill="1" applyBorder="1" applyAlignment="1">
      <alignment horizontal="center" vertical="top"/>
    </xf>
    <xf numFmtId="0" fontId="4" fillId="39" borderId="16" xfId="0" applyFont="1" applyFill="1" applyBorder="1" applyAlignment="1" applyProtection="1">
      <alignment horizontal="justify" vertical="center" wrapText="1"/>
      <protection locked="0"/>
    </xf>
    <xf numFmtId="0" fontId="4" fillId="39" borderId="24" xfId="0" applyFont="1" applyFill="1" applyBorder="1" applyAlignment="1" applyProtection="1">
      <alignment horizontal="justify" vertical="center" wrapText="1"/>
      <protection locked="0"/>
    </xf>
    <xf numFmtId="3" fontId="8" fillId="39" borderId="20" xfId="0" applyNumberFormat="1" applyFont="1" applyFill="1" applyBorder="1" applyAlignment="1" applyProtection="1">
      <alignment vertical="center"/>
      <protection locked="0"/>
    </xf>
    <xf numFmtId="43" fontId="31" fillId="0" borderId="16" xfId="4" applyFont="1" applyBorder="1"/>
    <xf numFmtId="9" fontId="31" fillId="0" borderId="16" xfId="3" applyFont="1" applyBorder="1" applyAlignment="1">
      <alignment horizontal="center" vertical="center"/>
    </xf>
    <xf numFmtId="0" fontId="41" fillId="0" borderId="16" xfId="5" applyFont="1" applyBorder="1" applyAlignment="1">
      <alignment horizontal="center"/>
    </xf>
    <xf numFmtId="10" fontId="41" fillId="0" borderId="16" xfId="5" applyNumberFormat="1" applyFont="1" applyBorder="1" applyAlignment="1">
      <alignment horizontal="center"/>
    </xf>
    <xf numFmtId="4" fontId="81" fillId="0" borderId="12" xfId="0" applyNumberFormat="1" applyFont="1" applyBorder="1"/>
    <xf numFmtId="43" fontId="74" fillId="0" borderId="43" xfId="4" applyFont="1" applyFill="1" applyBorder="1" applyProtection="1">
      <protection locked="0"/>
    </xf>
    <xf numFmtId="43" fontId="74" fillId="0" borderId="16" xfId="4" applyFont="1" applyFill="1" applyBorder="1" applyProtection="1">
      <protection locked="0"/>
    </xf>
    <xf numFmtId="43" fontId="72" fillId="0" borderId="60" xfId="4" applyFont="1" applyFill="1" applyBorder="1" applyProtection="1"/>
    <xf numFmtId="43" fontId="72" fillId="0" borderId="30" xfId="4" applyFont="1" applyFill="1" applyBorder="1" applyProtection="1"/>
    <xf numFmtId="43" fontId="72" fillId="0" borderId="16" xfId="4" applyFont="1" applyFill="1" applyBorder="1" applyProtection="1"/>
    <xf numFmtId="43" fontId="74" fillId="0" borderId="36" xfId="4" applyFont="1" applyFill="1" applyBorder="1" applyProtection="1">
      <protection locked="0"/>
    </xf>
    <xf numFmtId="43" fontId="72" fillId="0" borderId="54" xfId="4" applyFont="1" applyFill="1" applyBorder="1" applyProtection="1"/>
    <xf numFmtId="43" fontId="72" fillId="0" borderId="56" xfId="4" applyFont="1" applyFill="1" applyBorder="1" applyProtection="1"/>
    <xf numFmtId="43" fontId="72" fillId="0" borderId="35" xfId="4" applyFont="1" applyFill="1" applyBorder="1" applyProtection="1"/>
    <xf numFmtId="43" fontId="74" fillId="0" borderId="35" xfId="4" applyFont="1" applyFill="1" applyBorder="1" applyProtection="1"/>
    <xf numFmtId="43" fontId="74" fillId="0" borderId="36" xfId="4" applyFont="1" applyFill="1" applyBorder="1" applyProtection="1"/>
    <xf numFmtId="43" fontId="72" fillId="10" borderId="54" xfId="4" applyFont="1" applyFill="1" applyBorder="1" applyProtection="1"/>
    <xf numFmtId="43" fontId="72" fillId="10" borderId="54" xfId="4" applyFont="1" applyFill="1" applyBorder="1" applyAlignment="1" applyProtection="1"/>
    <xf numFmtId="43" fontId="72" fillId="10" borderId="12" xfId="4" applyFont="1" applyFill="1" applyBorder="1" applyAlignment="1" applyProtection="1"/>
    <xf numFmtId="43" fontId="72" fillId="10" borderId="53" xfId="4" applyFont="1" applyFill="1" applyBorder="1" applyAlignment="1" applyProtection="1"/>
    <xf numFmtId="43" fontId="72" fillId="31" borderId="32" xfId="4" applyFont="1" applyFill="1" applyBorder="1" applyAlignment="1" applyProtection="1">
      <alignment wrapText="1"/>
      <protection locked="0"/>
    </xf>
    <xf numFmtId="43" fontId="72" fillId="31" borderId="33" xfId="4" applyFont="1" applyFill="1" applyBorder="1" applyAlignment="1" applyProtection="1">
      <alignment wrapText="1"/>
      <protection locked="0"/>
    </xf>
    <xf numFmtId="43" fontId="72" fillId="31" borderId="42" xfId="4" applyFont="1" applyFill="1" applyBorder="1" applyAlignment="1" applyProtection="1">
      <alignment wrapText="1"/>
      <protection locked="0"/>
    </xf>
    <xf numFmtId="43" fontId="72" fillId="31" borderId="64" xfId="4" applyFont="1" applyFill="1" applyBorder="1" applyAlignment="1" applyProtection="1">
      <alignment wrapText="1"/>
      <protection locked="0"/>
    </xf>
    <xf numFmtId="43" fontId="72" fillId="31" borderId="32" xfId="4" applyFont="1" applyFill="1" applyBorder="1" applyAlignment="1" applyProtection="1"/>
    <xf numFmtId="43" fontId="74" fillId="0" borderId="9" xfId="4" applyFont="1" applyFill="1" applyBorder="1" applyAlignment="1" applyProtection="1">
      <alignment horizontal="right" vertical="center" wrapText="1"/>
      <protection locked="0"/>
    </xf>
    <xf numFmtId="43" fontId="74" fillId="0" borderId="16" xfId="4" applyFont="1" applyFill="1" applyBorder="1" applyAlignment="1" applyProtection="1">
      <alignment horizontal="right" vertical="center" wrapText="1"/>
      <protection locked="0"/>
    </xf>
    <xf numFmtId="43" fontId="74" fillId="0" borderId="60" xfId="4" applyFont="1" applyFill="1" applyBorder="1" applyAlignment="1" applyProtection="1">
      <alignment horizontal="right" vertical="center" wrapText="1"/>
      <protection locked="0"/>
    </xf>
    <xf numFmtId="43" fontId="74" fillId="0" borderId="16" xfId="4" applyFont="1" applyFill="1" applyBorder="1" applyAlignment="1" applyProtection="1">
      <alignment horizontal="right" vertical="center"/>
    </xf>
    <xf numFmtId="43" fontId="74" fillId="0" borderId="18" xfId="4" applyFont="1" applyFill="1" applyBorder="1" applyAlignment="1" applyProtection="1">
      <alignment wrapText="1"/>
      <protection locked="0"/>
    </xf>
    <xf numFmtId="43" fontId="74" fillId="0" borderId="43" xfId="4" applyFont="1" applyFill="1" applyBorder="1" applyAlignment="1" applyProtection="1">
      <alignment wrapText="1"/>
      <protection locked="0"/>
    </xf>
    <xf numFmtId="43" fontId="74" fillId="0" borderId="16" xfId="4" applyFont="1" applyFill="1" applyBorder="1" applyAlignment="1" applyProtection="1">
      <alignment wrapText="1"/>
      <protection locked="0"/>
    </xf>
    <xf numFmtId="43" fontId="72" fillId="31" borderId="16" xfId="4" applyFont="1" applyFill="1" applyBorder="1" applyAlignment="1" applyProtection="1">
      <alignment wrapText="1"/>
      <protection locked="0"/>
    </xf>
    <xf numFmtId="43" fontId="72" fillId="31" borderId="18" xfId="4" applyFont="1" applyFill="1" applyBorder="1" applyAlignment="1" applyProtection="1">
      <alignment wrapText="1"/>
      <protection locked="0"/>
    </xf>
    <xf numFmtId="43" fontId="72" fillId="31" borderId="43" xfId="4" applyFont="1" applyFill="1" applyBorder="1" applyAlignment="1" applyProtection="1">
      <alignment wrapText="1"/>
      <protection locked="0"/>
    </xf>
    <xf numFmtId="43" fontId="72" fillId="31" borderId="16" xfId="4" applyFont="1" applyFill="1" applyBorder="1" applyAlignment="1" applyProtection="1"/>
    <xf numFmtId="43" fontId="74" fillId="0" borderId="16" xfId="4" applyFont="1" applyFill="1" applyBorder="1" applyAlignment="1" applyProtection="1">
      <alignment horizontal="center" vertical="center" wrapText="1"/>
      <protection locked="0"/>
    </xf>
    <xf numFmtId="43" fontId="74" fillId="0" borderId="18" xfId="4" applyFont="1" applyFill="1" applyBorder="1" applyAlignment="1" applyProtection="1">
      <alignment horizontal="center" vertical="center" wrapText="1"/>
      <protection locked="0"/>
    </xf>
    <xf numFmtId="43" fontId="74" fillId="0" borderId="16" xfId="4" applyFont="1" applyFill="1" applyBorder="1" applyAlignment="1" applyProtection="1">
      <alignment vertical="center" wrapText="1"/>
      <protection locked="0"/>
    </xf>
    <xf numFmtId="43" fontId="72" fillId="31" borderId="37" xfId="4" applyFont="1" applyFill="1" applyBorder="1" applyAlignment="1" applyProtection="1">
      <alignment horizontal="center" vertical="center" wrapText="1"/>
      <protection locked="0"/>
    </xf>
    <xf numFmtId="43" fontId="72" fillId="31" borderId="16" xfId="4" applyFont="1" applyFill="1" applyBorder="1" applyAlignment="1" applyProtection="1">
      <alignment horizontal="center" vertical="center" wrapText="1"/>
      <protection locked="0"/>
    </xf>
    <xf numFmtId="43" fontId="72" fillId="31" borderId="18" xfId="4" applyFont="1" applyFill="1" applyBorder="1" applyAlignment="1" applyProtection="1">
      <alignment horizontal="center" vertical="center" wrapText="1"/>
      <protection locked="0"/>
    </xf>
    <xf numFmtId="43" fontId="72" fillId="31" borderId="16" xfId="4" applyFont="1" applyFill="1" applyBorder="1" applyAlignment="1" applyProtection="1">
      <alignment horizontal="center" vertical="center"/>
    </xf>
    <xf numFmtId="43" fontId="74" fillId="0" borderId="43" xfId="4" applyFont="1" applyFill="1" applyBorder="1" applyAlignment="1" applyProtection="1">
      <alignment vertical="center" wrapText="1"/>
      <protection locked="0"/>
    </xf>
    <xf numFmtId="43" fontId="74" fillId="0" borderId="16" xfId="4" applyFont="1" applyFill="1" applyBorder="1" applyAlignment="1" applyProtection="1">
      <alignment vertical="center"/>
    </xf>
    <xf numFmtId="43" fontId="74" fillId="0" borderId="37" xfId="4" applyFont="1" applyFill="1" applyBorder="1" applyAlignment="1" applyProtection="1">
      <alignment wrapText="1"/>
      <protection locked="0"/>
    </xf>
    <xf numFmtId="43" fontId="72" fillId="31" borderId="37" xfId="4" applyFont="1" applyFill="1" applyBorder="1" applyAlignment="1" applyProtection="1">
      <alignment wrapText="1"/>
      <protection locked="0"/>
    </xf>
    <xf numFmtId="43" fontId="74" fillId="0" borderId="60" xfId="4" applyFont="1" applyFill="1" applyBorder="1" applyAlignment="1" applyProtection="1">
      <alignment wrapText="1"/>
      <protection locked="0"/>
    </xf>
    <xf numFmtId="43" fontId="74" fillId="0" borderId="9" xfId="4" applyFont="1" applyFill="1" applyBorder="1" applyAlignment="1" applyProtection="1">
      <alignment wrapText="1"/>
      <protection locked="0"/>
    </xf>
    <xf numFmtId="43" fontId="72" fillId="31" borderId="60" xfId="4" applyFont="1" applyFill="1" applyBorder="1" applyAlignment="1" applyProtection="1">
      <alignment wrapText="1"/>
      <protection locked="0"/>
    </xf>
    <xf numFmtId="43" fontId="72" fillId="31" borderId="34" xfId="4" applyFont="1" applyFill="1" applyBorder="1" applyAlignment="1" applyProtection="1">
      <alignment wrapText="1"/>
      <protection locked="0"/>
    </xf>
    <xf numFmtId="43" fontId="72" fillId="31" borderId="30" xfId="4" applyFont="1" applyFill="1" applyBorder="1" applyAlignment="1" applyProtection="1"/>
    <xf numFmtId="43" fontId="74" fillId="0" borderId="41" xfId="4" applyFont="1" applyFill="1" applyBorder="1" applyAlignment="1" applyProtection="1">
      <alignment wrapText="1"/>
      <protection locked="0"/>
    </xf>
    <xf numFmtId="43" fontId="74" fillId="0" borderId="30" xfId="4" applyFont="1" applyFill="1" applyBorder="1" applyAlignment="1" applyProtection="1">
      <alignment wrapText="1"/>
      <protection locked="0"/>
    </xf>
    <xf numFmtId="43" fontId="74" fillId="0" borderId="30" xfId="4" applyFont="1" applyFill="1" applyBorder="1" applyAlignment="1" applyProtection="1"/>
    <xf numFmtId="43" fontId="74" fillId="0" borderId="37" xfId="4" applyFont="1" applyFill="1" applyBorder="1" applyAlignment="1" applyProtection="1">
      <alignment horizontal="center" vertical="center" wrapText="1"/>
      <protection locked="0"/>
    </xf>
    <xf numFmtId="43" fontId="74" fillId="0" borderId="30" xfId="4" applyFont="1" applyFill="1" applyBorder="1" applyAlignment="1" applyProtection="1">
      <alignment horizontal="center" vertical="center" wrapText="1"/>
      <protection locked="0"/>
    </xf>
    <xf numFmtId="43" fontId="74" fillId="0" borderId="24" xfId="4" applyFont="1" applyFill="1" applyBorder="1" applyAlignment="1" applyProtection="1">
      <alignment horizontal="center" vertical="center" wrapText="1"/>
      <protection locked="0"/>
    </xf>
    <xf numFmtId="43" fontId="74" fillId="0" borderId="56" xfId="4" applyFont="1" applyFill="1" applyBorder="1" applyAlignment="1" applyProtection="1"/>
    <xf numFmtId="43" fontId="72" fillId="0" borderId="55" xfId="4" applyFont="1" applyFill="1" applyBorder="1" applyAlignment="1" applyProtection="1"/>
    <xf numFmtId="43" fontId="74" fillId="0" borderId="59" xfId="4" applyFont="1" applyFill="1" applyBorder="1" applyAlignment="1" applyProtection="1"/>
    <xf numFmtId="43" fontId="82" fillId="0" borderId="15" xfId="4" applyFont="1" applyBorder="1" applyProtection="1"/>
    <xf numFmtId="43" fontId="82" fillId="0" borderId="12" xfId="4" applyFont="1" applyBorder="1" applyProtection="1"/>
    <xf numFmtId="43" fontId="82" fillId="0" borderId="7" xfId="4" applyFont="1" applyBorder="1" applyProtection="1"/>
    <xf numFmtId="43" fontId="74" fillId="0" borderId="15" xfId="4" applyFont="1" applyFill="1" applyBorder="1" applyAlignment="1" applyProtection="1"/>
    <xf numFmtId="43" fontId="74" fillId="0" borderId="55" xfId="4" applyFont="1" applyFill="1" applyBorder="1" applyAlignment="1" applyProtection="1"/>
    <xf numFmtId="43" fontId="72" fillId="10" borderId="72" xfId="4" applyFont="1" applyFill="1" applyBorder="1" applyProtection="1"/>
    <xf numFmtId="43" fontId="72" fillId="10" borderId="66" xfId="4" applyFont="1" applyFill="1" applyBorder="1" applyProtection="1"/>
    <xf numFmtId="43" fontId="72" fillId="10" borderId="13" xfId="4" applyFont="1" applyFill="1" applyBorder="1" applyProtection="1"/>
    <xf numFmtId="43" fontId="72" fillId="10" borderId="12" xfId="4" applyFont="1" applyFill="1" applyBorder="1" applyProtection="1"/>
    <xf numFmtId="43" fontId="74" fillId="0" borderId="18" xfId="4" applyFont="1" applyFill="1" applyBorder="1" applyProtection="1">
      <protection locked="0"/>
    </xf>
    <xf numFmtId="43" fontId="72" fillId="0" borderId="24" xfId="4" applyFont="1" applyFill="1" applyBorder="1" applyProtection="1"/>
    <xf numFmtId="43" fontId="72" fillId="0" borderId="31" xfId="4" applyFont="1" applyFill="1" applyBorder="1" applyProtection="1"/>
    <xf numFmtId="43" fontId="72" fillId="0" borderId="26" xfId="4" applyFont="1" applyFill="1" applyBorder="1" applyProtection="1"/>
    <xf numFmtId="43" fontId="74" fillId="0" borderId="37" xfId="4" applyFont="1" applyFill="1" applyBorder="1" applyProtection="1">
      <protection locked="0"/>
    </xf>
    <xf numFmtId="43" fontId="72" fillId="0" borderId="18" xfId="4" applyFont="1" applyFill="1" applyBorder="1" applyProtection="1"/>
    <xf numFmtId="43" fontId="72" fillId="0" borderId="41" xfId="4" applyFont="1" applyFill="1" applyBorder="1" applyProtection="1"/>
    <xf numFmtId="43" fontId="72" fillId="0" borderId="43" xfId="4" applyFont="1" applyFill="1" applyBorder="1" applyProtection="1"/>
    <xf numFmtId="43" fontId="74" fillId="0" borderId="0" xfId="4" applyFont="1" applyFill="1"/>
    <xf numFmtId="43" fontId="74" fillId="0" borderId="18" xfId="4" applyFont="1" applyFill="1" applyBorder="1"/>
    <xf numFmtId="43" fontId="74" fillId="0" borderId="34" xfId="4" applyFont="1" applyFill="1" applyBorder="1" applyProtection="1">
      <protection locked="0"/>
    </xf>
    <xf numFmtId="43" fontId="74" fillId="0" borderId="71" xfId="4" applyFont="1" applyFill="1" applyBorder="1" applyProtection="1">
      <protection locked="0"/>
    </xf>
    <xf numFmtId="43" fontId="74" fillId="0" borderId="38" xfId="4" applyFont="1" applyFill="1" applyBorder="1" applyProtection="1">
      <protection locked="0"/>
    </xf>
    <xf numFmtId="43" fontId="74" fillId="0" borderId="57" xfId="4" applyFont="1" applyFill="1" applyBorder="1" applyProtection="1">
      <protection locked="0"/>
    </xf>
    <xf numFmtId="43" fontId="72" fillId="10" borderId="70" xfId="4" applyFont="1" applyFill="1" applyBorder="1" applyProtection="1"/>
    <xf numFmtId="43" fontId="72" fillId="10" borderId="53" xfId="4" applyFont="1" applyFill="1" applyBorder="1" applyProtection="1"/>
    <xf numFmtId="0" fontId="72" fillId="10" borderId="14" xfId="0" applyFont="1" applyFill="1" applyBorder="1" applyAlignment="1" applyProtection="1">
      <alignment horizontal="left"/>
    </xf>
    <xf numFmtId="0" fontId="72" fillId="31" borderId="40" xfId="0" applyFont="1" applyFill="1" applyBorder="1" applyAlignment="1" applyProtection="1">
      <alignment horizontal="left" wrapText="1"/>
      <protection locked="0"/>
    </xf>
    <xf numFmtId="0" fontId="74" fillId="0" borderId="43" xfId="0" applyFont="1" applyFill="1" applyBorder="1" applyAlignment="1" applyProtection="1">
      <alignment horizontal="left" vertical="center" wrapText="1"/>
      <protection locked="0"/>
    </xf>
    <xf numFmtId="0" fontId="74" fillId="0" borderId="43" xfId="0" applyFont="1" applyFill="1" applyBorder="1" applyAlignment="1" applyProtection="1">
      <alignment horizontal="left" wrapText="1"/>
      <protection locked="0"/>
    </xf>
    <xf numFmtId="0" fontId="74" fillId="0" borderId="43" xfId="0" applyFont="1" applyFill="1" applyBorder="1" applyAlignment="1" applyProtection="1">
      <alignment horizontal="left"/>
      <protection locked="0"/>
    </xf>
    <xf numFmtId="0" fontId="72" fillId="31" borderId="43" xfId="0" applyFont="1" applyFill="1" applyBorder="1" applyAlignment="1" applyProtection="1">
      <alignment horizontal="left" wrapText="1"/>
      <protection locked="0"/>
    </xf>
    <xf numFmtId="0" fontId="72" fillId="31" borderId="16" xfId="0" applyFont="1" applyFill="1" applyBorder="1" applyAlignment="1" applyProtection="1">
      <alignment horizontal="left" wrapText="1"/>
      <protection locked="0"/>
    </xf>
    <xf numFmtId="0" fontId="74" fillId="0" borderId="16" xfId="0" applyFont="1" applyFill="1" applyBorder="1" applyAlignment="1" applyProtection="1">
      <alignment horizontal="left" wrapText="1"/>
      <protection locked="0"/>
    </xf>
    <xf numFmtId="0" fontId="74" fillId="0" borderId="16" xfId="0" applyFont="1" applyFill="1" applyBorder="1" applyAlignment="1" applyProtection="1">
      <alignment horizontal="left" vertical="center" wrapText="1"/>
      <protection locked="0"/>
    </xf>
    <xf numFmtId="0" fontId="74" fillId="0" borderId="37" xfId="0" applyFont="1" applyFill="1" applyBorder="1" applyAlignment="1" applyProtection="1">
      <alignment horizontal="left" wrapText="1"/>
      <protection locked="0"/>
    </xf>
    <xf numFmtId="0" fontId="72" fillId="31" borderId="30" xfId="0" applyFont="1" applyFill="1" applyBorder="1" applyAlignment="1" applyProtection="1">
      <alignment horizontal="left" wrapText="1"/>
      <protection locked="0"/>
    </xf>
    <xf numFmtId="0" fontId="74" fillId="0" borderId="30" xfId="0" applyFont="1" applyFill="1" applyBorder="1" applyAlignment="1" applyProtection="1">
      <alignment horizontal="left" wrapText="1"/>
      <protection locked="0"/>
    </xf>
    <xf numFmtId="0" fontId="72" fillId="0" borderId="16" xfId="0" applyFont="1" applyFill="1" applyBorder="1" applyAlignment="1" applyProtection="1">
      <alignment horizontal="left"/>
    </xf>
    <xf numFmtId="0" fontId="72" fillId="0" borderId="37" xfId="0" applyFont="1" applyFill="1" applyBorder="1" applyAlignment="1" applyProtection="1">
      <alignment horizontal="left"/>
    </xf>
    <xf numFmtId="0" fontId="82" fillId="0" borderId="14" xfId="0" applyFont="1" applyBorder="1" applyAlignment="1" applyProtection="1">
      <alignment horizontal="left"/>
    </xf>
    <xf numFmtId="0" fontId="72" fillId="10" borderId="10" xfId="0" applyFont="1" applyFill="1" applyBorder="1" applyAlignment="1" applyProtection="1">
      <alignment horizontal="left"/>
    </xf>
    <xf numFmtId="0" fontId="4" fillId="3" borderId="8" xfId="0" applyFont="1" applyFill="1" applyBorder="1" applyAlignment="1" applyProtection="1">
      <alignment horizontal="center" vertical="center" wrapText="1"/>
      <protection locked="0"/>
    </xf>
    <xf numFmtId="3" fontId="8" fillId="3" borderId="8" xfId="0" applyNumberFormat="1" applyFont="1" applyFill="1" applyBorder="1" applyAlignment="1" applyProtection="1">
      <alignment vertical="top" wrapText="1"/>
      <protection locked="0"/>
    </xf>
    <xf numFmtId="3" fontId="44" fillId="15" borderId="16" xfId="0" applyNumberFormat="1" applyFont="1" applyFill="1" applyBorder="1" applyAlignment="1">
      <alignment horizontal="justify" vertical="top" wrapText="1"/>
    </xf>
    <xf numFmtId="3" fontId="62" fillId="15" borderId="37" xfId="0" applyNumberFormat="1" applyFont="1" applyFill="1" applyBorder="1" applyAlignment="1">
      <alignment horizontal="justify" vertical="top" wrapText="1"/>
    </xf>
    <xf numFmtId="2" fontId="0" fillId="0" borderId="0" xfId="0" applyNumberFormat="1"/>
    <xf numFmtId="9" fontId="27" fillId="0" borderId="16" xfId="0" applyNumberFormat="1" applyFont="1" applyBorder="1" applyAlignment="1" applyProtection="1">
      <alignment horizontal="center" vertical="center" wrapText="1"/>
      <protection locked="0"/>
    </xf>
    <xf numFmtId="9" fontId="0" fillId="0" borderId="16"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9" fontId="7" fillId="33" borderId="16" xfId="0" applyNumberFormat="1" applyFont="1" applyFill="1" applyBorder="1" applyAlignment="1" applyProtection="1">
      <alignment horizontal="center" vertical="center"/>
      <protection locked="0"/>
    </xf>
    <xf numFmtId="0" fontId="7" fillId="6" borderId="16" xfId="3" applyNumberFormat="1" applyFont="1" applyFill="1" applyBorder="1" applyAlignment="1" applyProtection="1">
      <alignment horizontal="left" vertical="top" wrapText="1"/>
    </xf>
    <xf numFmtId="4" fontId="79" fillId="0" borderId="16" xfId="0" applyNumberFormat="1" applyFont="1" applyFill="1" applyBorder="1" applyAlignment="1">
      <alignment horizontal="right" vertical="center"/>
    </xf>
    <xf numFmtId="4" fontId="79" fillId="0" borderId="16" xfId="0" applyNumberFormat="1" applyFont="1" applyFill="1" applyBorder="1" applyAlignment="1">
      <alignment horizontal="right" vertical="center" wrapText="1"/>
    </xf>
    <xf numFmtId="175" fontId="74" fillId="0" borderId="16" xfId="4" applyNumberFormat="1" applyFont="1" applyFill="1" applyBorder="1" applyAlignment="1" applyProtection="1">
      <alignment horizontal="right"/>
      <protection locked="0"/>
    </xf>
    <xf numFmtId="4" fontId="81" fillId="0" borderId="16" xfId="0" applyNumberFormat="1" applyFont="1" applyFill="1" applyBorder="1" applyAlignment="1">
      <alignment horizontal="right" vertical="center"/>
    </xf>
    <xf numFmtId="4" fontId="81" fillId="0" borderId="16" xfId="0" applyNumberFormat="1" applyFont="1" applyFill="1" applyBorder="1"/>
    <xf numFmtId="9" fontId="31" fillId="0" borderId="0" xfId="3" applyFont="1" applyAlignment="1">
      <alignment horizontal="center" vertical="center"/>
    </xf>
    <xf numFmtId="9" fontId="31" fillId="0" borderId="0" xfId="3" applyFont="1" applyAlignment="1">
      <alignment horizontal="center"/>
    </xf>
    <xf numFmtId="43" fontId="74" fillId="0" borderId="60" xfId="4" applyFont="1" applyFill="1" applyBorder="1" applyAlignment="1" applyProtection="1">
      <alignment horizontal="center" vertical="center" wrapText="1"/>
      <protection locked="0"/>
    </xf>
    <xf numFmtId="43" fontId="74" fillId="0" borderId="53" xfId="4" applyFont="1" applyFill="1" applyBorder="1" applyProtection="1">
      <protection locked="0"/>
    </xf>
    <xf numFmtId="43" fontId="74" fillId="0" borderId="20" xfId="4" applyFont="1" applyFill="1" applyBorder="1" applyProtection="1">
      <protection locked="0"/>
    </xf>
    <xf numFmtId="43" fontId="74" fillId="0" borderId="30" xfId="4" applyFont="1" applyFill="1" applyBorder="1" applyProtection="1">
      <protection locked="0"/>
    </xf>
    <xf numFmtId="43" fontId="74" fillId="0" borderId="21" xfId="4" applyFont="1" applyFill="1" applyBorder="1" applyProtection="1">
      <protection locked="0"/>
    </xf>
    <xf numFmtId="0" fontId="4" fillId="3" borderId="15" xfId="0" applyFont="1" applyFill="1" applyBorder="1" applyAlignment="1" applyProtection="1">
      <alignment horizontal="center" vertical="center" wrapText="1"/>
      <protection locked="0"/>
    </xf>
    <xf numFmtId="9" fontId="83" fillId="4" borderId="8" xfId="0" applyNumberFormat="1" applyFont="1" applyFill="1" applyBorder="1" applyAlignment="1">
      <alignment vertical="top"/>
    </xf>
    <xf numFmtId="9" fontId="7" fillId="0" borderId="16" xfId="3" applyFont="1" applyFill="1" applyBorder="1" applyAlignment="1">
      <alignment horizontal="center" vertical="center"/>
    </xf>
    <xf numFmtId="9" fontId="7" fillId="0" borderId="37" xfId="3" applyFont="1" applyFill="1" applyBorder="1" applyAlignment="1">
      <alignment horizontal="center" vertical="center"/>
    </xf>
    <xf numFmtId="43" fontId="4" fillId="4" borderId="8" xfId="4" applyFont="1" applyFill="1" applyBorder="1" applyAlignment="1">
      <alignment vertical="top"/>
    </xf>
    <xf numFmtId="9" fontId="39" fillId="23" borderId="16" xfId="0" applyNumberFormat="1" applyFont="1" applyFill="1" applyBorder="1" applyAlignment="1">
      <alignment horizontal="center" vertical="center" wrapText="1"/>
    </xf>
    <xf numFmtId="3" fontId="49" fillId="0" borderId="1" xfId="0" applyNumberFormat="1" applyFont="1" applyFill="1" applyBorder="1" applyAlignment="1">
      <alignment vertical="center" wrapText="1"/>
    </xf>
    <xf numFmtId="9" fontId="36" fillId="16" borderId="30" xfId="3" applyNumberFormat="1" applyFont="1" applyFill="1" applyBorder="1" applyAlignment="1">
      <alignment horizontal="center" vertical="center" wrapText="1"/>
    </xf>
    <xf numFmtId="0" fontId="3" fillId="0" borderId="7" xfId="0" applyFont="1" applyBorder="1" applyAlignment="1" applyProtection="1">
      <alignment horizontal="center" vertical="center"/>
    </xf>
    <xf numFmtId="0" fontId="35" fillId="15" borderId="4"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35" fillId="22" borderId="1"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5" fillId="16" borderId="2" xfId="0" applyFont="1" applyFill="1" applyBorder="1" applyAlignment="1">
      <alignment horizontal="center" vertical="center" wrapText="1"/>
    </xf>
    <xf numFmtId="3" fontId="4" fillId="4" borderId="8" xfId="0" applyNumberFormat="1" applyFont="1" applyFill="1" applyBorder="1" applyAlignment="1" applyProtection="1">
      <alignment horizontal="center" vertical="center"/>
      <protection locked="0"/>
    </xf>
    <xf numFmtId="0" fontId="4" fillId="0" borderId="8" xfId="0" applyFont="1" applyBorder="1" applyAlignment="1">
      <alignment horizontal="justify" vertical="top" wrapText="1"/>
    </xf>
    <xf numFmtId="175" fontId="43" fillId="0" borderId="16" xfId="4" applyNumberFormat="1" applyFont="1" applyFill="1" applyBorder="1" applyAlignment="1" applyProtection="1">
      <alignment vertical="center"/>
      <protection locked="0"/>
    </xf>
    <xf numFmtId="175" fontId="73" fillId="0" borderId="16" xfId="4" applyNumberFormat="1" applyFont="1" applyFill="1" applyBorder="1" applyProtection="1">
      <protection locked="0"/>
    </xf>
    <xf numFmtId="43" fontId="31" fillId="0" borderId="0" xfId="3" applyNumberFormat="1" applyFont="1" applyAlignment="1">
      <alignment vertical="center"/>
    </xf>
    <xf numFmtId="43" fontId="31" fillId="0" borderId="0" xfId="5" applyNumberFormat="1" applyAlignment="1">
      <alignment vertical="center"/>
    </xf>
    <xf numFmtId="0" fontId="4" fillId="0" borderId="8" xfId="0" applyFont="1" applyBorder="1" applyAlignment="1" applyProtection="1">
      <alignment horizontal="justify" vertical="top" wrapText="1"/>
    </xf>
    <xf numFmtId="165" fontId="4" fillId="4" borderId="12" xfId="4" applyNumberFormat="1" applyFont="1" applyFill="1" applyBorder="1" applyAlignment="1">
      <alignment horizontal="center" vertical="center" wrapText="1"/>
    </xf>
    <xf numFmtId="43" fontId="72" fillId="0" borderId="53" xfId="4" applyFont="1" applyFill="1" applyBorder="1" applyProtection="1"/>
    <xf numFmtId="175" fontId="74" fillId="0" borderId="12" xfId="4" applyNumberFormat="1" applyFont="1" applyFill="1" applyBorder="1" applyProtection="1">
      <protection locked="0"/>
    </xf>
    <xf numFmtId="0" fontId="47" fillId="0" borderId="2" xfId="0" applyFont="1" applyBorder="1" applyAlignment="1" applyProtection="1">
      <alignment horizontal="center" vertical="center" wrapText="1"/>
    </xf>
    <xf numFmtId="0" fontId="8" fillId="0" borderId="7" xfId="0" applyFont="1" applyBorder="1" applyAlignment="1">
      <alignment horizontal="center" vertical="center" wrapText="1"/>
    </xf>
    <xf numFmtId="9" fontId="4" fillId="4" borderId="12" xfId="3" applyNumberFormat="1" applyFont="1" applyFill="1" applyBorder="1" applyAlignment="1">
      <alignment horizontal="center" vertical="top" wrapText="1"/>
    </xf>
    <xf numFmtId="175" fontId="74" fillId="0" borderId="16" xfId="4" applyNumberFormat="1" applyFont="1" applyFill="1" applyBorder="1" applyProtection="1">
      <protection locked="0"/>
    </xf>
    <xf numFmtId="0" fontId="8" fillId="3" borderId="1" xfId="0" applyFont="1" applyFill="1" applyBorder="1" applyAlignment="1" applyProtection="1">
      <alignment horizontal="justify" vertical="top" wrapText="1"/>
      <protection locked="0"/>
    </xf>
    <xf numFmtId="0" fontId="8" fillId="3" borderId="12" xfId="0" applyFont="1" applyFill="1" applyBorder="1" applyAlignment="1" applyProtection="1">
      <alignment horizontal="justify" vertical="top" wrapText="1"/>
      <protection locked="0"/>
    </xf>
    <xf numFmtId="43" fontId="78" fillId="3" borderId="8" xfId="4" applyFont="1" applyFill="1" applyBorder="1" applyAlignment="1" applyProtection="1">
      <alignment horizontal="right" vertical="center"/>
      <protection locked="0"/>
    </xf>
    <xf numFmtId="0" fontId="8" fillId="0" borderId="8" xfId="0" applyFont="1" applyFill="1" applyBorder="1" applyAlignment="1" applyProtection="1">
      <alignment horizontal="center" vertical="center" wrapText="1"/>
      <protection locked="0"/>
    </xf>
    <xf numFmtId="0" fontId="28" fillId="0" borderId="7" xfId="0" applyFont="1" applyBorder="1" applyAlignment="1">
      <alignment horizontal="center" vertical="center" wrapText="1"/>
    </xf>
    <xf numFmtId="0" fontId="28" fillId="0" borderId="12" xfId="0" applyFont="1" applyBorder="1" applyAlignment="1">
      <alignment horizontal="center" vertical="center" wrapText="1"/>
    </xf>
    <xf numFmtId="43" fontId="4" fillId="8" borderId="12" xfId="4" applyFont="1" applyFill="1" applyBorder="1" applyAlignment="1" applyProtection="1">
      <alignment vertical="center"/>
      <protection locked="0"/>
    </xf>
    <xf numFmtId="0" fontId="35" fillId="15" borderId="11" xfId="0" applyFont="1" applyFill="1" applyBorder="1" applyAlignment="1">
      <alignment horizontal="center" vertical="center" wrapText="1"/>
    </xf>
    <xf numFmtId="0" fontId="41" fillId="0" borderId="0" xfId="0" applyFont="1" applyBorder="1" applyAlignment="1" applyProtection="1">
      <alignment horizontal="center"/>
    </xf>
    <xf numFmtId="0" fontId="41" fillId="0" borderId="0" xfId="0" applyFont="1" applyAlignment="1">
      <alignment horizontal="center"/>
    </xf>
    <xf numFmtId="0" fontId="74" fillId="0" borderId="16" xfId="0" applyFont="1" applyFill="1" applyBorder="1" applyAlignment="1" applyProtection="1">
      <alignment horizontal="justify" vertical="top" wrapText="1"/>
    </xf>
    <xf numFmtId="3" fontId="0" fillId="0" borderId="0" xfId="0" applyNumberFormat="1"/>
    <xf numFmtId="43" fontId="7" fillId="3" borderId="12" xfId="4" applyFont="1" applyFill="1" applyBorder="1" applyProtection="1">
      <protection locked="0"/>
    </xf>
    <xf numFmtId="43" fontId="4" fillId="3" borderId="12" xfId="4" applyFont="1" applyFill="1" applyBorder="1" applyAlignment="1" applyProtection="1">
      <alignment vertical="top" wrapText="1"/>
      <protection locked="0"/>
    </xf>
    <xf numFmtId="0" fontId="36" fillId="28" borderId="27" xfId="6" applyFont="1" applyFill="1" applyBorder="1" applyAlignment="1">
      <alignment horizontal="justify" vertical="top" wrapText="1"/>
    </xf>
    <xf numFmtId="0" fontId="36" fillId="28" borderId="60" xfId="0" applyNumberFormat="1" applyFont="1" applyFill="1" applyBorder="1" applyAlignment="1">
      <alignment horizontal="justify" vertical="top" wrapText="1"/>
    </xf>
    <xf numFmtId="0" fontId="74" fillId="0" borderId="16" xfId="0" applyFont="1" applyFill="1" applyBorder="1" applyProtection="1"/>
    <xf numFmtId="1" fontId="73" fillId="0" borderId="16" xfId="0" applyNumberFormat="1" applyFont="1" applyFill="1" applyBorder="1" applyProtection="1"/>
    <xf numFmtId="0" fontId="4" fillId="0" borderId="5" xfId="0" applyFont="1" applyBorder="1" applyAlignment="1">
      <alignment vertical="top" wrapText="1"/>
    </xf>
    <xf numFmtId="0" fontId="85" fillId="3" borderId="8" xfId="2" applyFont="1" applyFill="1" applyBorder="1" applyAlignment="1" applyProtection="1">
      <alignment horizontal="left" vertical="top"/>
      <protection locked="0"/>
    </xf>
    <xf numFmtId="9" fontId="4" fillId="3" borderId="0" xfId="0" applyNumberFormat="1" applyFont="1" applyFill="1" applyBorder="1" applyAlignment="1" applyProtection="1">
      <alignment vertical="top"/>
      <protection locked="0"/>
    </xf>
    <xf numFmtId="9" fontId="4" fillId="3" borderId="16" xfId="0" applyNumberFormat="1" applyFont="1" applyFill="1" applyBorder="1" applyAlignment="1" applyProtection="1">
      <alignment vertical="top"/>
      <protection locked="0"/>
    </xf>
    <xf numFmtId="9" fontId="4" fillId="4" borderId="1" xfId="3" applyFont="1" applyFill="1" applyBorder="1" applyAlignment="1">
      <alignment horizontal="center" vertical="center" wrapText="1"/>
    </xf>
    <xf numFmtId="0" fontId="4" fillId="3" borderId="1" xfId="0" applyFont="1" applyFill="1" applyBorder="1" applyAlignment="1" applyProtection="1">
      <alignment vertical="top" wrapText="1"/>
      <protection locked="0"/>
    </xf>
    <xf numFmtId="9" fontId="4" fillId="4" borderId="16" xfId="3" applyFont="1" applyFill="1" applyBorder="1" applyAlignment="1">
      <alignment horizontal="center" vertical="center" wrapText="1"/>
    </xf>
    <xf numFmtId="0" fontId="4" fillId="3" borderId="16" xfId="0" applyFont="1" applyFill="1" applyBorder="1" applyAlignment="1" applyProtection="1">
      <alignment vertical="top" wrapText="1"/>
      <protection locked="0"/>
    </xf>
    <xf numFmtId="9" fontId="4" fillId="3" borderId="16" xfId="0" applyNumberFormat="1" applyFont="1" applyFill="1" applyBorder="1" applyAlignment="1" applyProtection="1">
      <alignment horizontal="center" vertical="center"/>
      <protection locked="0"/>
    </xf>
    <xf numFmtId="9" fontId="4" fillId="3" borderId="18" xfId="0" applyNumberFormat="1" applyFont="1" applyFill="1" applyBorder="1" applyAlignment="1" applyProtection="1">
      <alignment horizontal="center" vertical="center"/>
      <protection locked="0"/>
    </xf>
    <xf numFmtId="9" fontId="4" fillId="4" borderId="14" xfId="0" applyNumberFormat="1" applyFont="1" applyFill="1" applyBorder="1" applyAlignment="1" applyProtection="1">
      <alignment horizontal="center" vertical="center"/>
    </xf>
    <xf numFmtId="0" fontId="4" fillId="0" borderId="5" xfId="0" applyFont="1" applyBorder="1" applyAlignment="1">
      <alignment vertical="top" wrapText="1"/>
    </xf>
    <xf numFmtId="0" fontId="4" fillId="0" borderId="9" xfId="0" applyFont="1" applyBorder="1" applyAlignment="1">
      <alignment vertical="top" wrapText="1"/>
    </xf>
    <xf numFmtId="0" fontId="8" fillId="0" borderId="1" xfId="0" applyFont="1" applyBorder="1" applyAlignment="1">
      <alignment horizontal="center" vertical="center" wrapText="1"/>
    </xf>
    <xf numFmtId="9" fontId="4" fillId="3" borderId="6" xfId="0" applyNumberFormat="1" applyFont="1" applyFill="1" applyBorder="1" applyAlignment="1" applyProtection="1">
      <alignment horizontal="center" vertical="center"/>
      <protection locked="0"/>
    </xf>
    <xf numFmtId="0" fontId="4"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4" fillId="3" borderId="11" xfId="0" applyFont="1" applyFill="1" applyBorder="1" applyAlignment="1" applyProtection="1">
      <alignment horizontal="justify" vertical="top" wrapText="1"/>
      <protection locked="0"/>
    </xf>
    <xf numFmtId="9" fontId="4" fillId="3" borderId="26" xfId="0" applyNumberFormat="1" applyFont="1" applyFill="1" applyBorder="1" applyAlignment="1" applyProtection="1">
      <alignment horizontal="center" vertical="center"/>
      <protection locked="0"/>
    </xf>
    <xf numFmtId="9" fontId="4" fillId="3" borderId="20" xfId="0" applyNumberFormat="1" applyFont="1" applyFill="1" applyBorder="1" applyAlignment="1" applyProtection="1">
      <alignment horizontal="center" vertical="center"/>
      <protection locked="0"/>
    </xf>
    <xf numFmtId="9" fontId="4" fillId="3" borderId="19" xfId="0" applyNumberFormat="1" applyFont="1" applyFill="1" applyBorder="1" applyAlignment="1" applyProtection="1">
      <alignment horizontal="center" vertical="center"/>
      <protection locked="0"/>
    </xf>
    <xf numFmtId="9" fontId="4" fillId="3" borderId="33" xfId="3" applyFont="1" applyFill="1" applyBorder="1" applyAlignment="1">
      <alignment horizontal="center" vertical="center" wrapText="1"/>
    </xf>
    <xf numFmtId="9" fontId="3" fillId="3" borderId="76"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7" fillId="0" borderId="16" xfId="0" applyFont="1" applyBorder="1"/>
    <xf numFmtId="9" fontId="7" fillId="0" borderId="16" xfId="0" applyNumberFormat="1" applyFont="1" applyBorder="1" applyAlignment="1" applyProtection="1">
      <alignment horizontal="center" vertical="center" wrapText="1"/>
      <protection locked="0"/>
    </xf>
    <xf numFmtId="0" fontId="7" fillId="6" borderId="16" xfId="3" applyNumberFormat="1" applyFont="1" applyFill="1" applyBorder="1" applyAlignment="1" applyProtection="1">
      <alignment horizontal="justify" vertical="top" wrapText="1"/>
      <protection hidden="1"/>
    </xf>
    <xf numFmtId="0" fontId="7" fillId="6" borderId="16" xfId="3" applyNumberFormat="1" applyFont="1" applyFill="1" applyBorder="1" applyAlignment="1" applyProtection="1">
      <alignment vertical="top" wrapText="1"/>
      <protection hidden="1"/>
    </xf>
    <xf numFmtId="3" fontId="4" fillId="3" borderId="13" xfId="0" applyNumberFormat="1" applyFont="1" applyFill="1" applyBorder="1" applyAlignment="1" applyProtection="1">
      <alignment horizontal="center" vertical="center" wrapText="1"/>
      <protection locked="0"/>
    </xf>
    <xf numFmtId="0" fontId="27" fillId="3" borderId="12" xfId="0" applyFont="1" applyFill="1" applyBorder="1" applyAlignment="1">
      <alignment horizontal="center" vertical="center" wrapText="1"/>
    </xf>
    <xf numFmtId="0" fontId="28" fillId="3" borderId="75" xfId="0" applyFont="1" applyFill="1" applyBorder="1" applyAlignment="1">
      <alignment horizontal="justify" vertical="top" wrapText="1"/>
    </xf>
    <xf numFmtId="0" fontId="8" fillId="3" borderId="11" xfId="0" applyFont="1" applyFill="1" applyBorder="1" applyAlignment="1" applyProtection="1">
      <alignment horizontal="justify" vertical="top" wrapText="1"/>
      <protection locked="0"/>
    </xf>
    <xf numFmtId="0" fontId="8" fillId="3" borderId="14" xfId="0" applyFont="1" applyFill="1" applyBorder="1" applyAlignment="1" applyProtection="1">
      <alignment horizontal="justify" vertical="top" wrapText="1"/>
      <protection locked="0"/>
    </xf>
    <xf numFmtId="0" fontId="8" fillId="3" borderId="10" xfId="0" applyFont="1" applyFill="1" applyBorder="1" applyAlignment="1" applyProtection="1">
      <alignment horizontal="justify" vertical="top" wrapText="1"/>
      <protection locked="0"/>
    </xf>
    <xf numFmtId="0" fontId="8" fillId="3" borderId="46" xfId="0" applyFont="1" applyFill="1" applyBorder="1" applyAlignment="1" applyProtection="1">
      <alignment horizontal="justify" vertical="top" wrapText="1"/>
      <protection locked="0"/>
    </xf>
    <xf numFmtId="0" fontId="8" fillId="3" borderId="34" xfId="0" applyFont="1" applyFill="1" applyBorder="1" applyAlignment="1" applyProtection="1">
      <alignment horizontal="justify" vertical="top" wrapText="1"/>
      <protection locked="0"/>
    </xf>
    <xf numFmtId="0" fontId="8" fillId="3" borderId="13" xfId="0" applyFont="1" applyFill="1" applyBorder="1" applyAlignment="1" applyProtection="1">
      <alignment horizontal="justify" vertical="top"/>
      <protection locked="0"/>
    </xf>
    <xf numFmtId="9" fontId="29" fillId="0" borderId="0" xfId="3" applyFont="1" applyFill="1" applyAlignment="1">
      <alignment horizontal="center" vertical="center" wrapText="1"/>
    </xf>
    <xf numFmtId="0" fontId="72" fillId="0" borderId="16" xfId="0" applyFont="1" applyFill="1" applyBorder="1" applyProtection="1"/>
    <xf numFmtId="175" fontId="72" fillId="0" borderId="16" xfId="4" applyNumberFormat="1" applyFont="1" applyFill="1" applyBorder="1" applyProtection="1">
      <protection locked="0"/>
    </xf>
    <xf numFmtId="0" fontId="74" fillId="0" borderId="16" xfId="0" applyFont="1" applyBorder="1" applyProtection="1"/>
    <xf numFmtId="43" fontId="74" fillId="0" borderId="54" xfId="4" applyFont="1" applyFill="1" applyBorder="1" applyProtection="1"/>
    <xf numFmtId="43" fontId="74" fillId="0" borderId="12" xfId="4" applyFont="1" applyFill="1" applyBorder="1" applyProtection="1">
      <protection locked="0"/>
    </xf>
    <xf numFmtId="43" fontId="74" fillId="0" borderId="15" xfId="4" applyFont="1" applyFill="1" applyBorder="1" applyProtection="1">
      <protection locked="0"/>
    </xf>
    <xf numFmtId="1" fontId="69" fillId="0" borderId="16" xfId="0" applyNumberFormat="1" applyFont="1" applyFill="1" applyBorder="1" applyAlignment="1" applyProtection="1">
      <alignment horizontal="left"/>
    </xf>
    <xf numFmtId="1" fontId="80" fillId="0" borderId="16" xfId="0" applyNumberFormat="1" applyFont="1" applyFill="1" applyBorder="1" applyProtection="1"/>
    <xf numFmtId="175" fontId="72" fillId="0" borderId="16" xfId="4" applyNumberFormat="1" applyFont="1" applyFill="1" applyBorder="1" applyAlignment="1" applyProtection="1">
      <alignment horizontal="right"/>
      <protection locked="0"/>
    </xf>
    <xf numFmtId="0" fontId="4" fillId="3" borderId="8" xfId="0" applyFont="1" applyFill="1" applyBorder="1" applyAlignment="1" applyProtection="1">
      <alignment horizontal="center" vertical="center" wrapText="1"/>
      <protection locked="0"/>
    </xf>
    <xf numFmtId="43" fontId="4" fillId="3" borderId="13" xfId="4" applyFont="1" applyFill="1" applyBorder="1" applyAlignment="1" applyProtection="1">
      <alignment vertical="center" wrapText="1"/>
      <protection locked="0"/>
    </xf>
    <xf numFmtId="3" fontId="39" fillId="15" borderId="37" xfId="0" applyNumberFormat="1" applyFont="1" applyFill="1" applyBorder="1" applyAlignment="1">
      <alignment horizontal="center" vertical="center" wrapText="1"/>
    </xf>
    <xf numFmtId="3" fontId="66" fillId="0" borderId="48" xfId="0" applyNumberFormat="1" applyFont="1" applyFill="1" applyBorder="1" applyAlignment="1">
      <alignment vertical="center" wrapText="1"/>
    </xf>
    <xf numFmtId="3" fontId="36" fillId="0" borderId="16" xfId="0" applyNumberFormat="1" applyFont="1" applyFill="1" applyBorder="1" applyAlignment="1">
      <alignment vertical="center" wrapText="1"/>
    </xf>
    <xf numFmtId="4" fontId="36" fillId="0" borderId="18" xfId="0" applyNumberFormat="1" applyFont="1" applyFill="1" applyBorder="1" applyAlignment="1">
      <alignment horizontal="center" vertical="center" wrapText="1"/>
    </xf>
    <xf numFmtId="3" fontId="36" fillId="0" borderId="35" xfId="0" applyNumberFormat="1" applyFont="1" applyFill="1" applyBorder="1" applyAlignment="1">
      <alignment vertical="center" wrapText="1"/>
    </xf>
    <xf numFmtId="43" fontId="44" fillId="0" borderId="0" xfId="5" applyNumberFormat="1" applyFont="1" applyAlignment="1">
      <alignment vertical="center"/>
    </xf>
    <xf numFmtId="0" fontId="25" fillId="0" borderId="8" xfId="0" applyFont="1" applyFill="1" applyBorder="1" applyAlignment="1" applyProtection="1">
      <alignment horizontal="justify" vertical="top" wrapText="1"/>
      <protection locked="0"/>
    </xf>
    <xf numFmtId="3" fontId="35" fillId="15" borderId="12" xfId="0" applyNumberFormat="1" applyFont="1" applyFill="1" applyBorder="1" applyAlignment="1">
      <alignment horizontal="center" vertical="center" wrapText="1"/>
    </xf>
    <xf numFmtId="0" fontId="4" fillId="38" borderId="8" xfId="0" applyFont="1" applyFill="1" applyBorder="1" applyAlignment="1" applyProtection="1">
      <alignment vertical="top" wrapText="1"/>
      <protection locked="0"/>
    </xf>
    <xf numFmtId="3" fontId="4" fillId="38" borderId="8" xfId="0" applyNumberFormat="1" applyFont="1" applyFill="1" applyBorder="1" applyAlignment="1" applyProtection="1">
      <alignment vertical="top" wrapText="1"/>
      <protection locked="0"/>
    </xf>
    <xf numFmtId="9" fontId="4" fillId="3" borderId="30" xfId="0" applyNumberFormat="1" applyFont="1" applyFill="1" applyBorder="1" applyAlignment="1" applyProtection="1">
      <alignment horizontal="center" vertical="center"/>
      <protection locked="0"/>
    </xf>
    <xf numFmtId="9" fontId="4" fillId="4" borderId="12" xfId="3" applyNumberFormat="1" applyFont="1" applyFill="1" applyBorder="1" applyAlignment="1">
      <alignment horizontal="center" vertical="center" wrapText="1"/>
    </xf>
    <xf numFmtId="43" fontId="42" fillId="0" borderId="16" xfId="4" applyFont="1" applyFill="1" applyBorder="1" applyProtection="1">
      <protection locked="0"/>
    </xf>
    <xf numFmtId="43" fontId="81" fillId="0" borderId="12" xfId="4" applyFont="1" applyFill="1" applyBorder="1"/>
    <xf numFmtId="43" fontId="74" fillId="0" borderId="27" xfId="4" applyFont="1" applyFill="1" applyBorder="1" applyAlignment="1" applyProtection="1">
      <alignment horizontal="right" vertical="center" wrapText="1"/>
      <protection locked="0"/>
    </xf>
    <xf numFmtId="4" fontId="81" fillId="0" borderId="16" xfId="0" applyNumberFormat="1" applyFont="1" applyFill="1" applyBorder="1" applyAlignment="1">
      <alignment vertical="center"/>
    </xf>
    <xf numFmtId="43" fontId="74" fillId="0" borderId="16" xfId="4" applyFont="1" applyFill="1" applyBorder="1" applyAlignment="1">
      <alignment vertical="center"/>
    </xf>
    <xf numFmtId="43" fontId="74" fillId="0" borderId="18" xfId="4" applyFont="1" applyFill="1" applyBorder="1" applyAlignment="1" applyProtection="1">
      <alignment vertical="center" wrapText="1"/>
      <protection locked="0"/>
    </xf>
    <xf numFmtId="43" fontId="81" fillId="0" borderId="16" xfId="4" applyFont="1" applyFill="1" applyBorder="1" applyAlignment="1">
      <alignment horizontal="right" vertical="center"/>
    </xf>
    <xf numFmtId="43" fontId="44" fillId="0" borderId="16" xfId="4" applyFont="1" applyBorder="1" applyAlignment="1">
      <alignment vertical="center"/>
    </xf>
    <xf numFmtId="43" fontId="74" fillId="0" borderId="0" xfId="4" applyFont="1" applyFill="1" applyBorder="1" applyAlignment="1" applyProtection="1">
      <alignment horizontal="right" vertical="center" wrapText="1"/>
      <protection locked="0"/>
    </xf>
    <xf numFmtId="43" fontId="74" fillId="0" borderId="0" xfId="4" applyFont="1" applyFill="1" applyBorder="1" applyAlignment="1" applyProtection="1">
      <alignment horizontal="center" vertical="center" wrapText="1"/>
      <protection locked="0"/>
    </xf>
    <xf numFmtId="43" fontId="44" fillId="0" borderId="0" xfId="4" applyFont="1" applyAlignment="1">
      <alignment vertical="center"/>
    </xf>
    <xf numFmtId="43" fontId="44" fillId="0" borderId="16" xfId="4" applyFont="1" applyFill="1" applyBorder="1" applyAlignment="1">
      <alignment vertical="center"/>
    </xf>
    <xf numFmtId="43" fontId="42" fillId="9" borderId="24" xfId="4" applyFont="1" applyFill="1" applyBorder="1" applyProtection="1">
      <protection locked="0"/>
    </xf>
    <xf numFmtId="0" fontId="68" fillId="0" borderId="30" xfId="0" applyFont="1" applyBorder="1" applyAlignment="1" applyProtection="1">
      <alignment horizontal="center" vertical="center" wrapText="1"/>
    </xf>
    <xf numFmtId="0" fontId="45" fillId="0" borderId="30" xfId="0" applyFont="1" applyBorder="1" applyAlignment="1" applyProtection="1">
      <alignment horizontal="center" vertical="top"/>
    </xf>
    <xf numFmtId="0" fontId="42" fillId="0" borderId="30" xfId="0" applyFont="1" applyBorder="1" applyAlignment="1" applyProtection="1">
      <alignment horizontal="center" vertical="top" wrapText="1"/>
    </xf>
    <xf numFmtId="0" fontId="42" fillId="0" borderId="30" xfId="0" applyFont="1" applyBorder="1" applyAlignment="1" applyProtection="1">
      <alignment horizontal="center" vertical="center" wrapText="1"/>
    </xf>
    <xf numFmtId="0" fontId="42" fillId="0" borderId="30" xfId="0" applyFont="1" applyBorder="1" applyAlignment="1" applyProtection="1">
      <alignment horizontal="center" vertical="center"/>
    </xf>
    <xf numFmtId="175" fontId="74" fillId="0" borderId="16" xfId="4" applyNumberFormat="1" applyFont="1" applyFill="1" applyBorder="1" applyAlignment="1" applyProtection="1">
      <alignment horizontal="center" vertical="center"/>
      <protection locked="0"/>
    </xf>
    <xf numFmtId="175" fontId="73" fillId="0" borderId="16" xfId="4" applyNumberFormat="1" applyFont="1" applyFill="1" applyBorder="1" applyAlignment="1" applyProtection="1">
      <alignment horizontal="right" vertical="center"/>
      <protection locked="0"/>
    </xf>
    <xf numFmtId="175" fontId="73" fillId="0" borderId="16" xfId="4" applyNumberFormat="1" applyFont="1" applyFill="1" applyBorder="1" applyProtection="1"/>
    <xf numFmtId="43" fontId="84" fillId="0" borderId="16" xfId="4" applyFont="1" applyFill="1" applyBorder="1"/>
    <xf numFmtId="167" fontId="74" fillId="0" borderId="16" xfId="4" applyNumberFormat="1" applyFont="1" applyFill="1" applyBorder="1" applyProtection="1"/>
    <xf numFmtId="43" fontId="31" fillId="0" borderId="16" xfId="4" applyFont="1" applyFill="1" applyBorder="1"/>
    <xf numFmtId="0" fontId="86" fillId="3" borderId="12" xfId="0" applyFont="1" applyFill="1" applyBorder="1" applyAlignment="1" applyProtection="1">
      <alignment horizontal="center" vertical="center"/>
      <protection locked="0"/>
    </xf>
    <xf numFmtId="0" fontId="86" fillId="3" borderId="12" xfId="0" applyFont="1" applyFill="1" applyBorder="1" applyAlignment="1">
      <alignment horizontal="center" vertical="center"/>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9" fontId="46" fillId="24" borderId="12" xfId="3" applyNumberFormat="1" applyFont="1" applyFill="1" applyBorder="1" applyAlignment="1">
      <alignment horizontal="center" vertical="center" wrapText="1"/>
    </xf>
    <xf numFmtId="174" fontId="36" fillId="24" borderId="12" xfId="0" applyNumberFormat="1" applyFont="1" applyFill="1" applyBorder="1" applyAlignment="1">
      <alignment horizontal="center" vertical="center" wrapText="1"/>
    </xf>
    <xf numFmtId="4" fontId="35" fillId="24" borderId="15" xfId="0" applyNumberFormat="1" applyFont="1" applyFill="1" applyBorder="1" applyAlignment="1">
      <alignment horizontal="center" vertical="center" wrapText="1"/>
    </xf>
    <xf numFmtId="4" fontId="35" fillId="24" borderId="12" xfId="0" applyNumberFormat="1" applyFont="1" applyFill="1" applyBorder="1" applyAlignment="1">
      <alignment horizontal="center" vertical="center" wrapText="1"/>
    </xf>
    <xf numFmtId="9" fontId="35" fillId="24" borderId="15" xfId="3" applyFont="1" applyFill="1" applyBorder="1" applyAlignment="1">
      <alignment horizontal="center" vertical="center" wrapText="1"/>
    </xf>
    <xf numFmtId="9" fontId="35" fillId="24" borderId="12" xfId="3" applyFont="1" applyFill="1" applyBorder="1" applyAlignment="1">
      <alignment horizontal="center" vertical="center" wrapText="1"/>
    </xf>
    <xf numFmtId="0" fontId="30" fillId="12" borderId="14" xfId="0" applyFont="1" applyFill="1" applyBorder="1" applyAlignment="1">
      <alignment horizontal="center" vertical="center" wrapText="1"/>
    </xf>
    <xf numFmtId="0" fontId="30" fillId="12" borderId="15" xfId="0" applyFont="1" applyFill="1" applyBorder="1" applyAlignment="1">
      <alignment horizontal="center" vertical="center" wrapText="1"/>
    </xf>
    <xf numFmtId="0" fontId="30" fillId="12" borderId="7" xfId="0" applyFont="1" applyFill="1" applyBorder="1" applyAlignment="1">
      <alignment horizontal="center" vertical="center" wrapText="1"/>
    </xf>
    <xf numFmtId="0" fontId="29" fillId="0" borderId="3" xfId="5" applyFont="1" applyFill="1" applyBorder="1" applyAlignment="1">
      <alignment horizontal="left" vertical="top" wrapText="1"/>
    </xf>
    <xf numFmtId="0" fontId="51" fillId="0" borderId="22" xfId="0" applyFont="1" applyFill="1" applyBorder="1" applyAlignment="1">
      <alignment horizontal="center" vertical="center" textRotation="90" wrapText="1"/>
    </xf>
    <xf numFmtId="0" fontId="51" fillId="0" borderId="0" xfId="0" applyFont="1" applyFill="1" applyBorder="1" applyAlignment="1">
      <alignment horizontal="center" vertical="center" textRotation="90" wrapText="1"/>
    </xf>
    <xf numFmtId="0" fontId="51" fillId="0" borderId="11" xfId="0" applyFont="1" applyFill="1" applyBorder="1" applyAlignment="1">
      <alignment horizontal="center" vertical="center" textRotation="90" wrapText="1"/>
    </xf>
    <xf numFmtId="0" fontId="52" fillId="0" borderId="37" xfId="0" applyFont="1" applyFill="1" applyBorder="1" applyAlignment="1">
      <alignment horizontal="center" vertical="center" textRotation="90" wrapText="1"/>
    </xf>
    <xf numFmtId="0" fontId="52" fillId="0" borderId="60" xfId="0" applyFont="1" applyFill="1" applyBorder="1" applyAlignment="1">
      <alignment horizontal="center" vertical="center" textRotation="90" wrapText="1"/>
    </xf>
    <xf numFmtId="0" fontId="52" fillId="0" borderId="30" xfId="0" applyFont="1" applyFill="1" applyBorder="1" applyAlignment="1">
      <alignment horizontal="center" vertical="center" textRotation="90" wrapText="1"/>
    </xf>
    <xf numFmtId="0" fontId="53" fillId="0" borderId="37" xfId="0" applyFont="1" applyBorder="1" applyAlignment="1">
      <alignment horizontal="center" vertical="center" textRotation="90" wrapText="1"/>
    </xf>
    <xf numFmtId="0" fontId="53" fillId="0" borderId="60" xfId="0" applyFont="1" applyBorder="1" applyAlignment="1">
      <alignment horizontal="center" vertical="center" textRotation="90" wrapText="1"/>
    </xf>
    <xf numFmtId="0" fontId="53" fillId="0" borderId="30" xfId="0" applyFont="1" applyBorder="1" applyAlignment="1">
      <alignment horizontal="center" vertical="center" textRotation="90" wrapText="1"/>
    </xf>
    <xf numFmtId="0" fontId="53" fillId="0" borderId="62" xfId="0" applyFont="1" applyBorder="1" applyAlignment="1">
      <alignment horizontal="center" vertical="center" textRotation="90" wrapText="1"/>
    </xf>
    <xf numFmtId="0" fontId="53" fillId="0" borderId="27" xfId="0" applyFont="1" applyBorder="1" applyAlignment="1">
      <alignment horizontal="center" vertical="center" textRotation="90" wrapText="1"/>
    </xf>
    <xf numFmtId="0" fontId="35" fillId="13" borderId="14" xfId="0" applyFont="1" applyFill="1" applyBorder="1" applyAlignment="1">
      <alignment horizontal="left" vertical="center" wrapText="1"/>
    </xf>
    <xf numFmtId="0" fontId="35" fillId="13" borderId="15" xfId="0" applyFont="1" applyFill="1" applyBorder="1" applyAlignment="1">
      <alignment horizontal="left" vertical="center" wrapText="1"/>
    </xf>
    <xf numFmtId="0" fontId="35" fillId="13" borderId="7" xfId="0" applyFont="1" applyFill="1" applyBorder="1" applyAlignment="1">
      <alignment horizontal="left" vertical="center" wrapText="1"/>
    </xf>
    <xf numFmtId="0" fontId="35" fillId="13" borderId="14" xfId="0" applyFont="1" applyFill="1" applyBorder="1" applyAlignment="1">
      <alignment horizontal="justify" vertical="top" wrapText="1"/>
    </xf>
    <xf numFmtId="0" fontId="35" fillId="13" borderId="15" xfId="0" applyFont="1" applyFill="1" applyBorder="1" applyAlignment="1">
      <alignment horizontal="justify" vertical="top" wrapText="1"/>
    </xf>
    <xf numFmtId="0" fontId="35" fillId="13" borderId="7" xfId="0" applyFont="1" applyFill="1" applyBorder="1" applyAlignment="1">
      <alignment horizontal="justify" vertical="top" wrapText="1"/>
    </xf>
    <xf numFmtId="0" fontId="35" fillId="13" borderId="14" xfId="0" applyFont="1" applyFill="1" applyBorder="1" applyAlignment="1">
      <alignment horizontal="left" vertical="top" wrapText="1"/>
    </xf>
    <xf numFmtId="0" fontId="35" fillId="13" borderId="15" xfId="0" applyFont="1" applyFill="1" applyBorder="1" applyAlignment="1">
      <alignment horizontal="left" vertical="top" wrapText="1"/>
    </xf>
    <xf numFmtId="0" fontId="35" fillId="13" borderId="7" xfId="0" applyFont="1" applyFill="1" applyBorder="1" applyAlignment="1">
      <alignment horizontal="left" vertical="top" wrapText="1"/>
    </xf>
    <xf numFmtId="0" fontId="50" fillId="0" borderId="37" xfId="0" applyFont="1" applyFill="1" applyBorder="1" applyAlignment="1">
      <alignment horizontal="center" vertical="center" textRotation="90" wrapText="1"/>
    </xf>
    <xf numFmtId="0" fontId="50" fillId="0" borderId="60" xfId="0" applyFont="1" applyFill="1" applyBorder="1" applyAlignment="1">
      <alignment horizontal="center" vertical="center" textRotation="90" wrapText="1"/>
    </xf>
    <xf numFmtId="0" fontId="50" fillId="0" borderId="30" xfId="0" applyFont="1" applyFill="1" applyBorder="1" applyAlignment="1">
      <alignment horizontal="center" vertical="center" textRotation="90" wrapText="1"/>
    </xf>
    <xf numFmtId="0" fontId="48" fillId="0" borderId="25" xfId="0" applyFont="1" applyFill="1" applyBorder="1" applyAlignment="1">
      <alignment horizontal="center" vertical="center" wrapText="1"/>
    </xf>
    <xf numFmtId="0" fontId="49" fillId="13" borderId="14" xfId="0" applyFont="1" applyFill="1" applyBorder="1" applyAlignment="1">
      <alignment horizontal="center" vertical="center" wrapText="1"/>
    </xf>
    <xf numFmtId="0" fontId="49" fillId="13" borderId="15" xfId="0" applyFont="1" applyFill="1" applyBorder="1" applyAlignment="1">
      <alignment horizontal="center" vertical="center" wrapText="1"/>
    </xf>
    <xf numFmtId="0" fontId="49" fillId="13" borderId="42" xfId="0" applyFont="1" applyFill="1" applyBorder="1" applyAlignment="1">
      <alignment horizontal="center" vertical="center" textRotation="90" wrapText="1"/>
    </xf>
    <xf numFmtId="0" fontId="49" fillId="13" borderId="44" xfId="0" applyFont="1" applyFill="1" applyBorder="1" applyAlignment="1">
      <alignment horizontal="center" vertical="center" textRotation="90" wrapText="1"/>
    </xf>
    <xf numFmtId="0" fontId="49" fillId="13" borderId="50" xfId="0" applyFont="1" applyFill="1" applyBorder="1" applyAlignment="1">
      <alignment horizontal="center" vertical="center" textRotation="90" wrapText="1"/>
    </xf>
    <xf numFmtId="0" fontId="30" fillId="12" borderId="19" xfId="0" applyFont="1" applyFill="1" applyBorder="1" applyAlignment="1">
      <alignment horizontal="center" vertical="center" wrapText="1"/>
    </xf>
    <xf numFmtId="0" fontId="30" fillId="12" borderId="20" xfId="0" applyFont="1" applyFill="1" applyBorder="1" applyAlignment="1">
      <alignment horizontal="center" vertical="center" wrapText="1"/>
    </xf>
    <xf numFmtId="0" fontId="49" fillId="13" borderId="60" xfId="0" applyFont="1" applyFill="1" applyBorder="1" applyAlignment="1">
      <alignment horizontal="center" vertical="center" textRotation="90" wrapText="1"/>
    </xf>
    <xf numFmtId="0" fontId="0" fillId="0" borderId="60" xfId="0" applyBorder="1"/>
    <xf numFmtId="0" fontId="0" fillId="0" borderId="30" xfId="0" applyBorder="1"/>
    <xf numFmtId="0" fontId="49" fillId="13" borderId="30" xfId="0" applyFont="1" applyFill="1" applyBorder="1" applyAlignment="1">
      <alignment horizontal="center" vertical="center" textRotation="90" wrapText="1"/>
    </xf>
    <xf numFmtId="0" fontId="49" fillId="13" borderId="16" xfId="0" applyFont="1" applyFill="1" applyBorder="1" applyAlignment="1">
      <alignment horizontal="center" vertical="center" textRotation="90" wrapText="1"/>
    </xf>
    <xf numFmtId="0" fontId="49" fillId="13" borderId="37" xfId="0" applyFont="1" applyFill="1" applyBorder="1" applyAlignment="1">
      <alignment horizontal="center" vertical="center" textRotation="90" wrapText="1"/>
    </xf>
    <xf numFmtId="0" fontId="49" fillId="13" borderId="24" xfId="0" applyFont="1" applyFill="1" applyBorder="1" applyAlignment="1">
      <alignment horizontal="center" vertical="center" textRotation="90" wrapText="1"/>
    </xf>
    <xf numFmtId="0" fontId="49" fillId="13" borderId="18" xfId="0" applyFont="1" applyFill="1" applyBorder="1" applyAlignment="1">
      <alignment horizontal="center" vertical="center" textRotation="90" wrapText="1"/>
    </xf>
    <xf numFmtId="0" fontId="49" fillId="13" borderId="21" xfId="0" applyFont="1" applyFill="1" applyBorder="1" applyAlignment="1">
      <alignment horizontal="center" vertical="center" textRotation="90" wrapText="1"/>
    </xf>
    <xf numFmtId="0" fontId="30" fillId="12" borderId="47" xfId="0" applyFont="1" applyFill="1" applyBorder="1" applyAlignment="1">
      <alignment horizontal="center" vertical="center" wrapText="1"/>
    </xf>
    <xf numFmtId="0" fontId="30" fillId="12" borderId="22" xfId="0" applyFont="1" applyFill="1" applyBorder="1" applyAlignment="1">
      <alignment horizontal="center" vertical="center" wrapText="1"/>
    </xf>
    <xf numFmtId="0" fontId="30" fillId="12" borderId="48" xfId="0" applyFont="1" applyFill="1" applyBorder="1" applyAlignment="1">
      <alignment horizontal="center" vertical="center" wrapText="1"/>
    </xf>
    <xf numFmtId="0" fontId="32" fillId="13" borderId="1" xfId="0" applyFont="1" applyFill="1" applyBorder="1" applyAlignment="1">
      <alignment horizontal="center" vertical="center" wrapText="1"/>
    </xf>
    <xf numFmtId="0" fontId="32" fillId="13" borderId="13" xfId="0" applyFont="1" applyFill="1" applyBorder="1" applyAlignment="1">
      <alignment horizontal="center" vertical="center" wrapText="1"/>
    </xf>
    <xf numFmtId="0" fontId="34" fillId="13" borderId="15" xfId="0" applyFont="1" applyFill="1" applyBorder="1" applyAlignment="1">
      <alignment horizontal="center" vertical="top" wrapText="1"/>
    </xf>
    <xf numFmtId="0" fontId="34" fillId="13" borderId="3" xfId="0" applyFont="1" applyFill="1" applyBorder="1" applyAlignment="1">
      <alignment horizontal="center" vertical="top" wrapText="1"/>
    </xf>
    <xf numFmtId="0" fontId="30" fillId="14" borderId="14" xfId="0" applyFont="1" applyFill="1" applyBorder="1" applyAlignment="1">
      <alignment horizontal="center" vertical="top" wrapText="1"/>
    </xf>
    <xf numFmtId="0" fontId="30" fillId="14" borderId="15" xfId="0" applyFont="1" applyFill="1" applyBorder="1" applyAlignment="1">
      <alignment horizontal="center" vertical="top" wrapText="1"/>
    </xf>
    <xf numFmtId="0" fontId="35" fillId="13" borderId="1" xfId="0" applyFont="1" applyFill="1" applyBorder="1" applyAlignment="1">
      <alignment horizontal="center" vertical="top" wrapText="1"/>
    </xf>
    <xf numFmtId="0" fontId="35" fillId="13" borderId="5" xfId="0" applyFont="1" applyFill="1" applyBorder="1" applyAlignment="1">
      <alignment horizontal="center" vertical="top" wrapText="1"/>
    </xf>
    <xf numFmtId="0" fontId="29" fillId="0" borderId="16" xfId="0" applyFont="1" applyFill="1" applyBorder="1" applyAlignment="1">
      <alignment horizontal="center" vertical="center" wrapText="1"/>
    </xf>
    <xf numFmtId="0" fontId="50" fillId="0" borderId="21" xfId="0" applyFont="1" applyFill="1" applyBorder="1" applyAlignment="1">
      <alignment horizontal="center" vertical="center" textRotation="90" wrapText="1"/>
    </xf>
    <xf numFmtId="0" fontId="51" fillId="0" borderId="37" xfId="0" applyFont="1" applyBorder="1" applyAlignment="1">
      <alignment horizontal="center" vertical="center" textRotation="90" wrapText="1"/>
    </xf>
    <xf numFmtId="0" fontId="51" fillId="0" borderId="60" xfId="0" applyFont="1" applyBorder="1" applyAlignment="1">
      <alignment horizontal="center" vertical="center" textRotation="90" wrapText="1"/>
    </xf>
    <xf numFmtId="0" fontId="51" fillId="0" borderId="30" xfId="0" applyFont="1" applyBorder="1" applyAlignment="1">
      <alignment horizontal="center" vertical="center" textRotation="90" wrapText="1"/>
    </xf>
    <xf numFmtId="0" fontId="52" fillId="0" borderId="21" xfId="0" applyFont="1" applyFill="1" applyBorder="1" applyAlignment="1">
      <alignment horizontal="center" vertical="center" textRotation="90" wrapText="1"/>
    </xf>
    <xf numFmtId="0" fontId="52" fillId="0" borderId="27" xfId="0" applyFont="1" applyFill="1" applyBorder="1" applyAlignment="1">
      <alignment horizontal="center" vertical="center" textRotation="90" wrapText="1"/>
    </xf>
    <xf numFmtId="0" fontId="35" fillId="13" borderId="14" xfId="6" applyFont="1" applyFill="1" applyBorder="1" applyAlignment="1">
      <alignment horizontal="justify" vertical="top" wrapText="1"/>
    </xf>
    <xf numFmtId="0" fontId="35" fillId="13" borderId="15" xfId="6" applyFont="1" applyFill="1" applyBorder="1" applyAlignment="1">
      <alignment horizontal="justify" vertical="top" wrapText="1"/>
    </xf>
    <xf numFmtId="0" fontId="35" fillId="13" borderId="7" xfId="6" applyFont="1" applyFill="1" applyBorder="1" applyAlignment="1">
      <alignment horizontal="justify" vertical="top" wrapText="1"/>
    </xf>
    <xf numFmtId="0" fontId="51" fillId="0" borderId="16" xfId="0" applyFont="1" applyFill="1" applyBorder="1" applyAlignment="1">
      <alignment horizontal="center" vertical="center" textRotation="90" wrapText="1"/>
    </xf>
    <xf numFmtId="0" fontId="51" fillId="0" borderId="20" xfId="0" applyFont="1" applyFill="1" applyBorder="1" applyAlignment="1">
      <alignment horizontal="center" vertical="center" textRotation="90" wrapText="1"/>
    </xf>
    <xf numFmtId="0" fontId="63" fillId="0" borderId="22" xfId="0" applyFont="1" applyFill="1" applyBorder="1" applyAlignment="1">
      <alignment horizontal="center" vertical="center" textRotation="90" wrapText="1"/>
    </xf>
    <xf numFmtId="0" fontId="63" fillId="0" borderId="0" xfId="0" applyFont="1" applyFill="1" applyBorder="1" applyAlignment="1">
      <alignment horizontal="center" vertical="center" textRotation="90" wrapText="1"/>
    </xf>
    <xf numFmtId="0" fontId="63" fillId="0" borderId="28" xfId="0" applyFont="1" applyFill="1" applyBorder="1" applyAlignment="1">
      <alignment horizontal="center" vertical="center" textRotation="90" wrapText="1"/>
    </xf>
    <xf numFmtId="0" fontId="63" fillId="0" borderId="26" xfId="0" applyFont="1" applyFill="1" applyBorder="1" applyAlignment="1">
      <alignment horizontal="center" vertical="center" textRotation="90" wrapText="1"/>
    </xf>
    <xf numFmtId="0" fontId="35" fillId="13" borderId="40" xfId="0" applyFont="1" applyFill="1" applyBorder="1" applyAlignment="1">
      <alignment horizontal="left" vertical="top" wrapText="1"/>
    </xf>
    <xf numFmtId="0" fontId="35" fillId="13" borderId="65" xfId="0" applyFont="1" applyFill="1" applyBorder="1" applyAlignment="1">
      <alignment horizontal="left" vertical="top" wrapText="1"/>
    </xf>
    <xf numFmtId="0" fontId="35" fillId="13" borderId="73" xfId="0" applyFont="1" applyFill="1" applyBorder="1" applyAlignment="1">
      <alignment horizontal="left" vertical="top" wrapText="1"/>
    </xf>
    <xf numFmtId="0" fontId="35" fillId="13" borderId="49" xfId="0" applyFont="1" applyFill="1" applyBorder="1" applyAlignment="1">
      <alignment horizontal="justify" vertical="top" wrapText="1"/>
    </xf>
    <xf numFmtId="0" fontId="35" fillId="13" borderId="51" xfId="0" applyFont="1" applyFill="1" applyBorder="1" applyAlignment="1">
      <alignment horizontal="justify" vertical="top" wrapText="1"/>
    </xf>
    <xf numFmtId="0" fontId="35" fillId="13" borderId="74" xfId="0" applyFont="1" applyFill="1" applyBorder="1" applyAlignment="1">
      <alignment horizontal="justify" vertical="top" wrapText="1"/>
    </xf>
    <xf numFmtId="0" fontId="46" fillId="0" borderId="27" xfId="0" applyFont="1" applyFill="1" applyBorder="1" applyAlignment="1">
      <alignment horizontal="center" vertical="center" textRotation="90" wrapText="1"/>
    </xf>
    <xf numFmtId="0" fontId="46" fillId="0" borderId="24" xfId="0" applyFont="1" applyFill="1" applyBorder="1" applyAlignment="1">
      <alignment horizontal="center" vertical="center" textRotation="90" wrapText="1"/>
    </xf>
    <xf numFmtId="0" fontId="64" fillId="0" borderId="16" xfId="0" applyFont="1" applyFill="1" applyBorder="1" applyAlignment="1">
      <alignment horizontal="center" vertical="center" textRotation="90" wrapText="1"/>
    </xf>
    <xf numFmtId="0" fontId="35" fillId="0" borderId="16" xfId="0" applyFont="1" applyFill="1" applyBorder="1" applyAlignment="1">
      <alignment horizontal="center" vertical="center"/>
    </xf>
    <xf numFmtId="0" fontId="35" fillId="0" borderId="21" xfId="0" applyFont="1" applyFill="1" applyBorder="1" applyAlignment="1">
      <alignment horizontal="center" vertical="center" textRotation="90" wrapText="1"/>
    </xf>
    <xf numFmtId="0" fontId="35" fillId="0" borderId="27" xfId="0" applyFont="1" applyFill="1" applyBorder="1" applyAlignment="1">
      <alignment horizontal="center" vertical="center" textRotation="90" wrapText="1"/>
    </xf>
    <xf numFmtId="0" fontId="35" fillId="0" borderId="60" xfId="0" applyFont="1" applyFill="1" applyBorder="1" applyAlignment="1">
      <alignment horizontal="center" vertical="center" textRotation="90" wrapText="1"/>
    </xf>
    <xf numFmtId="0" fontId="35" fillId="0" borderId="30" xfId="0" applyFont="1" applyFill="1" applyBorder="1" applyAlignment="1">
      <alignment horizontal="center" vertical="center" textRotation="90" wrapText="1"/>
    </xf>
    <xf numFmtId="0" fontId="35" fillId="13" borderId="2" xfId="0" applyFont="1" applyFill="1" applyBorder="1" applyAlignment="1">
      <alignment horizontal="left" vertical="center"/>
    </xf>
    <xf numFmtId="0" fontId="35" fillId="13" borderId="3" xfId="0" applyFont="1" applyFill="1" applyBorder="1" applyAlignment="1">
      <alignment horizontal="left" vertical="center"/>
    </xf>
    <xf numFmtId="0" fontId="67" fillId="13" borderId="14" xfId="0" applyFont="1" applyFill="1" applyBorder="1" applyAlignment="1">
      <alignment horizontal="left" vertical="center" wrapText="1"/>
    </xf>
    <xf numFmtId="0" fontId="67" fillId="13" borderId="15" xfId="0" applyFont="1" applyFill="1" applyBorder="1" applyAlignment="1">
      <alignment horizontal="left" vertical="center" wrapText="1"/>
    </xf>
    <xf numFmtId="0" fontId="67" fillId="13" borderId="7" xfId="0" applyFont="1" applyFill="1" applyBorder="1" applyAlignment="1">
      <alignment horizontal="left" vertical="center" wrapText="1"/>
    </xf>
    <xf numFmtId="0" fontId="29" fillId="11" borderId="0" xfId="5" applyFont="1" applyFill="1" applyAlignment="1">
      <alignment horizontal="center" vertical="center" wrapText="1"/>
    </xf>
    <xf numFmtId="0" fontId="65" fillId="0" borderId="27" xfId="0" applyFont="1" applyBorder="1" applyAlignment="1">
      <alignment horizontal="center" vertical="center" textRotation="90" wrapText="1"/>
    </xf>
    <xf numFmtId="0" fontId="65" fillId="0" borderId="66" xfId="0" applyFont="1" applyBorder="1" applyAlignment="1">
      <alignment horizontal="center" vertical="center" textRotation="90" wrapText="1"/>
    </xf>
    <xf numFmtId="0" fontId="65" fillId="0" borderId="0" xfId="0" applyFont="1" applyBorder="1" applyAlignment="1">
      <alignment horizontal="center" vertical="center" textRotation="90" wrapText="1"/>
    </xf>
    <xf numFmtId="0" fontId="65" fillId="0" borderId="28" xfId="0" applyFont="1" applyBorder="1" applyAlignment="1">
      <alignment horizontal="center" vertical="center" textRotation="90" wrapText="1"/>
    </xf>
    <xf numFmtId="0" fontId="65" fillId="0" borderId="67" xfId="0" applyFont="1" applyBorder="1" applyAlignment="1">
      <alignment horizontal="center" vertical="center" textRotation="90" wrapText="1"/>
    </xf>
    <xf numFmtId="0" fontId="35" fillId="0" borderId="23" xfId="0" applyFont="1" applyFill="1" applyBorder="1" applyAlignment="1">
      <alignment horizontal="center" vertical="center" textRotation="90" wrapText="1"/>
    </xf>
    <xf numFmtId="0" fontId="35" fillId="0" borderId="28" xfId="0" applyFont="1" applyFill="1" applyBorder="1" applyAlignment="1">
      <alignment horizontal="center" vertical="center" textRotation="90" wrapText="1"/>
    </xf>
    <xf numFmtId="0" fontId="35" fillId="13" borderId="18" xfId="0" applyFont="1" applyFill="1" applyBorder="1" applyAlignment="1">
      <alignment horizontal="center" vertical="center" textRotation="90" wrapText="1"/>
    </xf>
    <xf numFmtId="0" fontId="35" fillId="13" borderId="16" xfId="0" applyFont="1" applyFill="1" applyBorder="1" applyAlignment="1">
      <alignment horizontal="center" vertical="center" textRotation="90" wrapText="1"/>
    </xf>
    <xf numFmtId="0" fontId="35" fillId="13" borderId="37" xfId="0" applyFont="1" applyFill="1" applyBorder="1" applyAlignment="1">
      <alignment horizontal="center" vertical="center" textRotation="90" wrapText="1"/>
    </xf>
    <xf numFmtId="0" fontId="35" fillId="13" borderId="2" xfId="0" applyFont="1" applyFill="1" applyBorder="1" applyAlignment="1">
      <alignment horizontal="left" vertical="center" wrapText="1"/>
    </xf>
    <xf numFmtId="0" fontId="35" fillId="13" borderId="3" xfId="0" applyFont="1" applyFill="1" applyBorder="1" applyAlignment="1">
      <alignment horizontal="left" vertical="center" wrapText="1"/>
    </xf>
    <xf numFmtId="0" fontId="35" fillId="13" borderId="64" xfId="0" applyFont="1" applyFill="1" applyBorder="1" applyAlignment="1">
      <alignment horizontal="left" vertical="center" wrapText="1"/>
    </xf>
    <xf numFmtId="2" fontId="35" fillId="29" borderId="14" xfId="0" applyNumberFormat="1" applyFont="1" applyFill="1" applyBorder="1" applyAlignment="1">
      <alignment horizontal="left" vertical="top" wrapText="1"/>
    </xf>
    <xf numFmtId="2" fontId="35" fillId="29" borderId="15" xfId="0" applyNumberFormat="1" applyFont="1" applyFill="1" applyBorder="1" applyAlignment="1">
      <alignment horizontal="left" vertical="top" wrapText="1"/>
    </xf>
    <xf numFmtId="2" fontId="35" fillId="29" borderId="7" xfId="0" applyNumberFormat="1" applyFont="1" applyFill="1" applyBorder="1" applyAlignment="1">
      <alignment horizontal="left" vertical="top" wrapText="1"/>
    </xf>
    <xf numFmtId="0" fontId="35" fillId="13" borderId="14" xfId="0" applyNumberFormat="1" applyFont="1" applyFill="1" applyBorder="1" applyAlignment="1">
      <alignment horizontal="left" vertical="top" wrapText="1"/>
    </xf>
    <xf numFmtId="0" fontId="35" fillId="13" borderId="15" xfId="0" applyNumberFormat="1" applyFont="1" applyFill="1" applyBorder="1" applyAlignment="1">
      <alignment horizontal="left" vertical="top" wrapText="1"/>
    </xf>
    <xf numFmtId="0" fontId="63" fillId="0" borderId="37" xfId="0" applyFont="1" applyFill="1" applyBorder="1" applyAlignment="1">
      <alignment horizontal="center" vertical="center" textRotation="90" wrapText="1"/>
    </xf>
    <xf numFmtId="0" fontId="63" fillId="0" borderId="60" xfId="0" applyFont="1" applyFill="1" applyBorder="1" applyAlignment="1">
      <alignment horizontal="center" vertical="center" textRotation="90" wrapText="1"/>
    </xf>
    <xf numFmtId="0" fontId="63" fillId="0" borderId="30" xfId="0" applyFont="1" applyFill="1" applyBorder="1" applyAlignment="1">
      <alignment horizontal="center" vertical="center" textRotation="90" wrapText="1"/>
    </xf>
    <xf numFmtId="0" fontId="37" fillId="11" borderId="11" xfId="5" applyFont="1" applyFill="1" applyBorder="1" applyAlignment="1">
      <alignment horizontal="center" vertical="center"/>
    </xf>
    <xf numFmtId="0" fontId="37" fillId="13" borderId="2" xfId="5" applyFont="1" applyFill="1" applyBorder="1" applyAlignment="1">
      <alignment horizontal="center" vertical="center" wrapText="1"/>
    </xf>
    <xf numFmtId="0" fontId="37" fillId="13" borderId="52" xfId="5" applyFont="1" applyFill="1" applyBorder="1" applyAlignment="1">
      <alignment horizontal="center" vertical="center" wrapText="1"/>
    </xf>
    <xf numFmtId="0" fontId="37" fillId="13" borderId="14" xfId="5" applyFont="1" applyFill="1" applyBorder="1" applyAlignment="1">
      <alignment horizontal="center" vertical="center" wrapText="1"/>
    </xf>
    <xf numFmtId="0" fontId="37" fillId="13" borderId="7" xfId="5" applyFont="1" applyFill="1" applyBorder="1" applyAlignment="1">
      <alignment horizontal="center" vertical="center" wrapText="1"/>
    </xf>
    <xf numFmtId="0" fontId="29" fillId="11" borderId="14" xfId="0" applyFont="1" applyFill="1" applyBorder="1" applyAlignment="1">
      <alignment horizontal="center" vertical="center" wrapText="1"/>
    </xf>
    <xf numFmtId="0" fontId="29" fillId="11" borderId="15"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30" fillId="12" borderId="14" xfId="0" applyFont="1" applyFill="1" applyBorder="1" applyAlignment="1">
      <alignment horizontal="left" vertical="center" wrapText="1"/>
    </xf>
    <xf numFmtId="0" fontId="30" fillId="12" borderId="15" xfId="0" applyFont="1" applyFill="1" applyBorder="1" applyAlignment="1">
      <alignment horizontal="left" vertical="center" wrapText="1"/>
    </xf>
    <xf numFmtId="0" fontId="30" fillId="12" borderId="7" xfId="0" applyFont="1" applyFill="1" applyBorder="1" applyAlignment="1">
      <alignment horizontal="left" vertical="center" wrapText="1"/>
    </xf>
    <xf numFmtId="0" fontId="30" fillId="12" borderId="14" xfId="5" applyFont="1" applyFill="1" applyBorder="1" applyAlignment="1">
      <alignment horizontal="left" vertical="center" wrapText="1"/>
    </xf>
    <xf numFmtId="0" fontId="30" fillId="12" borderId="15" xfId="5" applyFont="1" applyFill="1" applyBorder="1" applyAlignment="1">
      <alignment horizontal="left" vertical="center" wrapText="1"/>
    </xf>
    <xf numFmtId="0" fontId="30" fillId="12" borderId="14" xfId="5" applyFont="1" applyFill="1" applyBorder="1" applyAlignment="1">
      <alignment horizontal="center" vertical="center" wrapText="1"/>
    </xf>
    <xf numFmtId="0" fontId="30" fillId="12" borderId="15" xfId="5" applyFont="1" applyFill="1" applyBorder="1" applyAlignment="1">
      <alignment horizontal="center" vertical="center" wrapText="1"/>
    </xf>
    <xf numFmtId="0" fontId="30" fillId="12" borderId="7" xfId="5" applyFont="1" applyFill="1" applyBorder="1" applyAlignment="1">
      <alignment horizontal="center" vertical="center" wrapText="1"/>
    </xf>
    <xf numFmtId="0" fontId="14" fillId="6" borderId="18" xfId="3" applyNumberFormat="1" applyFont="1" applyFill="1" applyBorder="1" applyAlignment="1" applyProtection="1">
      <alignment horizontal="justify" vertical="top" wrapText="1"/>
      <protection hidden="1"/>
    </xf>
    <xf numFmtId="0" fontId="14" fillId="6" borderId="19" xfId="3" applyNumberFormat="1" applyFont="1" applyFill="1" applyBorder="1" applyAlignment="1" applyProtection="1">
      <alignment horizontal="justify" vertical="top" wrapText="1"/>
      <protection hidden="1"/>
    </xf>
    <xf numFmtId="0" fontId="14" fillId="6" borderId="20" xfId="3" applyNumberFormat="1" applyFont="1" applyFill="1" applyBorder="1" applyAlignment="1" applyProtection="1">
      <alignment horizontal="justify" vertical="top" wrapText="1"/>
      <protection hidden="1"/>
    </xf>
    <xf numFmtId="0" fontId="7" fillId="0" borderId="75" xfId="0" applyFont="1" applyBorder="1" applyAlignment="1" applyProtection="1">
      <alignment horizontal="center" vertical="top"/>
    </xf>
    <xf numFmtId="0" fontId="7" fillId="0" borderId="65" xfId="0" applyFont="1" applyBorder="1" applyAlignment="1" applyProtection="1">
      <alignment horizontal="center" vertical="top"/>
    </xf>
    <xf numFmtId="0" fontId="7" fillId="0" borderId="76" xfId="0" applyFont="1" applyBorder="1" applyAlignment="1" applyProtection="1">
      <alignment horizontal="center" vertical="top"/>
    </xf>
    <xf numFmtId="0" fontId="7" fillId="6" borderId="18" xfId="3" applyNumberFormat="1" applyFont="1" applyFill="1" applyBorder="1" applyAlignment="1" applyProtection="1">
      <alignment horizontal="center" vertical="top" wrapText="1"/>
    </xf>
    <xf numFmtId="0" fontId="7" fillId="6" borderId="20" xfId="3" applyNumberFormat="1" applyFont="1" applyFill="1" applyBorder="1" applyAlignment="1" applyProtection="1">
      <alignment horizontal="center" vertical="top" wrapText="1"/>
    </xf>
    <xf numFmtId="0" fontId="7" fillId="6" borderId="18" xfId="3" applyNumberFormat="1" applyFont="1" applyFill="1" applyBorder="1" applyAlignment="1" applyProtection="1">
      <alignment horizontal="center" vertical="center" wrapText="1"/>
    </xf>
    <xf numFmtId="0" fontId="7" fillId="6" borderId="20" xfId="3" applyNumberFormat="1" applyFont="1" applyFill="1" applyBorder="1" applyAlignment="1" applyProtection="1">
      <alignment horizontal="center" vertical="center" wrapText="1"/>
    </xf>
    <xf numFmtId="0" fontId="7" fillId="6" borderId="18" xfId="3" applyNumberFormat="1" applyFont="1" applyFill="1" applyBorder="1" applyAlignment="1" applyProtection="1">
      <alignment horizontal="center" vertical="top" wrapText="1"/>
      <protection hidden="1"/>
    </xf>
    <xf numFmtId="0" fontId="7" fillId="6" borderId="20" xfId="3" applyNumberFormat="1" applyFont="1" applyFill="1" applyBorder="1" applyAlignment="1" applyProtection="1">
      <alignment horizontal="center" vertical="top" wrapText="1"/>
      <protection hidden="1"/>
    </xf>
    <xf numFmtId="0" fontId="31" fillId="11" borderId="0" xfId="5" applyFill="1" applyAlignment="1">
      <alignment horizontal="center"/>
    </xf>
    <xf numFmtId="0" fontId="41" fillId="0" borderId="0" xfId="0" applyFont="1" applyBorder="1" applyAlignment="1" applyProtection="1">
      <alignment horizontal="center"/>
    </xf>
    <xf numFmtId="0" fontId="41" fillId="0" borderId="0" xfId="0" applyFont="1" applyAlignment="1">
      <alignment horizontal="center"/>
    </xf>
    <xf numFmtId="0" fontId="41" fillId="0" borderId="14" xfId="0" applyFont="1" applyBorder="1" applyAlignment="1" applyProtection="1">
      <alignment horizontal="center"/>
    </xf>
    <xf numFmtId="0" fontId="41" fillId="0" borderId="15" xfId="0" applyFont="1" applyBorder="1" applyAlignment="1" applyProtection="1">
      <alignment horizontal="center"/>
    </xf>
    <xf numFmtId="0" fontId="41" fillId="0" borderId="7" xfId="0" applyFont="1" applyBorder="1" applyAlignment="1" applyProtection="1">
      <alignment horizontal="center"/>
    </xf>
    <xf numFmtId="0" fontId="46" fillId="0" borderId="14" xfId="0" applyFont="1" applyBorder="1" applyAlignment="1" applyProtection="1">
      <alignment horizontal="center" vertical="top" wrapText="1"/>
    </xf>
    <xf numFmtId="0" fontId="46" fillId="0" borderId="15" xfId="0" applyFont="1" applyBorder="1" applyAlignment="1" applyProtection="1">
      <alignment horizontal="center" vertical="top" wrapText="1"/>
    </xf>
    <xf numFmtId="0" fontId="46" fillId="0" borderId="7" xfId="0" applyFont="1" applyBorder="1" applyAlignment="1" applyProtection="1">
      <alignment horizontal="center" vertical="top" wrapText="1"/>
    </xf>
    <xf numFmtId="0" fontId="41" fillId="11" borderId="0" xfId="5" applyFont="1" applyFill="1" applyBorder="1" applyAlignment="1">
      <alignment horizontal="center" vertical="center"/>
    </xf>
    <xf numFmtId="0" fontId="41" fillId="0" borderId="11" xfId="0" applyFont="1" applyBorder="1" applyAlignment="1">
      <alignment horizontal="center"/>
    </xf>
    <xf numFmtId="0" fontId="46" fillId="0" borderId="1" xfId="0" applyFont="1" applyBorder="1" applyAlignment="1" applyProtection="1">
      <alignment horizontal="center" vertical="center" wrapText="1"/>
    </xf>
    <xf numFmtId="0" fontId="46" fillId="0" borderId="5" xfId="0" applyFont="1" applyBorder="1" applyAlignment="1" applyProtection="1">
      <alignment horizontal="center" vertical="center" wrapText="1"/>
    </xf>
    <xf numFmtId="0" fontId="4" fillId="0" borderId="0" xfId="0" applyFont="1" applyBorder="1" applyAlignment="1" applyProtection="1">
      <alignment horizontal="right" vertical="top" wrapText="1"/>
    </xf>
    <xf numFmtId="0" fontId="0" fillId="0" borderId="27"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6" xfId="0"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8" xfId="0" applyFont="1" applyBorder="1" applyAlignment="1" applyProtection="1">
      <alignment vertical="top"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3" fillId="0" borderId="9"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6" fillId="0" borderId="10" xfId="0" applyFont="1" applyBorder="1" applyAlignment="1" applyProtection="1">
      <alignment vertical="top" wrapText="1"/>
    </xf>
    <xf numFmtId="0" fontId="6" fillId="0" borderId="11" xfId="0" applyFont="1" applyBorder="1" applyAlignment="1" applyProtection="1">
      <alignment vertical="top" wrapText="1"/>
    </xf>
    <xf numFmtId="0" fontId="6" fillId="0" borderId="8" xfId="0" applyFont="1" applyBorder="1" applyAlignment="1" applyProtection="1">
      <alignment vertical="top" wrapText="1"/>
    </xf>
    <xf numFmtId="0" fontId="4" fillId="0" borderId="1" xfId="0" applyFont="1" applyBorder="1" applyAlignment="1" applyProtection="1">
      <alignment vertical="top" wrapText="1"/>
    </xf>
    <xf numFmtId="0" fontId="4" fillId="0" borderId="5" xfId="0" applyFont="1" applyBorder="1" applyAlignment="1" applyProtection="1">
      <alignment vertical="top" wrapText="1"/>
    </xf>
    <xf numFmtId="0" fontId="4" fillId="0" borderId="13" xfId="0" applyFont="1" applyBorder="1" applyAlignment="1" applyProtection="1">
      <alignment vertical="top" wrapText="1"/>
    </xf>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0" fontId="4" fillId="0" borderId="7"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pplyProtection="1">
      <alignment horizontal="right" vertical="top"/>
    </xf>
    <xf numFmtId="9" fontId="4" fillId="4" borderId="7" xfId="0" applyNumberFormat="1" applyFont="1" applyFill="1" applyBorder="1" applyAlignment="1" applyProtection="1">
      <alignment horizontal="right" vertical="top"/>
    </xf>
    <xf numFmtId="9" fontId="3" fillId="0" borderId="2" xfId="0" applyNumberFormat="1" applyFont="1" applyFill="1" applyBorder="1" applyAlignment="1" applyProtection="1">
      <alignment vertical="top" wrapText="1"/>
    </xf>
    <xf numFmtId="9" fontId="3" fillId="0" borderId="3" xfId="0" applyNumberFormat="1" applyFont="1" applyFill="1" applyBorder="1" applyAlignment="1" applyProtection="1">
      <alignment vertical="top" wrapText="1"/>
    </xf>
    <xf numFmtId="9" fontId="3" fillId="0" borderId="4" xfId="0" applyNumberFormat="1" applyFont="1" applyFill="1" applyBorder="1" applyAlignment="1" applyProtection="1">
      <alignment vertical="top"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9" fillId="0" borderId="9" xfId="0" applyFont="1" applyBorder="1" applyAlignment="1" applyProtection="1">
      <alignment vertical="top" wrapText="1"/>
    </xf>
    <xf numFmtId="0" fontId="9" fillId="0" borderId="0" xfId="0" applyFont="1" applyBorder="1" applyAlignment="1" applyProtection="1">
      <alignment vertical="top" wrapText="1"/>
    </xf>
    <xf numFmtId="0" fontId="9" fillId="0" borderId="6" xfId="0" applyFont="1" applyBorder="1" applyAlignment="1" applyProtection="1">
      <alignment vertical="top" wrapText="1"/>
    </xf>
    <xf numFmtId="0" fontId="0" fillId="0" borderId="0" xfId="0" applyAlignment="1" applyProtection="1">
      <alignment vertical="top" wrapText="1"/>
    </xf>
    <xf numFmtId="0" fontId="4" fillId="0" borderId="0" xfId="0" applyFont="1" applyAlignment="1" applyProtection="1">
      <alignment vertical="top" wrapText="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0" borderId="0" xfId="0" applyFont="1" applyAlignment="1" applyProtection="1">
      <alignment vertical="top" wrapText="1"/>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17" fontId="4" fillId="0" borderId="14" xfId="0" applyNumberFormat="1" applyFont="1" applyBorder="1" applyAlignment="1" applyProtection="1">
      <alignment vertical="top" wrapText="1"/>
    </xf>
    <xf numFmtId="17" fontId="4" fillId="0" borderId="15" xfId="0" applyNumberFormat="1" applyFont="1" applyBorder="1" applyAlignment="1" applyProtection="1">
      <alignment vertical="top" wrapText="1"/>
    </xf>
    <xf numFmtId="17" fontId="4" fillId="0" borderId="7" xfId="0" applyNumberFormat="1" applyFont="1" applyBorder="1" applyAlignment="1" applyProtection="1">
      <alignment vertical="top" wrapText="1"/>
    </xf>
    <xf numFmtId="0" fontId="3" fillId="0" borderId="14" xfId="0" applyFont="1" applyBorder="1" applyAlignment="1" applyProtection="1">
      <alignment vertical="top" wrapText="1"/>
    </xf>
    <xf numFmtId="0" fontId="3" fillId="0" borderId="7" xfId="0" applyFont="1" applyBorder="1" applyAlignment="1" applyProtection="1">
      <alignment vertical="top"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4" fillId="3" borderId="14" xfId="0" applyFont="1" applyFill="1" applyBorder="1" applyAlignment="1" applyProtection="1">
      <alignment vertical="top"/>
      <protection locked="0"/>
    </xf>
    <xf numFmtId="0" fontId="4" fillId="3" borderId="7" xfId="0" applyFont="1" applyFill="1" applyBorder="1" applyAlignment="1" applyProtection="1">
      <alignment vertical="top"/>
      <protection locked="0"/>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2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1"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29"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1" xfId="0" applyFont="1" applyBorder="1" applyAlignment="1" applyProtection="1">
      <alignment horizontal="center" vertical="top"/>
    </xf>
    <xf numFmtId="0" fontId="4" fillId="0" borderId="13" xfId="0" applyFont="1" applyBorder="1" applyAlignment="1" applyProtection="1">
      <alignment horizontal="center" vertical="top"/>
    </xf>
    <xf numFmtId="0" fontId="26" fillId="0" borderId="9" xfId="0" applyFont="1" applyBorder="1" applyAlignment="1" applyProtection="1">
      <alignment vertical="top" wrapText="1"/>
    </xf>
    <xf numFmtId="0" fontId="26" fillId="0" borderId="0" xfId="0" applyFont="1" applyAlignment="1" applyProtection="1">
      <alignment vertical="top" wrapText="1"/>
    </xf>
    <xf numFmtId="0" fontId="26" fillId="0" borderId="6" xfId="0" applyFont="1" applyBorder="1" applyAlignment="1" applyProtection="1">
      <alignment vertical="top" wrapText="1"/>
    </xf>
    <xf numFmtId="0" fontId="8" fillId="0" borderId="1"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4" fillId="3" borderId="9"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8" fillId="0" borderId="1"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8" fillId="0" borderId="1" xfId="0" applyFont="1" applyBorder="1" applyAlignment="1" applyProtection="1">
      <alignment horizontal="center" vertical="top"/>
    </xf>
    <xf numFmtId="0" fontId="8" fillId="0" borderId="13" xfId="0" applyFont="1" applyBorder="1" applyAlignment="1" applyProtection="1">
      <alignment horizontal="center" vertical="top"/>
    </xf>
    <xf numFmtId="0" fontId="4" fillId="0" borderId="29" xfId="0" applyFont="1" applyBorder="1" applyAlignment="1" applyProtection="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8" fillId="0" borderId="16" xfId="0" applyFont="1" applyBorder="1" applyAlignment="1">
      <alignment horizontal="center" vertical="top" wrapText="1"/>
    </xf>
    <xf numFmtId="0" fontId="4" fillId="0" borderId="7" xfId="0" applyFont="1" applyBorder="1" applyAlignment="1">
      <alignment horizontal="left"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vertical="top"/>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4" fillId="0" borderId="17" xfId="0" applyFont="1" applyBorder="1" applyAlignment="1">
      <alignment vertical="top" wrapText="1"/>
    </xf>
    <xf numFmtId="0" fontId="4" fillId="0" borderId="15" xfId="0" applyFont="1" applyBorder="1" applyAlignment="1">
      <alignment vertical="top"/>
    </xf>
    <xf numFmtId="0" fontId="4" fillId="0" borderId="7" xfId="0" applyFont="1" applyBorder="1" applyAlignment="1">
      <alignment vertical="top"/>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top"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12" fillId="0" borderId="14" xfId="0" applyFont="1" applyBorder="1" applyAlignment="1">
      <alignment horizontal="center" vertical="top" wrapText="1"/>
    </xf>
    <xf numFmtId="0" fontId="12" fillId="0" borderId="15" xfId="0" applyFont="1" applyBorder="1" applyAlignment="1">
      <alignment horizontal="center" vertical="top" wrapText="1"/>
    </xf>
    <xf numFmtId="0" fontId="12" fillId="0" borderId="7" xfId="0" applyFont="1" applyBorder="1" applyAlignment="1">
      <alignment horizontal="center" vertical="top" wrapText="1"/>
    </xf>
    <xf numFmtId="0" fontId="4" fillId="3" borderId="1"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justify" vertical="top" wrapText="1"/>
      <protection locked="0"/>
    </xf>
    <xf numFmtId="0" fontId="4" fillId="3" borderId="13" xfId="0" applyFont="1" applyFill="1" applyBorder="1" applyAlignment="1" applyProtection="1">
      <alignment horizontal="justify" vertical="top" wrapText="1"/>
      <protection locked="0"/>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4" fillId="0" borderId="29" xfId="0" applyFont="1" applyBorder="1" applyAlignment="1">
      <alignment horizontal="center" vertical="center" wrapText="1"/>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8" fillId="3" borderId="58" xfId="0" applyFont="1" applyFill="1" applyBorder="1" applyAlignment="1" applyProtection="1">
      <alignment horizontal="center" vertical="center" wrapText="1"/>
      <protection locked="0"/>
    </xf>
    <xf numFmtId="0" fontId="8" fillId="3" borderId="79"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3" fillId="0" borderId="4"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12" fillId="0" borderId="9" xfId="0" applyFont="1" applyBorder="1" applyAlignment="1" applyProtection="1">
      <alignment vertical="top" wrapText="1"/>
    </xf>
    <xf numFmtId="0" fontId="12" fillId="0" borderId="0" xfId="0" applyFont="1" applyAlignment="1" applyProtection="1">
      <alignment vertical="top" wrapText="1"/>
    </xf>
    <xf numFmtId="0" fontId="12" fillId="0" borderId="6" xfId="0" applyFont="1" applyBorder="1" applyAlignment="1" applyProtection="1">
      <alignment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4" fillId="0" borderId="0" xfId="0" applyFont="1" applyBorder="1" applyAlignment="1">
      <alignment vertical="top" wrapText="1"/>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3" xfId="0" applyFont="1" applyBorder="1" applyAlignment="1" applyProtection="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14" xfId="0" applyFont="1" applyBorder="1" applyAlignment="1" applyProtection="1">
      <alignment vertical="top"/>
    </xf>
    <xf numFmtId="0" fontId="4" fillId="0" borderId="7" xfId="0" applyFont="1" applyBorder="1" applyAlignment="1" applyProtection="1">
      <alignment vertical="top"/>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22" fillId="0" borderId="14" xfId="0" applyFont="1" applyBorder="1" applyAlignment="1">
      <alignment horizontal="center"/>
    </xf>
    <xf numFmtId="0" fontId="22" fillId="0" borderId="15" xfId="0" applyFont="1" applyBorder="1" applyAlignment="1">
      <alignment horizontal="center"/>
    </xf>
    <xf numFmtId="0" fontId="22" fillId="0" borderId="7" xfId="0" applyFont="1" applyBorder="1" applyAlignment="1">
      <alignment horizontal="center"/>
    </xf>
  </cellXfs>
  <cellStyles count="7">
    <cellStyle name="Buena" xfId="1" builtinId="26"/>
    <cellStyle name="Hipervínculo" xfId="2" builtinId="8"/>
    <cellStyle name="Millares" xfId="4" builtinId="3"/>
    <cellStyle name="Normal" xfId="0" builtinId="0"/>
    <cellStyle name="Normal 2" xfId="5"/>
    <cellStyle name="Normal_ANEXO 4. METAS DEL PLAN" xfId="6"/>
    <cellStyle name="Porcentaje" xfId="3" builtinId="5"/>
  </cellStyles>
  <dxfs count="1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colors>
    <mruColors>
      <color rgb="FFCCFFCC"/>
      <color rgb="FFA9D08E"/>
      <color rgb="FF66FFCC"/>
      <color rgb="FF99FFCC"/>
      <color rgb="FFFFFF99"/>
      <color rgb="FFD4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5-1 Ingresos'!$I$77</c:f>
              <c:strCache>
                <c:ptCount val="1"/>
                <c:pt idx="0">
                  <c:v>Apropiación</c:v>
                </c:pt>
              </c:strCache>
            </c:strRef>
          </c:tx>
          <c:spPr>
            <a:solidFill>
              <a:schemeClr val="accent1"/>
            </a:solidFill>
            <a:ln>
              <a:noFill/>
            </a:ln>
            <a:effectLst/>
            <a:sp3d/>
          </c:spPr>
          <c:invertIfNegative val="0"/>
          <c:cat>
            <c:strRef>
              <c:f>'Anexo 5-1 Ingresos'!$H$78:$H$82</c:f>
              <c:strCache>
                <c:ptCount val="5"/>
                <c:pt idx="0">
                  <c:v>Ingresos Corrientes</c:v>
                </c:pt>
                <c:pt idx="1">
                  <c:v>Recursos de Capital</c:v>
                </c:pt>
                <c:pt idx="2">
                  <c:v>Aportes de La Nación</c:v>
                </c:pt>
                <c:pt idx="3">
                  <c:v>SGR</c:v>
                </c:pt>
                <c:pt idx="4">
                  <c:v>Total Presupuesto</c:v>
                </c:pt>
              </c:strCache>
            </c:strRef>
          </c:cat>
          <c:val>
            <c:numRef>
              <c:f>'Anexo 5-1 Ingresos'!$I$78:$I$82</c:f>
              <c:numCache>
                <c:formatCode>_(* #,##0.00_);_(* \(#,##0.00\);_(* "-"??_);_(@_)</c:formatCode>
                <c:ptCount val="5"/>
                <c:pt idx="0">
                  <c:v>12114975818</c:v>
                </c:pt>
                <c:pt idx="1">
                  <c:v>1404411861</c:v>
                </c:pt>
                <c:pt idx="2">
                  <c:v>6225627278</c:v>
                </c:pt>
                <c:pt idx="3">
                  <c:v>51050367705.879997</c:v>
                </c:pt>
                <c:pt idx="4">
                  <c:v>70795382662.880005</c:v>
                </c:pt>
              </c:numCache>
            </c:numRef>
          </c:val>
          <c:extLst xmlns:c16r2="http://schemas.microsoft.com/office/drawing/2015/06/chart">
            <c:ext xmlns:c16="http://schemas.microsoft.com/office/drawing/2014/chart" uri="{C3380CC4-5D6E-409C-BE32-E72D297353CC}">
              <c16:uniqueId val="{00000000-FC74-48DE-A761-460F47B69F78}"/>
            </c:ext>
          </c:extLst>
        </c:ser>
        <c:ser>
          <c:idx val="1"/>
          <c:order val="1"/>
          <c:tx>
            <c:strRef>
              <c:f>'Anexo 5-1 Ingresos'!$J$77</c:f>
              <c:strCache>
                <c:ptCount val="1"/>
                <c:pt idx="0">
                  <c:v>Recaudo</c:v>
                </c:pt>
              </c:strCache>
            </c:strRef>
          </c:tx>
          <c:spPr>
            <a:solidFill>
              <a:schemeClr val="accent2"/>
            </a:solidFill>
            <a:ln>
              <a:noFill/>
            </a:ln>
            <a:effectLst/>
            <a:sp3d/>
          </c:spPr>
          <c:invertIfNegative val="0"/>
          <c:cat>
            <c:strRef>
              <c:f>'Anexo 5-1 Ingresos'!$H$78:$H$82</c:f>
              <c:strCache>
                <c:ptCount val="5"/>
                <c:pt idx="0">
                  <c:v>Ingresos Corrientes</c:v>
                </c:pt>
                <c:pt idx="1">
                  <c:v>Recursos de Capital</c:v>
                </c:pt>
                <c:pt idx="2">
                  <c:v>Aportes de La Nación</c:v>
                </c:pt>
                <c:pt idx="3">
                  <c:v>SGR</c:v>
                </c:pt>
                <c:pt idx="4">
                  <c:v>Total Presupuesto</c:v>
                </c:pt>
              </c:strCache>
            </c:strRef>
          </c:cat>
          <c:val>
            <c:numRef>
              <c:f>'Anexo 5-1 Ingresos'!$J$78:$J$82</c:f>
              <c:numCache>
                <c:formatCode>_(* #,##0.00_);_(* \(#,##0.00\);_(* "-"??_);_(@_)</c:formatCode>
                <c:ptCount val="5"/>
                <c:pt idx="0">
                  <c:v>6328537699.1400003</c:v>
                </c:pt>
                <c:pt idx="1">
                  <c:v>1274472946.48</c:v>
                </c:pt>
                <c:pt idx="2">
                  <c:v>1307037370</c:v>
                </c:pt>
                <c:pt idx="3">
                  <c:v>51050367705.879997</c:v>
                </c:pt>
                <c:pt idx="4">
                  <c:v>59960415721.5</c:v>
                </c:pt>
              </c:numCache>
            </c:numRef>
          </c:val>
          <c:extLst xmlns:c16r2="http://schemas.microsoft.com/office/drawing/2015/06/chart">
            <c:ext xmlns:c16="http://schemas.microsoft.com/office/drawing/2014/chart" uri="{C3380CC4-5D6E-409C-BE32-E72D297353CC}">
              <c16:uniqueId val="{00000001-FC74-48DE-A761-460F47B69F78}"/>
            </c:ext>
          </c:extLst>
        </c:ser>
        <c:dLbls>
          <c:showLegendKey val="0"/>
          <c:showVal val="0"/>
          <c:showCatName val="0"/>
          <c:showSerName val="0"/>
          <c:showPercent val="0"/>
          <c:showBubbleSize val="0"/>
        </c:dLbls>
        <c:gapWidth val="150"/>
        <c:shape val="box"/>
        <c:axId val="184460416"/>
        <c:axId val="184461952"/>
        <c:axId val="0"/>
      </c:bar3DChart>
      <c:catAx>
        <c:axId val="1844604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461952"/>
        <c:crosses val="autoZero"/>
        <c:auto val="1"/>
        <c:lblAlgn val="ctr"/>
        <c:lblOffset val="100"/>
        <c:noMultiLvlLbl val="0"/>
      </c:catAx>
      <c:valAx>
        <c:axId val="18446195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4460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'Anexo 5-2 Gastos'!$P$22</c:f>
              <c:strCache>
                <c:ptCount val="1"/>
                <c:pt idx="0">
                  <c:v>PRESUPUESTADO</c:v>
                </c:pt>
              </c:strCache>
            </c:strRef>
          </c:tx>
          <c:spPr>
            <a:solidFill>
              <a:schemeClr val="accent1"/>
            </a:solidFill>
            <a:ln>
              <a:noFill/>
            </a:ln>
            <a:effectLst/>
            <a:sp3d/>
          </c:spPr>
          <c:invertIfNegative val="0"/>
          <c:cat>
            <c:strRef>
              <c:f>'Anexo 5-2 Gastos'!$Q$21:$S$21</c:f>
              <c:strCache>
                <c:ptCount val="3"/>
                <c:pt idx="0">
                  <c:v>Funcionamiento</c:v>
                </c:pt>
                <c:pt idx="1">
                  <c:v>Inversion </c:v>
                </c:pt>
                <c:pt idx="2">
                  <c:v>Total</c:v>
                </c:pt>
              </c:strCache>
            </c:strRef>
          </c:cat>
          <c:val>
            <c:numRef>
              <c:f>'Anexo 5-2 Gastos'!$Q$22:$S$22</c:f>
              <c:numCache>
                <c:formatCode>_-* #,##0_-;\-* #,##0_-;_-* "-"??_-;_-@_-</c:formatCode>
                <c:ptCount val="3"/>
                <c:pt idx="0">
                  <c:v>9539281784</c:v>
                </c:pt>
                <c:pt idx="1">
                  <c:v>61256080866</c:v>
                </c:pt>
                <c:pt idx="2">
                  <c:v>70795362650</c:v>
                </c:pt>
              </c:numCache>
            </c:numRef>
          </c:val>
          <c:extLst xmlns:c16r2="http://schemas.microsoft.com/office/drawing/2015/06/chart">
            <c:ext xmlns:c16="http://schemas.microsoft.com/office/drawing/2014/chart" uri="{C3380CC4-5D6E-409C-BE32-E72D297353CC}">
              <c16:uniqueId val="{00000000-BE9F-40B2-8A86-4001FD6A7CCA}"/>
            </c:ext>
          </c:extLst>
        </c:ser>
        <c:ser>
          <c:idx val="1"/>
          <c:order val="1"/>
          <c:tx>
            <c:strRef>
              <c:f>'Anexo 5-2 Gastos'!$P$23</c:f>
              <c:strCache>
                <c:ptCount val="1"/>
                <c:pt idx="0">
                  <c:v>COMPROMETIDO</c:v>
                </c:pt>
              </c:strCache>
            </c:strRef>
          </c:tx>
          <c:spPr>
            <a:solidFill>
              <a:schemeClr val="accent2"/>
            </a:solidFill>
            <a:ln>
              <a:noFill/>
            </a:ln>
            <a:effectLst/>
            <a:sp3d/>
          </c:spPr>
          <c:invertIfNegative val="0"/>
          <c:cat>
            <c:strRef>
              <c:f>'Anexo 5-2 Gastos'!$Q$21:$S$21</c:f>
              <c:strCache>
                <c:ptCount val="3"/>
                <c:pt idx="0">
                  <c:v>Funcionamiento</c:v>
                </c:pt>
                <c:pt idx="1">
                  <c:v>Inversion </c:v>
                </c:pt>
                <c:pt idx="2">
                  <c:v>Total</c:v>
                </c:pt>
              </c:strCache>
            </c:strRef>
          </c:cat>
          <c:val>
            <c:numRef>
              <c:f>'Anexo 5-2 Gastos'!$Q$23:$S$23</c:f>
              <c:numCache>
                <c:formatCode>_-* #,##0_-;\-* #,##0_-;_-* "-"??_-;_-@_-</c:formatCode>
                <c:ptCount val="3"/>
                <c:pt idx="0">
                  <c:v>3642207109</c:v>
                </c:pt>
                <c:pt idx="1">
                  <c:v>12325110007</c:v>
                </c:pt>
                <c:pt idx="2">
                  <c:v>15967317116</c:v>
                </c:pt>
              </c:numCache>
            </c:numRef>
          </c:val>
          <c:extLst xmlns:c16r2="http://schemas.microsoft.com/office/drawing/2015/06/chart">
            <c:ext xmlns:c16="http://schemas.microsoft.com/office/drawing/2014/chart" uri="{C3380CC4-5D6E-409C-BE32-E72D297353CC}">
              <c16:uniqueId val="{00000001-BE9F-40B2-8A86-4001FD6A7CCA}"/>
            </c:ext>
          </c:extLst>
        </c:ser>
        <c:dLbls>
          <c:showLegendKey val="0"/>
          <c:showVal val="0"/>
          <c:showCatName val="0"/>
          <c:showSerName val="0"/>
          <c:showPercent val="0"/>
          <c:showBubbleSize val="0"/>
        </c:dLbls>
        <c:gapWidth val="150"/>
        <c:shape val="box"/>
        <c:axId val="185549952"/>
        <c:axId val="185551488"/>
        <c:axId val="0"/>
      </c:bar3DChart>
      <c:catAx>
        <c:axId val="185549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5551488"/>
        <c:crosses val="autoZero"/>
        <c:auto val="1"/>
        <c:lblAlgn val="ctr"/>
        <c:lblOffset val="100"/>
        <c:noMultiLvlLbl val="0"/>
      </c:catAx>
      <c:valAx>
        <c:axId val="18555148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55499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'Anexo 5-2 Gastos'!$O$55</c:f>
              <c:strCache>
                <c:ptCount val="1"/>
                <c:pt idx="0">
                  <c:v>COMPROMETIDO</c:v>
                </c:pt>
              </c:strCache>
            </c:strRef>
          </c:tx>
          <c:invertIfNegative val="0"/>
          <c:cat>
            <c:strRef>
              <c:f>'Anexo 5-2 Gastos'!$P$54:$R$54</c:f>
              <c:strCache>
                <c:ptCount val="3"/>
                <c:pt idx="0">
                  <c:v>Funcionamiento</c:v>
                </c:pt>
                <c:pt idx="1">
                  <c:v>Inversion </c:v>
                </c:pt>
                <c:pt idx="2">
                  <c:v>Total</c:v>
                </c:pt>
              </c:strCache>
            </c:strRef>
          </c:cat>
          <c:val>
            <c:numRef>
              <c:f>'Anexo 5-2 Gastos'!$P$55:$R$55</c:f>
              <c:numCache>
                <c:formatCode>_-* #,##0_-;\-* #,##0_-;_-* "-"??_-;_-@_-</c:formatCode>
                <c:ptCount val="3"/>
                <c:pt idx="0">
                  <c:v>3642207109</c:v>
                </c:pt>
                <c:pt idx="1">
                  <c:v>12325110007</c:v>
                </c:pt>
                <c:pt idx="2">
                  <c:v>15967317116</c:v>
                </c:pt>
              </c:numCache>
            </c:numRef>
          </c:val>
          <c:extLst xmlns:c16r2="http://schemas.microsoft.com/office/drawing/2015/06/chart">
            <c:ext xmlns:c16="http://schemas.microsoft.com/office/drawing/2014/chart" uri="{C3380CC4-5D6E-409C-BE32-E72D297353CC}">
              <c16:uniqueId val="{00000000-3364-4DA9-A061-7825C71CC05E}"/>
            </c:ext>
          </c:extLst>
        </c:ser>
        <c:ser>
          <c:idx val="1"/>
          <c:order val="1"/>
          <c:tx>
            <c:strRef>
              <c:f>'Anexo 5-2 Gastos'!$O$56</c:f>
              <c:strCache>
                <c:ptCount val="1"/>
                <c:pt idx="0">
                  <c:v>PAGOS</c:v>
                </c:pt>
              </c:strCache>
            </c:strRef>
          </c:tx>
          <c:invertIfNegative val="0"/>
          <c:cat>
            <c:strRef>
              <c:f>'Anexo 5-2 Gastos'!$P$54:$R$54</c:f>
              <c:strCache>
                <c:ptCount val="3"/>
                <c:pt idx="0">
                  <c:v>Funcionamiento</c:v>
                </c:pt>
                <c:pt idx="1">
                  <c:v>Inversion </c:v>
                </c:pt>
                <c:pt idx="2">
                  <c:v>Total</c:v>
                </c:pt>
              </c:strCache>
            </c:strRef>
          </c:cat>
          <c:val>
            <c:numRef>
              <c:f>'Anexo 5-2 Gastos'!$P$56:$R$56</c:f>
              <c:numCache>
                <c:formatCode>_-* #,##0_-;\-* #,##0_-;_-* "-"??_-;_-@_-</c:formatCode>
                <c:ptCount val="3"/>
                <c:pt idx="0">
                  <c:v>2758497051</c:v>
                </c:pt>
                <c:pt idx="1">
                  <c:v>3811645735</c:v>
                </c:pt>
                <c:pt idx="2">
                  <c:v>6570142786</c:v>
                </c:pt>
              </c:numCache>
            </c:numRef>
          </c:val>
          <c:extLst xmlns:c16r2="http://schemas.microsoft.com/office/drawing/2015/06/chart">
            <c:ext xmlns:c16="http://schemas.microsoft.com/office/drawing/2014/chart" uri="{C3380CC4-5D6E-409C-BE32-E72D297353CC}">
              <c16:uniqueId val="{00000001-3364-4DA9-A061-7825C71CC05E}"/>
            </c:ext>
          </c:extLst>
        </c:ser>
        <c:dLbls>
          <c:showLegendKey val="0"/>
          <c:showVal val="0"/>
          <c:showCatName val="0"/>
          <c:showSerName val="0"/>
          <c:showPercent val="0"/>
          <c:showBubbleSize val="0"/>
        </c:dLbls>
        <c:gapWidth val="150"/>
        <c:shape val="box"/>
        <c:axId val="185587584"/>
        <c:axId val="185589120"/>
        <c:axId val="0"/>
      </c:bar3DChart>
      <c:catAx>
        <c:axId val="185587584"/>
        <c:scaling>
          <c:orientation val="minMax"/>
        </c:scaling>
        <c:delete val="0"/>
        <c:axPos val="b"/>
        <c:numFmt formatCode="General" sourceLinked="0"/>
        <c:majorTickMark val="none"/>
        <c:minorTickMark val="none"/>
        <c:tickLblPos val="nextTo"/>
        <c:crossAx val="185589120"/>
        <c:crosses val="autoZero"/>
        <c:auto val="1"/>
        <c:lblAlgn val="ctr"/>
        <c:lblOffset val="100"/>
        <c:noMultiLvlLbl val="0"/>
      </c:catAx>
      <c:valAx>
        <c:axId val="185589120"/>
        <c:scaling>
          <c:orientation val="minMax"/>
        </c:scaling>
        <c:delete val="0"/>
        <c:axPos val="l"/>
        <c:majorGridlines/>
        <c:numFmt formatCode="_-* #,##0_-;\-* #,##0_-;_-* &quot;-&quot;??_-;_-@_-" sourceLinked="1"/>
        <c:majorTickMark val="none"/>
        <c:minorTickMark val="none"/>
        <c:tickLblPos val="nextTo"/>
        <c:crossAx val="18558758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CO"/>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CO"/>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CO"/>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CO"/>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CO"/>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CO"/>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CO"/>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CO"/>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CO"/>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CO"/>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CO"/>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CO"/>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CO"/>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CO"/>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CO"/>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CO"/>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CO"/>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CO"/>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CO"/>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CO"/>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CO"/>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CO"/>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png"/><Relationship Id="rId5" Type="http://schemas.openxmlformats.org/officeDocument/2006/relationships/image" Target="../media/image13.png"/><Relationship Id="rId4"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6.png"/><Relationship Id="rId1" Type="http://schemas.openxmlformats.org/officeDocument/2006/relationships/image" Target="../media/image1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19.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1.pn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3.png"/><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5.png"/><Relationship Id="rId1" Type="http://schemas.openxmlformats.org/officeDocument/2006/relationships/image" Target="../media/image2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7.png"/><Relationship Id="rId1" Type="http://schemas.openxmlformats.org/officeDocument/2006/relationships/image" Target="../media/image2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1.png"/><Relationship Id="rId1" Type="http://schemas.openxmlformats.org/officeDocument/2006/relationships/image" Target="../media/image30.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3.png"/><Relationship Id="rId1" Type="http://schemas.openxmlformats.org/officeDocument/2006/relationships/image" Target="../media/image3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5.png"/><Relationship Id="rId1" Type="http://schemas.openxmlformats.org/officeDocument/2006/relationships/image" Target="../media/image3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6.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8.png"/><Relationship Id="rId1" Type="http://schemas.openxmlformats.org/officeDocument/2006/relationships/image" Target="../media/image37.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4.png"/><Relationship Id="rId2" Type="http://schemas.openxmlformats.org/officeDocument/2006/relationships/image" Target="../media/image43.png"/><Relationship Id="rId1" Type="http://schemas.openxmlformats.org/officeDocument/2006/relationships/image" Target="../media/image42.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6.png"/><Relationship Id="rId1" Type="http://schemas.openxmlformats.org/officeDocument/2006/relationships/image" Target="../media/image4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 xmlns:a16="http://schemas.microsoft.com/office/drawing/2014/main" id="{00000000-0008-0000-0000-00000A000000}"/>
            </a:ext>
          </a:extLst>
        </xdr:cNvPr>
        <xdr:cNvGrpSpPr>
          <a:grpSpLocks/>
        </xdr:cNvGrpSpPr>
      </xdr:nvGrpSpPr>
      <xdr:grpSpPr bwMode="auto">
        <a:xfrm>
          <a:off x="2" y="0"/>
          <a:ext cx="10201273" cy="1657350"/>
          <a:chOff x="57151" y="47625"/>
          <a:chExt cx="6181724" cy="1581150"/>
        </a:xfrm>
      </xdr:grpSpPr>
      <xdr:pic>
        <xdr:nvPicPr>
          <xdr:cNvPr id="11" name="1 Imagen" descr="ESCUDO-transp-lema-blanco.pn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900-000003000000}"/>
            </a:ext>
          </a:extLst>
        </xdr:cNvPr>
        <xdr:cNvGrpSpPr>
          <a:grpSpLocks/>
        </xdr:cNvGrpSpPr>
      </xdr:nvGrpSpPr>
      <xdr:grpSpPr bwMode="auto">
        <a:xfrm>
          <a:off x="0" y="0"/>
          <a:ext cx="531651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9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A00-000003000000}"/>
            </a:ext>
          </a:extLst>
        </xdr:cNvPr>
        <xdr:cNvGrpSpPr>
          <a:grpSpLocks/>
        </xdr:cNvGrpSpPr>
      </xdr:nvGrpSpPr>
      <xdr:grpSpPr bwMode="auto">
        <a:xfrm>
          <a:off x="0" y="0"/>
          <a:ext cx="531651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 xmlns:a16="http://schemas.microsoft.com/office/drawing/2014/main" id="{00000000-0008-0000-0B00-000007000000}"/>
            </a:ext>
          </a:extLst>
        </xdr:cNvPr>
        <xdr:cNvGrpSpPr>
          <a:grpSpLocks/>
        </xdr:cNvGrpSpPr>
      </xdr:nvGrpSpPr>
      <xdr:grpSpPr bwMode="auto">
        <a:xfrm>
          <a:off x="0" y="0"/>
          <a:ext cx="5578934" cy="1277615"/>
          <a:chOff x="57150" y="47625"/>
          <a:chExt cx="6316603" cy="1200288"/>
        </a:xfrm>
      </xdr:grpSpPr>
      <xdr:pic>
        <xdr:nvPicPr>
          <xdr:cNvPr id="8" name="1 Imagen" descr="ESCUDO-transp-lema-blanco.png">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 xmlns:a16="http://schemas.microsoft.com/office/drawing/2014/main" id="{00000000-0008-0000-0B00-000009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C00-000003000000}"/>
            </a:ext>
          </a:extLst>
        </xdr:cNvPr>
        <xdr:cNvGrpSpPr>
          <a:grpSpLocks/>
        </xdr:cNvGrpSpPr>
      </xdr:nvGrpSpPr>
      <xdr:grpSpPr bwMode="auto">
        <a:xfrm>
          <a:off x="0" y="0"/>
          <a:ext cx="6230133"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0D00-000004000000}"/>
            </a:ext>
          </a:extLst>
        </xdr:cNvPr>
        <xdr:cNvGrpSpPr>
          <a:grpSpLocks/>
        </xdr:cNvGrpSpPr>
      </xdr:nvGrpSpPr>
      <xdr:grpSpPr bwMode="auto">
        <a:xfrm>
          <a:off x="0" y="0"/>
          <a:ext cx="5617811"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0D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E00-000003000000}"/>
            </a:ext>
          </a:extLst>
        </xdr:cNvPr>
        <xdr:cNvGrpSpPr>
          <a:grpSpLocks/>
        </xdr:cNvGrpSpPr>
      </xdr:nvGrpSpPr>
      <xdr:grpSpPr bwMode="auto">
        <a:xfrm>
          <a:off x="0" y="0"/>
          <a:ext cx="531651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E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F00-000003000000}"/>
            </a:ext>
          </a:extLst>
        </xdr:cNvPr>
        <xdr:cNvGrpSpPr>
          <a:grpSpLocks/>
        </xdr:cNvGrpSpPr>
      </xdr:nvGrpSpPr>
      <xdr:grpSpPr bwMode="auto">
        <a:xfrm>
          <a:off x="0" y="0"/>
          <a:ext cx="531651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 xmlns:a16="http://schemas.microsoft.com/office/drawing/2014/main" id="{00000000-0008-0000-1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000-000004000000}"/>
            </a:ext>
          </a:extLst>
        </xdr:cNvPr>
        <xdr:cNvGrpSpPr>
          <a:grpSpLocks/>
        </xdr:cNvGrpSpPr>
      </xdr:nvGrpSpPr>
      <xdr:grpSpPr bwMode="auto">
        <a:xfrm>
          <a:off x="0" y="0"/>
          <a:ext cx="5316510"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000-000005000000}"/>
              </a:ext>
            </a:extLst>
          </xdr:cNvPr>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185</xdr:row>
      <xdr:rowOff>68580</xdr:rowOff>
    </xdr:from>
    <xdr:to>
      <xdr:col>2</xdr:col>
      <xdr:colOff>1905110</xdr:colOff>
      <xdr:row>187</xdr:row>
      <xdr:rowOff>26</xdr:rowOff>
    </xdr:to>
    <xdr:pic>
      <xdr:nvPicPr>
        <xdr:cNvPr id="2" name="Imagen 1">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192</xdr:row>
      <xdr:rowOff>53340</xdr:rowOff>
    </xdr:from>
    <xdr:to>
      <xdr:col>2</xdr:col>
      <xdr:colOff>1775552</xdr:colOff>
      <xdr:row>194</xdr:row>
      <xdr:rowOff>60992</xdr:rowOff>
    </xdr:to>
    <xdr:pic>
      <xdr:nvPicPr>
        <xdr:cNvPr id="3" name="Imagen 2">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100-000004000000}"/>
            </a:ext>
          </a:extLst>
        </xdr:cNvPr>
        <xdr:cNvGrpSpPr>
          <a:grpSpLocks/>
        </xdr:cNvGrpSpPr>
      </xdr:nvGrpSpPr>
      <xdr:grpSpPr bwMode="auto">
        <a:xfrm>
          <a:off x="0" y="0"/>
          <a:ext cx="5715005"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1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1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124</xdr:row>
      <xdr:rowOff>106680</xdr:rowOff>
    </xdr:from>
    <xdr:to>
      <xdr:col>2</xdr:col>
      <xdr:colOff>1981306</xdr:colOff>
      <xdr:row>125</xdr:row>
      <xdr:rowOff>160040</xdr:rowOff>
    </xdr:to>
    <xdr:pic>
      <xdr:nvPicPr>
        <xdr:cNvPr id="2" name="Imagen 1">
          <a:extLst>
            <a:ext uri="{FF2B5EF4-FFF2-40B4-BE49-F238E27FC236}">
              <a16:creationId xmlns=""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130</xdr:row>
      <xdr:rowOff>419100</xdr:rowOff>
    </xdr:from>
    <xdr:to>
      <xdr:col>2</xdr:col>
      <xdr:colOff>1790796</xdr:colOff>
      <xdr:row>132</xdr:row>
      <xdr:rowOff>152432</xdr:rowOff>
    </xdr:to>
    <xdr:pic>
      <xdr:nvPicPr>
        <xdr:cNvPr id="3" name="Imagen 2">
          <a:extLst>
            <a:ext uri="{FF2B5EF4-FFF2-40B4-BE49-F238E27FC236}">
              <a16:creationId xmlns=""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200-000004000000}"/>
            </a:ext>
          </a:extLst>
        </xdr:cNvPr>
        <xdr:cNvGrpSpPr>
          <a:grpSpLocks/>
        </xdr:cNvGrpSpPr>
      </xdr:nvGrpSpPr>
      <xdr:grpSpPr bwMode="auto">
        <a:xfrm>
          <a:off x="0" y="0"/>
          <a:ext cx="5180439"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2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2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358587</xdr:colOff>
      <xdr:row>0</xdr:row>
      <xdr:rowOff>89648</xdr:rowOff>
    </xdr:from>
    <xdr:to>
      <xdr:col>13</xdr:col>
      <xdr:colOff>548528</xdr:colOff>
      <xdr:row>1</xdr:row>
      <xdr:rowOff>12327</xdr:rowOff>
    </xdr:to>
    <xdr:grpSp>
      <xdr:nvGrpSpPr>
        <xdr:cNvPr id="2" name="1 Grupo">
          <a:extLst>
            <a:ext uri="{FF2B5EF4-FFF2-40B4-BE49-F238E27FC236}">
              <a16:creationId xmlns="" xmlns:a16="http://schemas.microsoft.com/office/drawing/2014/main" id="{00000000-0008-0000-0100-000002000000}"/>
            </a:ext>
          </a:extLst>
        </xdr:cNvPr>
        <xdr:cNvGrpSpPr>
          <a:grpSpLocks/>
        </xdr:cNvGrpSpPr>
      </xdr:nvGrpSpPr>
      <xdr:grpSpPr bwMode="auto">
        <a:xfrm>
          <a:off x="358587" y="89648"/>
          <a:ext cx="10940348" cy="1581527"/>
          <a:chOff x="-2456969" y="137273"/>
          <a:chExt cx="14989044" cy="1581150"/>
        </a:xfrm>
      </xdr:grpSpPr>
      <xdr:pic>
        <xdr:nvPicPr>
          <xdr:cNvPr id="3" name="1 Imagen" descr="ESCUDO-transp-lema-blanco.png">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456969" y="137273"/>
            <a:ext cx="2229500" cy="1581150"/>
          </a:xfrm>
          <a:prstGeom prst="rect">
            <a:avLst/>
          </a:prstGeom>
          <a:noFill/>
          <a:ln w="9525">
            <a:noFill/>
            <a:miter lim="800000"/>
            <a:headEnd/>
            <a:tailEnd/>
          </a:ln>
        </xdr:spPr>
      </xdr:pic>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7719840" y="55133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300-000004000000}"/>
            </a:ext>
          </a:extLst>
        </xdr:cNvPr>
        <xdr:cNvGrpSpPr>
          <a:grpSpLocks/>
        </xdr:cNvGrpSpPr>
      </xdr:nvGrpSpPr>
      <xdr:grpSpPr bwMode="auto">
        <a:xfrm>
          <a:off x="0" y="0"/>
          <a:ext cx="5316510"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3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81</xdr:row>
      <xdr:rowOff>53340</xdr:rowOff>
    </xdr:from>
    <xdr:to>
      <xdr:col>2</xdr:col>
      <xdr:colOff>2156610</xdr:colOff>
      <xdr:row>82</xdr:row>
      <xdr:rowOff>175286</xdr:rowOff>
    </xdr:to>
    <xdr:pic>
      <xdr:nvPicPr>
        <xdr:cNvPr id="2" name="Imagen 1">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90</xdr:row>
      <xdr:rowOff>0</xdr:rowOff>
    </xdr:from>
    <xdr:to>
      <xdr:col>2</xdr:col>
      <xdr:colOff>1813656</xdr:colOff>
      <xdr:row>92</xdr:row>
      <xdr:rowOff>7652</xdr:rowOff>
    </xdr:to>
    <xdr:pic>
      <xdr:nvPicPr>
        <xdr:cNvPr id="3" name="Imagen 2">
          <a:extLst>
            <a:ext uri="{FF2B5EF4-FFF2-40B4-BE49-F238E27FC236}">
              <a16:creationId xmlns=""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400-000004000000}"/>
            </a:ext>
          </a:extLst>
        </xdr:cNvPr>
        <xdr:cNvGrpSpPr>
          <a:grpSpLocks/>
        </xdr:cNvGrpSpPr>
      </xdr:nvGrpSpPr>
      <xdr:grpSpPr bwMode="auto">
        <a:xfrm>
          <a:off x="0" y="0"/>
          <a:ext cx="5316510"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4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93</xdr:row>
      <xdr:rowOff>449580</xdr:rowOff>
    </xdr:from>
    <xdr:to>
      <xdr:col>2</xdr:col>
      <xdr:colOff>2377602</xdr:colOff>
      <xdr:row>96</xdr:row>
      <xdr:rowOff>32</xdr:rowOff>
    </xdr:to>
    <xdr:pic>
      <xdr:nvPicPr>
        <xdr:cNvPr id="2" name="Imagen 1">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1500-000003000000}"/>
            </a:ext>
          </a:extLst>
        </xdr:cNvPr>
        <xdr:cNvGrpSpPr>
          <a:grpSpLocks/>
        </xdr:cNvGrpSpPr>
      </xdr:nvGrpSpPr>
      <xdr:grpSpPr bwMode="auto">
        <a:xfrm>
          <a:off x="0" y="0"/>
          <a:ext cx="5515758" cy="1282474"/>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15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1600-000003000000}"/>
            </a:ext>
          </a:extLst>
        </xdr:cNvPr>
        <xdr:cNvGrpSpPr>
          <a:grpSpLocks/>
        </xdr:cNvGrpSpPr>
      </xdr:nvGrpSpPr>
      <xdr:grpSpPr bwMode="auto">
        <a:xfrm>
          <a:off x="0" y="0"/>
          <a:ext cx="531651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16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108</xdr:row>
      <xdr:rowOff>15240</xdr:rowOff>
    </xdr:from>
    <xdr:to>
      <xdr:col>2</xdr:col>
      <xdr:colOff>1806022</xdr:colOff>
      <xdr:row>109</xdr:row>
      <xdr:rowOff>129566</xdr:rowOff>
    </xdr:to>
    <xdr:pic>
      <xdr:nvPicPr>
        <xdr:cNvPr id="2" name="Imagen 1">
          <a:extLst>
            <a:ext uri="{FF2B5EF4-FFF2-40B4-BE49-F238E27FC236}">
              <a16:creationId xmlns=""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115</xdr:row>
      <xdr:rowOff>68580</xdr:rowOff>
    </xdr:from>
    <xdr:to>
      <xdr:col>3</xdr:col>
      <xdr:colOff>1021334</xdr:colOff>
      <xdr:row>117</xdr:row>
      <xdr:rowOff>26</xdr:rowOff>
    </xdr:to>
    <xdr:pic>
      <xdr:nvPicPr>
        <xdr:cNvPr id="3" name="Imagen 2">
          <a:extLst>
            <a:ext uri="{FF2B5EF4-FFF2-40B4-BE49-F238E27FC236}">
              <a16:creationId xmlns=""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700-000004000000}"/>
            </a:ext>
          </a:extLst>
        </xdr:cNvPr>
        <xdr:cNvGrpSpPr>
          <a:grpSpLocks/>
        </xdr:cNvGrpSpPr>
      </xdr:nvGrpSpPr>
      <xdr:grpSpPr bwMode="auto">
        <a:xfrm>
          <a:off x="0" y="0"/>
          <a:ext cx="6473118"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7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136</xdr:row>
      <xdr:rowOff>144780</xdr:rowOff>
    </xdr:from>
    <xdr:to>
      <xdr:col>3</xdr:col>
      <xdr:colOff>1112808</xdr:colOff>
      <xdr:row>136</xdr:row>
      <xdr:rowOff>281952</xdr:rowOff>
    </xdr:to>
    <xdr:pic>
      <xdr:nvPicPr>
        <xdr:cNvPr id="2" name="Imagen 1">
          <a:extLst>
            <a:ext uri="{FF2B5EF4-FFF2-40B4-BE49-F238E27FC236}">
              <a16:creationId xmlns=""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149</xdr:row>
      <xdr:rowOff>7620</xdr:rowOff>
    </xdr:from>
    <xdr:to>
      <xdr:col>3</xdr:col>
      <xdr:colOff>1089896</xdr:colOff>
      <xdr:row>149</xdr:row>
      <xdr:rowOff>251481</xdr:rowOff>
    </xdr:to>
    <xdr:pic>
      <xdr:nvPicPr>
        <xdr:cNvPr id="3" name="Imagen 2">
          <a:extLst>
            <a:ext uri="{FF2B5EF4-FFF2-40B4-BE49-F238E27FC236}">
              <a16:creationId xmlns=""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800-000004000000}"/>
            </a:ext>
          </a:extLst>
        </xdr:cNvPr>
        <xdr:cNvGrpSpPr>
          <a:grpSpLocks/>
        </xdr:cNvGrpSpPr>
      </xdr:nvGrpSpPr>
      <xdr:grpSpPr bwMode="auto">
        <a:xfrm>
          <a:off x="0" y="0"/>
          <a:ext cx="6288449"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8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8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900-000004000000}"/>
            </a:ext>
          </a:extLst>
        </xdr:cNvPr>
        <xdr:cNvGrpSpPr>
          <a:grpSpLocks/>
        </xdr:cNvGrpSpPr>
      </xdr:nvGrpSpPr>
      <xdr:grpSpPr bwMode="auto">
        <a:xfrm>
          <a:off x="0" y="0"/>
          <a:ext cx="5617811"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9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9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1A00-000003000000}"/>
            </a:ext>
          </a:extLst>
        </xdr:cNvPr>
        <xdr:cNvGrpSpPr>
          <a:grpSpLocks/>
        </xdr:cNvGrpSpPr>
      </xdr:nvGrpSpPr>
      <xdr:grpSpPr bwMode="auto">
        <a:xfrm>
          <a:off x="0" y="0"/>
          <a:ext cx="5326813" cy="128072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1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1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1B00-000004000000}"/>
            </a:ext>
          </a:extLst>
        </xdr:cNvPr>
        <xdr:cNvGrpSpPr>
          <a:grpSpLocks/>
        </xdr:cNvGrpSpPr>
      </xdr:nvGrpSpPr>
      <xdr:grpSpPr bwMode="auto">
        <a:xfrm>
          <a:off x="0" y="0"/>
          <a:ext cx="5316510" cy="1277615"/>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1B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1C00-000003000000}"/>
            </a:ext>
          </a:extLst>
        </xdr:cNvPr>
        <xdr:cNvGrpSpPr>
          <a:grpSpLocks/>
        </xdr:cNvGrpSpPr>
      </xdr:nvGrpSpPr>
      <xdr:grpSpPr bwMode="auto">
        <a:xfrm>
          <a:off x="0" y="0"/>
          <a:ext cx="5335335" cy="1282730"/>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1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1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 xmlns:a16="http://schemas.microsoft.com/office/drawing/2014/main" id="{00000000-0008-0000-0200-000003000000}"/>
            </a:ext>
          </a:extLst>
        </xdr:cNvPr>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82</xdr:row>
      <xdr:rowOff>91440</xdr:rowOff>
    </xdr:from>
    <xdr:to>
      <xdr:col>2</xdr:col>
      <xdr:colOff>2088008</xdr:colOff>
      <xdr:row>83</xdr:row>
      <xdr:rowOff>175283</xdr:rowOff>
    </xdr:to>
    <xdr:pic>
      <xdr:nvPicPr>
        <xdr:cNvPr id="2" name="Imagen 1">
          <a:extLst>
            <a:ext uri="{FF2B5EF4-FFF2-40B4-BE49-F238E27FC236}">
              <a16:creationId xmlns=""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1D00-000003000000}"/>
            </a:ext>
          </a:extLst>
        </xdr:cNvPr>
        <xdr:cNvGrpSpPr>
          <a:grpSpLocks/>
        </xdr:cNvGrpSpPr>
      </xdr:nvGrpSpPr>
      <xdr:grpSpPr bwMode="auto">
        <a:xfrm>
          <a:off x="0" y="0"/>
          <a:ext cx="5821919"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1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1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1E00-000003000000}"/>
            </a:ext>
          </a:extLst>
        </xdr:cNvPr>
        <xdr:cNvGrpSpPr>
          <a:grpSpLocks/>
        </xdr:cNvGrpSpPr>
      </xdr:nvGrpSpPr>
      <xdr:grpSpPr bwMode="auto">
        <a:xfrm>
          <a:off x="0" y="0"/>
          <a:ext cx="517072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1E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1E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 xmlns:a16="http://schemas.microsoft.com/office/drawing/2014/main" id="{00000000-0008-0000-1F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 xmlns:a16="http://schemas.microsoft.com/office/drawing/2014/main" id="{00000000-0008-0000-1F00-000005000000}"/>
            </a:ext>
          </a:extLst>
        </xdr:cNvPr>
        <xdr:cNvGrpSpPr>
          <a:grpSpLocks/>
        </xdr:cNvGrpSpPr>
      </xdr:nvGrpSpPr>
      <xdr:grpSpPr bwMode="auto">
        <a:xfrm>
          <a:off x="0" y="0"/>
          <a:ext cx="5339513" cy="1282313"/>
          <a:chOff x="57150" y="47625"/>
          <a:chExt cx="6316603" cy="1200288"/>
        </a:xfrm>
      </xdr:grpSpPr>
      <xdr:pic>
        <xdr:nvPicPr>
          <xdr:cNvPr id="6" name="1 Imagen" descr="ESCUDO-transp-lema-blanco.png">
            <a:extLst>
              <a:ext uri="{FF2B5EF4-FFF2-40B4-BE49-F238E27FC236}">
                <a16:creationId xmlns="" xmlns:a16="http://schemas.microsoft.com/office/drawing/2014/main" id="{00000000-0008-0000-1F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 xmlns:a16="http://schemas.microsoft.com/office/drawing/2014/main" id="{00000000-0008-0000-1F00-000007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 xmlns:a16="http://schemas.microsoft.com/office/drawing/2014/main" id="{00000000-0008-0000-2000-000004000000}"/>
            </a:ext>
          </a:extLst>
        </xdr:cNvPr>
        <xdr:cNvGrpSpPr>
          <a:grpSpLocks/>
        </xdr:cNvGrpSpPr>
      </xdr:nvGrpSpPr>
      <xdr:grpSpPr bwMode="auto">
        <a:xfrm>
          <a:off x="0" y="0"/>
          <a:ext cx="5252201" cy="1282313"/>
          <a:chOff x="57150" y="47625"/>
          <a:chExt cx="6316603" cy="1200288"/>
        </a:xfrm>
      </xdr:grpSpPr>
      <xdr:pic>
        <xdr:nvPicPr>
          <xdr:cNvPr id="5" name="1 Imagen" descr="ESCUDO-transp-lema-blanco.png">
            <a:extLst>
              <a:ext uri="{FF2B5EF4-FFF2-40B4-BE49-F238E27FC236}">
                <a16:creationId xmlns="" xmlns:a16="http://schemas.microsoft.com/office/drawing/2014/main" id="{00000000-0008-0000-2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 xmlns:a16="http://schemas.microsoft.com/office/drawing/2014/main" id="{00000000-0008-0000-2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 xmlns:a16="http://schemas.microsoft.com/office/drawing/2014/main" id="{00000000-0008-0000-0300-000002000000}"/>
            </a:ext>
          </a:extLst>
        </xdr:cNvPr>
        <xdr:cNvGrpSpPr>
          <a:grpSpLocks/>
        </xdr:cNvGrpSpPr>
      </xdr:nvGrpSpPr>
      <xdr:grpSpPr bwMode="auto">
        <a:xfrm>
          <a:off x="0" y="0"/>
          <a:ext cx="7550547" cy="1656953"/>
          <a:chOff x="57150" y="47625"/>
          <a:chExt cx="6181725" cy="1581150"/>
        </a:xfrm>
      </xdr:grpSpPr>
      <xdr:pic>
        <xdr:nvPicPr>
          <xdr:cNvPr id="3" name="1 Imagen" descr="ESCUDO-transp-lema-blanco.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1581150</xdr:rowOff>
    </xdr:to>
    <xdr:pic>
      <xdr:nvPicPr>
        <xdr:cNvPr id="2" name="1 Imagen" descr="ESCUDO-transp-lema-blanco.png">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1</xdr:col>
      <xdr:colOff>2228850</xdr:colOff>
      <xdr:row>0</xdr:row>
      <xdr:rowOff>428625</xdr:rowOff>
    </xdr:from>
    <xdr:to>
      <xdr:col>4</xdr:col>
      <xdr:colOff>1095375</xdr:colOff>
      <xdr:row>0</xdr:row>
      <xdr:rowOff>1200150</xdr:rowOff>
    </xdr:to>
    <xdr:sp macro="" textlink="">
      <xdr:nvSpPr>
        <xdr:cNvPr id="3" name="5 CuadroTexto">
          <a:extLst>
            <a:ext uri="{FF2B5EF4-FFF2-40B4-BE49-F238E27FC236}">
              <a16:creationId xmlns="" xmlns:a16="http://schemas.microsoft.com/office/drawing/2014/main" id="{00000000-0008-0000-0400-000003000000}"/>
            </a:ext>
          </a:extLst>
        </xdr:cNvPr>
        <xdr:cNvSpPr txBox="1"/>
      </xdr:nvSpPr>
      <xdr:spPr bwMode="auto">
        <a:xfrm>
          <a:off x="3514725" y="428625"/>
          <a:ext cx="48768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8</xdr:col>
      <xdr:colOff>238125</xdr:colOff>
      <xdr:row>19</xdr:row>
      <xdr:rowOff>33336</xdr:rowOff>
    </xdr:from>
    <xdr:to>
      <xdr:col>18</xdr:col>
      <xdr:colOff>657225</xdr:colOff>
      <xdr:row>43</xdr:row>
      <xdr:rowOff>114299</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1371600</xdr:colOff>
      <xdr:row>0</xdr:row>
      <xdr:rowOff>381000</xdr:rowOff>
    </xdr:from>
    <xdr:to>
      <xdr:col>5</xdr:col>
      <xdr:colOff>323850</xdr:colOff>
      <xdr:row>0</xdr:row>
      <xdr:rowOff>1152525</xdr:rowOff>
    </xdr:to>
    <xdr:sp macro="" textlink="">
      <xdr:nvSpPr>
        <xdr:cNvPr id="3" name="5 CuadroTexto">
          <a:extLst>
            <a:ext uri="{FF2B5EF4-FFF2-40B4-BE49-F238E27FC236}">
              <a16:creationId xmlns="" xmlns:a16="http://schemas.microsoft.com/office/drawing/2014/main" id="{00000000-0008-0000-0500-000003000000}"/>
            </a:ext>
          </a:extLst>
        </xdr:cNvPr>
        <xdr:cNvSpPr txBox="1"/>
      </xdr:nvSpPr>
      <xdr:spPr bwMode="auto">
        <a:xfrm>
          <a:off x="1371600" y="381000"/>
          <a:ext cx="57531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13</xdr:col>
      <xdr:colOff>447675</xdr:colOff>
      <xdr:row>29</xdr:row>
      <xdr:rowOff>33337</xdr:rowOff>
    </xdr:from>
    <xdr:to>
      <xdr:col>18</xdr:col>
      <xdr:colOff>66675</xdr:colOff>
      <xdr:row>43</xdr:row>
      <xdr:rowOff>23812</xdr:rowOff>
    </xdr:to>
    <xdr:graphicFrame macro="">
      <xdr:nvGraphicFramePr>
        <xdr:cNvPr id="5" name="Gráfico 4">
          <a:extLst>
            <a:ext uri="{FF2B5EF4-FFF2-40B4-BE49-F238E27FC236}">
              <a16:creationId xmlns=""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839932</xdr:colOff>
      <xdr:row>60</xdr:row>
      <xdr:rowOff>91787</xdr:rowOff>
    </xdr:from>
    <xdr:to>
      <xdr:col>17</xdr:col>
      <xdr:colOff>1065068</xdr:colOff>
      <xdr:row>77</xdr:row>
      <xdr:rowOff>38101</xdr:rowOff>
    </xdr:to>
    <xdr:graphicFrame macro="">
      <xdr:nvGraphicFramePr>
        <xdr:cNvPr id="4" name="3 Gráfico">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 xmlns:a16="http://schemas.microsoft.com/office/drawing/2014/main" id="{00000000-0008-0000-0600-000006000000}"/>
            </a:ext>
          </a:extLst>
        </xdr:cNvPr>
        <xdr:cNvGrpSpPr>
          <a:grpSpLocks/>
        </xdr:cNvGrpSpPr>
      </xdr:nvGrpSpPr>
      <xdr:grpSpPr bwMode="auto">
        <a:xfrm>
          <a:off x="0" y="0"/>
          <a:ext cx="5462301" cy="1261675"/>
          <a:chOff x="57150" y="47625"/>
          <a:chExt cx="6316603" cy="1200288"/>
        </a:xfrm>
      </xdr:grpSpPr>
      <xdr:pic>
        <xdr:nvPicPr>
          <xdr:cNvPr id="7" name="1 Imagen" descr="ESCUDO-transp-lema-blanco.png">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 xmlns:a16="http://schemas.microsoft.com/office/drawing/2014/main" id="{00000000-0008-0000-0600-000008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700-000003000000}"/>
            </a:ext>
          </a:extLst>
        </xdr:cNvPr>
        <xdr:cNvGrpSpPr>
          <a:grpSpLocks/>
        </xdr:cNvGrpSpPr>
      </xdr:nvGrpSpPr>
      <xdr:grpSpPr bwMode="auto">
        <a:xfrm>
          <a:off x="0" y="0"/>
          <a:ext cx="5394266"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7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 xmlns:a16="http://schemas.microsoft.com/office/drawing/2014/main" id="{00000000-0008-0000-0800-000003000000}"/>
            </a:ext>
          </a:extLst>
        </xdr:cNvPr>
        <xdr:cNvGrpSpPr>
          <a:grpSpLocks/>
        </xdr:cNvGrpSpPr>
      </xdr:nvGrpSpPr>
      <xdr:grpSpPr bwMode="auto">
        <a:xfrm>
          <a:off x="0" y="0"/>
          <a:ext cx="5316510" cy="1277615"/>
          <a:chOff x="57150" y="47625"/>
          <a:chExt cx="6316603" cy="1200288"/>
        </a:xfrm>
      </xdr:grpSpPr>
      <xdr:pic>
        <xdr:nvPicPr>
          <xdr:cNvPr id="4" name="1 Imagen" descr="ESCUDO-transp-lema-blanco.png">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 xmlns:a16="http://schemas.microsoft.com/office/drawing/2014/main" id="{00000000-0008-0000-08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uncionario\Desktop\Planeacion\2016\Informe%20de%20Gestion\31%20Dic%202016\Formatos%20Informe%20Gesti&#243;n%20SINA%202017%20,%20con%20graf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uncionario\Desktop\Planeacion\2018\Informe%20de%20Gesti&#243;n\31%2012%202018\MADS\Enviado%20MADS\Formatos%20Informe%20Gesti&#243;n%20SINA%20%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uncionario\Desktop\Planeacion\2016\Informe%20de%20Gestion\31%20Dic%202016\Informe%20de%20Gestion\MADS\Formatos%20Informe%20Gesti&#243;n%20SINA%202016%20,%20con%20grafic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uncionario\Desktop\Planeacion\2017\Informe%20de%20Gesti&#243;n\31%2012%202017\Informe%20Gestion%202017\Formatos%20Informe%20Gesti&#243;n%20SINA%202017%20,%20con%20grafica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sheetData sheetId="1"/>
      <sheetData sheetId="2"/>
      <sheetData sheetId="3"/>
      <sheetData sheetId="4"/>
      <sheetData sheetId="5"/>
      <sheetData sheetId="6">
        <row r="8">
          <cell r="D8">
            <v>0.22000000000000003</v>
          </cell>
        </row>
      </sheetData>
      <sheetData sheetId="7"/>
      <sheetData sheetId="8"/>
      <sheetData sheetId="9"/>
      <sheetData sheetId="10"/>
      <sheetData sheetId="11"/>
      <sheetData sheetId="12"/>
      <sheetData sheetId="13"/>
      <sheetData sheetId="14">
        <row r="9">
          <cell r="D9">
            <v>1.0334444444444444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Obs Generales"/>
    </sheetNames>
    <sheetDataSet>
      <sheetData sheetId="0"/>
      <sheetData sheetId="1"/>
      <sheetData sheetId="2"/>
      <sheetData sheetId="3">
        <row r="6">
          <cell r="E6">
            <v>0.33</v>
          </cell>
        </row>
        <row r="9">
          <cell r="E9" t="str">
            <v>SIN INFORMACION</v>
          </cell>
        </row>
      </sheetData>
      <sheetData sheetId="4"/>
      <sheetData sheetId="5"/>
      <sheetData sheetId="6"/>
      <sheetData sheetId="7"/>
      <sheetData sheetId="8">
        <row r="8">
          <cell r="D8">
            <v>1</v>
          </cell>
        </row>
      </sheetData>
      <sheetData sheetId="9"/>
      <sheetData sheetId="10">
        <row r="8">
          <cell r="D8">
            <v>1</v>
          </cell>
        </row>
      </sheetData>
      <sheetData sheetId="11">
        <row r="8">
          <cell r="D8">
            <v>1</v>
          </cell>
        </row>
      </sheetData>
      <sheetData sheetId="12">
        <row r="8">
          <cell r="D8">
            <v>1</v>
          </cell>
        </row>
      </sheetData>
      <sheetData sheetId="13">
        <row r="8">
          <cell r="D8">
            <v>1.28</v>
          </cell>
        </row>
      </sheetData>
      <sheetData sheetId="14">
        <row r="9">
          <cell r="D9">
            <v>1</v>
          </cell>
        </row>
      </sheetData>
      <sheetData sheetId="15">
        <row r="8">
          <cell r="D8" t="str">
            <v>SIN INFORMACION</v>
          </cell>
        </row>
      </sheetData>
      <sheetData sheetId="16"/>
      <sheetData sheetId="17">
        <row r="8">
          <cell r="D8">
            <v>0.875</v>
          </cell>
        </row>
      </sheetData>
      <sheetData sheetId="18">
        <row r="8">
          <cell r="D8">
            <v>0.77777777777777779</v>
          </cell>
        </row>
      </sheetData>
      <sheetData sheetId="19">
        <row r="8">
          <cell r="D8">
            <v>1</v>
          </cell>
        </row>
      </sheetData>
      <sheetData sheetId="20">
        <row r="8">
          <cell r="D8">
            <v>2.0924999999999998</v>
          </cell>
        </row>
      </sheetData>
      <sheetData sheetId="21">
        <row r="8">
          <cell r="D8" t="str">
            <v>SIN INFORMACION</v>
          </cell>
        </row>
      </sheetData>
      <sheetData sheetId="22">
        <row r="8">
          <cell r="D8">
            <v>1</v>
          </cell>
        </row>
      </sheetData>
      <sheetData sheetId="23">
        <row r="8">
          <cell r="D8">
            <v>1</v>
          </cell>
        </row>
      </sheetData>
      <sheetData sheetId="24">
        <row r="8">
          <cell r="D8">
            <v>0.69700000000000006</v>
          </cell>
        </row>
      </sheetData>
      <sheetData sheetId="25">
        <row r="8">
          <cell r="D8">
            <v>0.25</v>
          </cell>
        </row>
      </sheetData>
      <sheetData sheetId="26">
        <row r="8">
          <cell r="D8">
            <v>1</v>
          </cell>
        </row>
      </sheetData>
      <sheetData sheetId="27">
        <row r="8">
          <cell r="D8">
            <v>0.66774788429960852</v>
          </cell>
        </row>
      </sheetData>
      <sheetData sheetId="28">
        <row r="8">
          <cell r="D8">
            <v>7.5471698113207544E-2</v>
          </cell>
        </row>
      </sheetData>
      <sheetData sheetId="29">
        <row r="7">
          <cell r="D7">
            <v>1</v>
          </cell>
        </row>
      </sheetData>
      <sheetData sheetId="30">
        <row r="8">
          <cell r="D8">
            <v>0.91346153846153844</v>
          </cell>
        </row>
      </sheetData>
      <sheetData sheetId="31">
        <row r="8">
          <cell r="D8">
            <v>0.69729082129819508</v>
          </cell>
        </row>
      </sheetData>
      <sheetData sheetId="32">
        <row r="8">
          <cell r="D8">
            <v>0.57999999999999996</v>
          </cell>
        </row>
      </sheetData>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Obs Generales"/>
    </sheetNames>
    <sheetDataSet>
      <sheetData sheetId="0"/>
      <sheetData sheetId="1"/>
      <sheetData sheetId="2"/>
      <sheetData sheetId="3"/>
      <sheetData sheetId="4"/>
      <sheetData sheetId="5"/>
      <sheetData sheetId="6"/>
      <sheetData sheetId="7">
        <row r="8">
          <cell r="D8" t="str">
            <v>SIN INFORMACION</v>
          </cell>
        </row>
      </sheetData>
      <sheetData sheetId="8">
        <row r="8">
          <cell r="D8">
            <v>1</v>
          </cell>
        </row>
      </sheetData>
      <sheetData sheetId="9">
        <row r="8">
          <cell r="D8" t="str">
            <v>N.A.</v>
          </cell>
        </row>
      </sheetData>
      <sheetData sheetId="10">
        <row r="8">
          <cell r="D8">
            <v>1</v>
          </cell>
        </row>
      </sheetData>
      <sheetData sheetId="11">
        <row r="8">
          <cell r="D8">
            <v>1</v>
          </cell>
        </row>
      </sheetData>
      <sheetData sheetId="12">
        <row r="8">
          <cell r="D8">
            <v>0.6875</v>
          </cell>
        </row>
      </sheetData>
      <sheetData sheetId="13">
        <row r="8">
          <cell r="D8" t="str">
            <v>SIN INFORMACION</v>
          </cell>
        </row>
      </sheetData>
      <sheetData sheetId="14"/>
      <sheetData sheetId="15">
        <row r="8">
          <cell r="D8" t="str">
            <v>SIN INFORMACION</v>
          </cell>
        </row>
      </sheetData>
      <sheetData sheetId="16">
        <row r="8">
          <cell r="D8" t="str">
            <v>SIN INFORMACION</v>
          </cell>
        </row>
      </sheetData>
      <sheetData sheetId="17">
        <row r="8">
          <cell r="D8">
            <v>1</v>
          </cell>
        </row>
      </sheetData>
      <sheetData sheetId="18">
        <row r="8">
          <cell r="D8">
            <v>1</v>
          </cell>
        </row>
      </sheetData>
      <sheetData sheetId="19">
        <row r="8">
          <cell r="D8">
            <v>1</v>
          </cell>
        </row>
      </sheetData>
      <sheetData sheetId="20">
        <row r="8">
          <cell r="D8">
            <v>1.8987499999999999</v>
          </cell>
        </row>
      </sheetData>
      <sheetData sheetId="21">
        <row r="8">
          <cell r="D8">
            <v>0.15999999999999998</v>
          </cell>
        </row>
      </sheetData>
      <sheetData sheetId="22">
        <row r="8">
          <cell r="D8">
            <v>1</v>
          </cell>
        </row>
      </sheetData>
      <sheetData sheetId="23">
        <row r="8">
          <cell r="D8">
            <v>1</v>
          </cell>
        </row>
      </sheetData>
      <sheetData sheetId="24">
        <row r="8">
          <cell r="D8">
            <v>0.17280000000000001</v>
          </cell>
        </row>
      </sheetData>
      <sheetData sheetId="25">
        <row r="8">
          <cell r="D8">
            <v>0.18</v>
          </cell>
        </row>
      </sheetData>
      <sheetData sheetId="26">
        <row r="8">
          <cell r="D8">
            <v>0.59024092106783499</v>
          </cell>
        </row>
      </sheetData>
      <sheetData sheetId="27">
        <row r="8">
          <cell r="D8">
            <v>0.96631372549019612</v>
          </cell>
        </row>
      </sheetData>
      <sheetData sheetId="28">
        <row r="8">
          <cell r="D8">
            <v>0.48275862068965519</v>
          </cell>
        </row>
      </sheetData>
      <sheetData sheetId="29">
        <row r="7">
          <cell r="D7">
            <v>1</v>
          </cell>
        </row>
      </sheetData>
      <sheetData sheetId="30">
        <row r="8">
          <cell r="D8">
            <v>0.15000000000000002</v>
          </cell>
        </row>
      </sheetData>
      <sheetData sheetId="31">
        <row r="8">
          <cell r="D8">
            <v>0.53558171717863046</v>
          </cell>
        </row>
      </sheetData>
      <sheetData sheetId="32">
        <row r="8">
          <cell r="D8">
            <v>0.19</v>
          </cell>
        </row>
      </sheetData>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atriz Informe Gestión"/>
      <sheetName val="Anexo 2 Protoco Inform Gestión"/>
      <sheetName val="Anexo 5 - 1 Ingresos"/>
      <sheetName val="Anexo 5 - 2 Gastos"/>
    </sheetNames>
    <sheetDataSet>
      <sheetData sheetId="0">
        <row r="11">
          <cell r="H11" t="str">
            <v>SIN INFORMACION</v>
          </cell>
        </row>
        <row r="12">
          <cell r="H12">
            <v>1</v>
          </cell>
        </row>
        <row r="13">
          <cell r="H13">
            <v>0.70806133850858621</v>
          </cell>
        </row>
        <row r="20">
          <cell r="H20">
            <v>1</v>
          </cell>
        </row>
        <row r="21">
          <cell r="H21">
            <v>0.65625</v>
          </cell>
        </row>
        <row r="50">
          <cell r="H50" t="str">
            <v>SIN INFORMACION</v>
          </cell>
        </row>
        <row r="51">
          <cell r="H51">
            <v>1</v>
          </cell>
        </row>
        <row r="52">
          <cell r="H52">
            <v>0.33</v>
          </cell>
        </row>
        <row r="53">
          <cell r="H53">
            <v>1</v>
          </cell>
        </row>
        <row r="54">
          <cell r="H54">
            <v>1.7975000000000001</v>
          </cell>
        </row>
        <row r="55">
          <cell r="H55" t="str">
            <v>SIN INFORMACION</v>
          </cell>
        </row>
        <row r="61">
          <cell r="H61" t="str">
            <v>SIN INFORMACION</v>
          </cell>
        </row>
        <row r="62">
          <cell r="H62">
            <v>0.63888888888888884</v>
          </cell>
        </row>
        <row r="63">
          <cell r="H63">
            <v>1</v>
          </cell>
        </row>
        <row r="68">
          <cell r="H68">
            <v>0.25</v>
          </cell>
        </row>
        <row r="71">
          <cell r="H71">
            <v>0.43987500000000013</v>
          </cell>
        </row>
        <row r="73">
          <cell r="I73">
            <v>1</v>
          </cell>
        </row>
        <row r="74">
          <cell r="I74">
            <v>0.96111111111111103</v>
          </cell>
        </row>
        <row r="83">
          <cell r="H83">
            <v>1</v>
          </cell>
        </row>
        <row r="84">
          <cell r="H84">
            <v>0.79201074787281689</v>
          </cell>
        </row>
        <row r="85">
          <cell r="I85">
            <v>0.9533580807282791</v>
          </cell>
        </row>
        <row r="86">
          <cell r="H86">
            <v>0.10752688172043011</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icinadeplaneacion@corpoguajira.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y.delgado@car.corpoguajira.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y.hurtado@corpoguajira.gov.co"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y.delgado@car.corpoguajira.gov.co"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y.hurtado@corpoguajira.gov.co"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g.fonseca@corpoguajira.gov.co"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m.daza@corpoguajira.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m.daza@corpoguajira.gov.co"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y.hurtado@corpoguajira.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j.barros@corpoguajira.gov.co"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y.delgado@corpoguajira.gov.co"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mailto:m.daza@corpoguajira.gov.co"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C6" sqref="C6"/>
    </sheetView>
  </sheetViews>
  <sheetFormatPr baseColWidth="10" defaultRowHeight="15"/>
  <cols>
    <col min="1" max="1" width="5.85546875" customWidth="1"/>
    <col min="2" max="2" width="44.28515625" customWidth="1"/>
    <col min="3" max="3" width="68.5703125" customWidth="1"/>
    <col min="8" max="8" width="11.42578125" hidden="1" customWidth="1"/>
  </cols>
  <sheetData>
    <row r="1" spans="1:18" s="518" customFormat="1" ht="130.5" customHeight="1" thickBot="1">
      <c r="A1" s="540"/>
      <c r="B1" s="541"/>
      <c r="C1" s="542"/>
      <c r="D1"/>
      <c r="E1"/>
      <c r="F1"/>
      <c r="G1"/>
      <c r="H1"/>
      <c r="I1"/>
      <c r="J1"/>
      <c r="K1"/>
      <c r="L1"/>
      <c r="M1"/>
      <c r="N1"/>
      <c r="O1"/>
      <c r="P1"/>
      <c r="Q1"/>
      <c r="R1"/>
    </row>
    <row r="2" spans="1:18" s="519" customFormat="1" ht="39.75" customHeight="1" thickBot="1">
      <c r="A2" s="1435" t="s">
        <v>1412</v>
      </c>
      <c r="B2" s="1436"/>
      <c r="C2" s="1437"/>
      <c r="D2"/>
      <c r="E2"/>
      <c r="F2"/>
      <c r="G2"/>
      <c r="H2"/>
      <c r="I2"/>
      <c r="J2"/>
      <c r="K2"/>
      <c r="L2"/>
      <c r="M2"/>
      <c r="N2"/>
      <c r="O2"/>
      <c r="P2"/>
      <c r="Q2"/>
      <c r="R2"/>
    </row>
    <row r="4" spans="1:18" ht="15.75" thickBot="1"/>
    <row r="5" spans="1:18" s="530" customFormat="1" ht="23.25" customHeight="1">
      <c r="B5" s="531" t="s">
        <v>1369</v>
      </c>
      <c r="C5" s="532" t="s">
        <v>1388</v>
      </c>
      <c r="H5" s="530" t="s">
        <v>1370</v>
      </c>
    </row>
    <row r="6" spans="1:18" s="530" customFormat="1" ht="23.25" customHeight="1">
      <c r="B6" s="533" t="s">
        <v>1410</v>
      </c>
      <c r="C6" s="534" t="s">
        <v>1408</v>
      </c>
      <c r="H6" s="530" t="s">
        <v>1371</v>
      </c>
    </row>
    <row r="7" spans="1:18" s="530" customFormat="1" ht="23.25" customHeight="1">
      <c r="B7" s="533" t="s">
        <v>1411</v>
      </c>
      <c r="C7" s="534" t="s">
        <v>1638</v>
      </c>
      <c r="H7" s="530" t="s">
        <v>1372</v>
      </c>
    </row>
    <row r="8" spans="1:18" s="530" customFormat="1" ht="23.25" customHeight="1">
      <c r="B8" s="533" t="s">
        <v>45</v>
      </c>
      <c r="C8" s="534" t="s">
        <v>1617</v>
      </c>
      <c r="H8" s="530" t="s">
        <v>1373</v>
      </c>
    </row>
    <row r="9" spans="1:18" s="530" customFormat="1" ht="23.25" customHeight="1">
      <c r="B9" s="533" t="s">
        <v>47</v>
      </c>
      <c r="C9" s="534" t="s">
        <v>1618</v>
      </c>
      <c r="H9" s="530" t="s">
        <v>1374</v>
      </c>
    </row>
    <row r="10" spans="1:18" s="530" customFormat="1" ht="23.25" customHeight="1">
      <c r="B10" s="533" t="s">
        <v>48</v>
      </c>
      <c r="C10" s="818" t="s">
        <v>1606</v>
      </c>
      <c r="H10" s="530" t="s">
        <v>1375</v>
      </c>
    </row>
    <row r="11" spans="1:18" s="530" customFormat="1" ht="23.25" customHeight="1" thickBot="1">
      <c r="B11" s="535" t="s">
        <v>49</v>
      </c>
      <c r="C11" s="536">
        <v>3145417021</v>
      </c>
      <c r="H11" s="530" t="s">
        <v>1376</v>
      </c>
    </row>
    <row r="12" spans="1:18">
      <c r="H12" t="s">
        <v>1377</v>
      </c>
    </row>
    <row r="13" spans="1:18">
      <c r="H13" t="s">
        <v>1378</v>
      </c>
    </row>
    <row r="14" spans="1:18">
      <c r="H14" t="s">
        <v>1379</v>
      </c>
    </row>
    <row r="15" spans="1:18">
      <c r="H15" t="s">
        <v>1380</v>
      </c>
    </row>
    <row r="16" spans="1:18">
      <c r="H16" t="s">
        <v>1381</v>
      </c>
    </row>
    <row r="17" spans="8:8">
      <c r="H17" t="s">
        <v>1382</v>
      </c>
    </row>
    <row r="18" spans="8:8">
      <c r="H18" t="s">
        <v>1383</v>
      </c>
    </row>
    <row r="19" spans="8:8">
      <c r="H19" t="s">
        <v>1384</v>
      </c>
    </row>
    <row r="20" spans="8:8">
      <c r="H20" t="s">
        <v>1385</v>
      </c>
    </row>
    <row r="21" spans="8:8">
      <c r="H21" t="s">
        <v>1386</v>
      </c>
    </row>
    <row r="22" spans="8:8">
      <c r="H22" t="s">
        <v>1387</v>
      </c>
    </row>
    <row r="23" spans="8:8">
      <c r="H23" t="s">
        <v>1388</v>
      </c>
    </row>
    <row r="24" spans="8:8">
      <c r="H24" t="s">
        <v>1389</v>
      </c>
    </row>
    <row r="25" spans="8:8">
      <c r="H25" t="s">
        <v>1390</v>
      </c>
    </row>
    <row r="26" spans="8:8">
      <c r="H26" t="s">
        <v>1391</v>
      </c>
    </row>
    <row r="27" spans="8:8">
      <c r="H27" t="s">
        <v>1392</v>
      </c>
    </row>
    <row r="28" spans="8:8">
      <c r="H28" t="s">
        <v>1393</v>
      </c>
    </row>
    <row r="29" spans="8:8">
      <c r="H29" t="s">
        <v>1394</v>
      </c>
    </row>
    <row r="30" spans="8:8">
      <c r="H30" t="s">
        <v>1395</v>
      </c>
    </row>
    <row r="31" spans="8:8">
      <c r="H31" t="s">
        <v>1396</v>
      </c>
    </row>
    <row r="32" spans="8:8">
      <c r="H32" t="s">
        <v>1397</v>
      </c>
    </row>
    <row r="33" spans="8:8">
      <c r="H33" t="s">
        <v>1398</v>
      </c>
    </row>
    <row r="34" spans="8:8">
      <c r="H34" t="s">
        <v>1399</v>
      </c>
    </row>
    <row r="35" spans="8:8">
      <c r="H35" t="s">
        <v>1400</v>
      </c>
    </row>
    <row r="36" spans="8:8">
      <c r="H36" t="s">
        <v>1401</v>
      </c>
    </row>
    <row r="38" spans="8:8">
      <c r="H38" t="s">
        <v>1402</v>
      </c>
    </row>
    <row r="39" spans="8:8">
      <c r="H39" t="s">
        <v>1403</v>
      </c>
    </row>
    <row r="40" spans="8:8">
      <c r="H40" t="s">
        <v>1404</v>
      </c>
    </row>
    <row r="41" spans="8:8">
      <c r="H41" t="s">
        <v>1405</v>
      </c>
    </row>
    <row r="42" spans="8:8">
      <c r="H42" t="s">
        <v>1406</v>
      </c>
    </row>
    <row r="43" spans="8:8">
      <c r="H43" t="s">
        <v>1407</v>
      </c>
    </row>
    <row r="44" spans="8:8">
      <c r="H44" t="s">
        <v>1408</v>
      </c>
    </row>
    <row r="45" spans="8:8">
      <c r="H45" t="s">
        <v>1409</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 xml:space="preserve"> Vigencias</formula1>
    </dataValidation>
  </dataValidations>
  <hyperlinks>
    <hyperlink ref="C10" r:id="rId1"/>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7" zoomScale="98" zoomScaleNormal="98" workbookViewId="0">
      <selection activeCell="H23" sqref="H23"/>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189</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44"/>
      <c r="D7" s="240"/>
      <c r="E7" s="245"/>
      <c r="F7" s="240" t="s">
        <v>134</v>
      </c>
      <c r="G7" s="240"/>
      <c r="H7" s="240"/>
      <c r="I7" s="240"/>
      <c r="J7" s="240"/>
      <c r="K7" s="240"/>
    </row>
    <row r="8" spans="1:21" ht="15.75" thickBot="1">
      <c r="A8" s="237"/>
      <c r="B8" s="253" t="s">
        <v>1203</v>
      </c>
      <c r="C8" s="254">
        <v>2018</v>
      </c>
      <c r="D8" s="249" t="str">
        <f>IF(E10="NO APLICA", "NO APLICA", IF(E11= "NO SE REPORTA", "SIN INFORMACION",+H23))</f>
        <v>SIN INFORMACION</v>
      </c>
      <c r="E8" s="256"/>
      <c r="F8" s="240" t="s">
        <v>135</v>
      </c>
      <c r="G8" s="240"/>
      <c r="H8" s="240"/>
      <c r="I8" s="240"/>
      <c r="J8" s="240"/>
      <c r="K8" s="240"/>
    </row>
    <row r="9" spans="1:21">
      <c r="A9" s="237"/>
      <c r="B9" s="483" t="s">
        <v>1204</v>
      </c>
      <c r="C9" s="296"/>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1261</v>
      </c>
      <c r="F11" s="1589" t="s">
        <v>1998</v>
      </c>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c>
      <c r="E12" s="1591" t="str">
        <f>'Anexo 1 Matriz Inf Gestión'!E31:H31</f>
        <v>Proyecto 2.1. Administración de la oferta y demanda del recurso hídrico. (Superficiales y subterráneas) (4).</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1839</v>
      </c>
      <c r="F13" s="1593"/>
      <c r="G13" s="1593"/>
      <c r="H13" s="1593"/>
      <c r="I13" s="1593"/>
      <c r="J13" s="1593"/>
      <c r="K13" s="1593"/>
      <c r="L13" s="1593"/>
      <c r="M13" s="1593"/>
      <c r="N13" s="1593"/>
      <c r="O13" s="1593"/>
      <c r="P13" s="1593"/>
      <c r="Q13" s="1593"/>
      <c r="R13" s="1594"/>
    </row>
    <row r="14" spans="1:21" s="403" customFormat="1" ht="6.95" customHeight="1" thickBot="1">
      <c r="A14" s="237"/>
      <c r="B14" s="483"/>
      <c r="C14" s="296"/>
      <c r="D14" s="240"/>
      <c r="E14" s="240"/>
      <c r="F14" s="240"/>
      <c r="G14" s="240"/>
      <c r="H14" s="240"/>
      <c r="I14" s="240"/>
      <c r="J14" s="240"/>
      <c r="K14" s="240"/>
    </row>
    <row r="15" spans="1:21" ht="15.75" thickBot="1">
      <c r="A15" s="237"/>
      <c r="B15" s="1618" t="s">
        <v>2</v>
      </c>
      <c r="C15" s="260"/>
      <c r="D15" s="1609" t="s">
        <v>3</v>
      </c>
      <c r="E15" s="1610"/>
      <c r="F15" s="1610"/>
      <c r="G15" s="1610"/>
      <c r="H15" s="1610"/>
      <c r="I15" s="1610"/>
      <c r="J15" s="1611"/>
      <c r="K15" s="240"/>
    </row>
    <row r="16" spans="1:21" ht="24.75" thickBot="1">
      <c r="A16" s="237"/>
      <c r="B16" s="1619"/>
      <c r="C16" s="264"/>
      <c r="D16" s="265" t="s">
        <v>199</v>
      </c>
      <c r="E16" s="210">
        <v>12</v>
      </c>
      <c r="F16" s="240"/>
      <c r="G16" s="240"/>
      <c r="H16" s="240"/>
      <c r="I16" s="240"/>
      <c r="J16" s="266"/>
      <c r="K16" s="240"/>
    </row>
    <row r="17" spans="1:11" ht="40.5" customHeight="1" thickBot="1">
      <c r="A17" s="237"/>
      <c r="B17" s="1619"/>
      <c r="C17" s="264"/>
      <c r="D17" s="267" t="s">
        <v>200</v>
      </c>
      <c r="E17" s="210">
        <v>7</v>
      </c>
      <c r="F17" s="240"/>
      <c r="G17" s="240"/>
      <c r="H17" s="240"/>
      <c r="I17" s="240"/>
      <c r="J17" s="266"/>
      <c r="K17" s="240"/>
    </row>
    <row r="18" spans="1:11" ht="36.75" thickBot="1">
      <c r="A18" s="237"/>
      <c r="B18" s="1619"/>
      <c r="C18" s="264"/>
      <c r="D18" s="267" t="s">
        <v>201</v>
      </c>
      <c r="E18" s="210">
        <v>4</v>
      </c>
      <c r="F18" s="240"/>
      <c r="G18" s="240"/>
      <c r="H18" s="240"/>
      <c r="I18" s="240"/>
      <c r="J18" s="266"/>
      <c r="K18" s="240"/>
    </row>
    <row r="19" spans="1:11" ht="15.75" thickBot="1">
      <c r="A19" s="237"/>
      <c r="B19" s="1619"/>
      <c r="C19" s="268"/>
      <c r="D19" s="1624"/>
      <c r="E19" s="1625"/>
      <c r="F19" s="1625"/>
      <c r="G19" s="1625"/>
      <c r="H19" s="1625"/>
      <c r="I19" s="1625"/>
      <c r="J19" s="1626"/>
      <c r="K19" s="240"/>
    </row>
    <row r="20" spans="1:11" ht="15.75" thickBot="1">
      <c r="A20" s="237"/>
      <c r="B20" s="1619"/>
      <c r="C20" s="271" t="s">
        <v>24</v>
      </c>
      <c r="D20" s="265" t="s">
        <v>156</v>
      </c>
      <c r="E20" s="272" t="s">
        <v>25</v>
      </c>
      <c r="F20" s="272" t="s">
        <v>26</v>
      </c>
      <c r="G20" s="272" t="s">
        <v>27</v>
      </c>
      <c r="H20" s="272" t="s">
        <v>28</v>
      </c>
      <c r="I20" s="272" t="s">
        <v>157</v>
      </c>
      <c r="J20" s="112"/>
      <c r="K20" s="240"/>
    </row>
    <row r="21" spans="1:11" ht="36.75" thickBot="1">
      <c r="A21" s="237"/>
      <c r="B21" s="1619"/>
      <c r="C21" s="274" t="s">
        <v>158</v>
      </c>
      <c r="D21" s="267" t="s">
        <v>202</v>
      </c>
      <c r="E21" s="210">
        <v>0</v>
      </c>
      <c r="F21" s="210">
        <v>0</v>
      </c>
      <c r="G21" s="210">
        <v>0</v>
      </c>
      <c r="H21" s="210">
        <v>4</v>
      </c>
      <c r="I21" s="275">
        <f>SUM(E21:H21)</f>
        <v>4</v>
      </c>
      <c r="J21" s="113"/>
      <c r="K21" s="240"/>
    </row>
    <row r="22" spans="1:11" ht="36.75" thickBot="1">
      <c r="A22" s="237"/>
      <c r="B22" s="1619"/>
      <c r="C22" s="274" t="s">
        <v>160</v>
      </c>
      <c r="D22" s="267" t="s">
        <v>203</v>
      </c>
      <c r="E22" s="210">
        <v>0</v>
      </c>
      <c r="F22" s="210">
        <v>0</v>
      </c>
      <c r="G22" s="210">
        <v>0</v>
      </c>
      <c r="H22" s="210">
        <v>0</v>
      </c>
      <c r="I22" s="275">
        <f>SUM(E22:H22)</f>
        <v>0</v>
      </c>
      <c r="J22" s="113"/>
      <c r="K22" s="240"/>
    </row>
    <row r="23" spans="1:11" ht="36.75" thickBot="1">
      <c r="A23" s="237"/>
      <c r="B23" s="1620"/>
      <c r="C23" s="274" t="s">
        <v>162</v>
      </c>
      <c r="D23" s="267" t="s">
        <v>204</v>
      </c>
      <c r="E23" s="192" t="str">
        <f>IFERROR(E22/E21,"N.A.")</f>
        <v>N.A.</v>
      </c>
      <c r="F23" s="192" t="str">
        <f>IFERROR(F22/F21,"N.A.")</f>
        <v>N.A.</v>
      </c>
      <c r="G23" s="192" t="str">
        <f>IFERROR(G22/G21,"N.A.")</f>
        <v>N.A.</v>
      </c>
      <c r="H23" s="192">
        <f>IFERROR(H22/H21,"N.A.")</f>
        <v>0</v>
      </c>
      <c r="I23" s="192">
        <f>IFERROR(I22/I21,"N.A.")</f>
        <v>0</v>
      </c>
      <c r="J23" s="114"/>
      <c r="K23" s="240"/>
    </row>
    <row r="24" spans="1:11" ht="24" customHeight="1" thickBot="1">
      <c r="A24" s="237"/>
      <c r="B24" s="277" t="s">
        <v>39</v>
      </c>
      <c r="C24" s="278"/>
      <c r="D24" s="1621" t="s">
        <v>205</v>
      </c>
      <c r="E24" s="1622"/>
      <c r="F24" s="1622"/>
      <c r="G24" s="1622"/>
      <c r="H24" s="1622"/>
      <c r="I24" s="1622"/>
      <c r="J24" s="1623"/>
      <c r="K24" s="240"/>
    </row>
    <row r="25" spans="1:11" ht="24.75" thickBot="1">
      <c r="A25" s="237"/>
      <c r="B25" s="277" t="s">
        <v>41</v>
      </c>
      <c r="C25" s="278"/>
      <c r="D25" s="1621" t="s">
        <v>165</v>
      </c>
      <c r="E25" s="1622"/>
      <c r="F25" s="1622"/>
      <c r="G25" s="1622"/>
      <c r="H25" s="1622"/>
      <c r="I25" s="1622"/>
      <c r="J25" s="1623"/>
      <c r="K25" s="240"/>
    </row>
    <row r="26" spans="1:11" ht="15.75" thickBot="1">
      <c r="A26" s="237"/>
      <c r="B26" s="241"/>
      <c r="C26" s="242"/>
      <c r="D26" s="240"/>
      <c r="E26" s="240"/>
      <c r="F26" s="240"/>
      <c r="G26" s="240"/>
      <c r="H26" s="240"/>
      <c r="I26" s="240"/>
      <c r="J26" s="240"/>
      <c r="K26" s="240"/>
    </row>
    <row r="27" spans="1:11" ht="15" customHeight="1" thickBot="1">
      <c r="A27" s="237"/>
      <c r="B27" s="283" t="s">
        <v>43</v>
      </c>
      <c r="C27" s="284"/>
      <c r="D27" s="284"/>
      <c r="E27" s="284"/>
      <c r="F27" s="285"/>
      <c r="G27" s="240"/>
      <c r="H27" s="240"/>
      <c r="I27" s="240"/>
      <c r="J27" s="240"/>
      <c r="K27" s="240"/>
    </row>
    <row r="28" spans="1:11" ht="15.75" thickBot="1">
      <c r="A28" s="237"/>
      <c r="B28" s="1618">
        <v>1</v>
      </c>
      <c r="C28" s="264"/>
      <c r="D28" s="281" t="s">
        <v>44</v>
      </c>
      <c r="E28" s="31" t="s">
        <v>1616</v>
      </c>
      <c r="F28" s="308"/>
      <c r="G28" s="240"/>
      <c r="H28" s="240"/>
      <c r="I28" s="240"/>
      <c r="J28" s="240"/>
      <c r="K28" s="240"/>
    </row>
    <row r="29" spans="1:11" ht="15.75" thickBot="1">
      <c r="A29" s="237"/>
      <c r="B29" s="1619"/>
      <c r="C29" s="264"/>
      <c r="D29" s="267" t="s">
        <v>45</v>
      </c>
      <c r="E29" s="31" t="s">
        <v>1620</v>
      </c>
      <c r="F29" s="308"/>
      <c r="G29" s="240"/>
      <c r="H29" s="240"/>
      <c r="I29" s="240"/>
      <c r="J29" s="240"/>
      <c r="K29" s="240"/>
    </row>
    <row r="30" spans="1:11" ht="15.75" thickBot="1">
      <c r="A30" s="237"/>
      <c r="B30" s="1619"/>
      <c r="C30" s="264"/>
      <c r="D30" s="267" t="s">
        <v>46</v>
      </c>
      <c r="E30" s="31" t="s">
        <v>1621</v>
      </c>
      <c r="F30" s="308"/>
      <c r="G30" s="240"/>
      <c r="H30" s="240"/>
      <c r="I30" s="240"/>
      <c r="J30" s="240"/>
      <c r="K30" s="240"/>
    </row>
    <row r="31" spans="1:11" ht="15.75" thickBot="1">
      <c r="A31" s="237"/>
      <c r="B31" s="1619"/>
      <c r="C31" s="264"/>
      <c r="D31" s="267" t="s">
        <v>47</v>
      </c>
      <c r="E31" s="31" t="s">
        <v>1811</v>
      </c>
      <c r="F31" s="308"/>
      <c r="G31" s="240"/>
      <c r="H31" s="240"/>
      <c r="I31" s="240"/>
      <c r="J31" s="240"/>
      <c r="K31" s="240"/>
    </row>
    <row r="32" spans="1:11" ht="15.75" thickBot="1">
      <c r="A32" s="237"/>
      <c r="B32" s="1619"/>
      <c r="C32" s="264"/>
      <c r="D32" s="267" t="s">
        <v>48</v>
      </c>
      <c r="E32" s="31" t="s">
        <v>1622</v>
      </c>
      <c r="F32" s="308"/>
      <c r="G32" s="240"/>
      <c r="H32" s="240"/>
      <c r="I32" s="240"/>
      <c r="J32" s="240"/>
      <c r="K32" s="240"/>
    </row>
    <row r="33" spans="1:11" ht="15.75" thickBot="1">
      <c r="A33" s="237"/>
      <c r="B33" s="1619"/>
      <c r="C33" s="264"/>
      <c r="D33" s="267" t="s">
        <v>49</v>
      </c>
      <c r="E33" s="31" t="s">
        <v>1624</v>
      </c>
      <c r="F33" s="308"/>
      <c r="G33" s="240"/>
      <c r="H33" s="240"/>
      <c r="I33" s="240"/>
      <c r="J33" s="240"/>
      <c r="K33" s="240"/>
    </row>
    <row r="34" spans="1:11" ht="15.75" thickBot="1">
      <c r="A34" s="237"/>
      <c r="B34" s="1620"/>
      <c r="C34" s="274"/>
      <c r="D34" s="267" t="s">
        <v>50</v>
      </c>
      <c r="E34" s="31" t="s">
        <v>1623</v>
      </c>
      <c r="F34" s="308"/>
      <c r="G34" s="240"/>
      <c r="H34" s="240"/>
      <c r="I34" s="240"/>
      <c r="J34" s="240"/>
      <c r="K34" s="240"/>
    </row>
    <row r="35" spans="1:11" ht="15.75" thickBot="1">
      <c r="A35" s="237"/>
      <c r="B35" s="241"/>
      <c r="C35" s="242"/>
      <c r="D35" s="240"/>
      <c r="E35" s="240"/>
      <c r="F35" s="240"/>
      <c r="G35" s="240"/>
      <c r="H35" s="240"/>
      <c r="I35" s="240"/>
      <c r="J35" s="240"/>
      <c r="K35" s="240"/>
    </row>
    <row r="36" spans="1:11" ht="15" customHeight="1" thickBot="1">
      <c r="A36" s="237"/>
      <c r="B36" s="283" t="s">
        <v>51</v>
      </c>
      <c r="C36" s="284"/>
      <c r="D36" s="284"/>
      <c r="E36" s="284"/>
      <c r="F36" s="285"/>
      <c r="G36" s="240"/>
      <c r="H36" s="240"/>
      <c r="I36" s="240"/>
      <c r="J36" s="240"/>
      <c r="K36" s="240"/>
    </row>
    <row r="37" spans="1:11" ht="15.75" thickBot="1">
      <c r="A37" s="237"/>
      <c r="B37" s="1618">
        <v>1</v>
      </c>
      <c r="C37" s="264"/>
      <c r="D37" s="281" t="s">
        <v>44</v>
      </c>
      <c r="E37" s="294" t="s">
        <v>52</v>
      </c>
      <c r="F37" s="308"/>
      <c r="G37" s="240"/>
      <c r="H37" s="240"/>
      <c r="I37" s="240"/>
      <c r="J37" s="240"/>
      <c r="K37" s="240"/>
    </row>
    <row r="38" spans="1:11" ht="15.75" thickBot="1">
      <c r="A38" s="237"/>
      <c r="B38" s="1619"/>
      <c r="C38" s="264"/>
      <c r="D38" s="267" t="s">
        <v>45</v>
      </c>
      <c r="E38" s="294" t="s">
        <v>166</v>
      </c>
      <c r="F38" s="308"/>
      <c r="G38" s="240"/>
      <c r="H38" s="240"/>
      <c r="I38" s="240"/>
      <c r="J38" s="240"/>
      <c r="K38" s="240"/>
    </row>
    <row r="39" spans="1:11" ht="15.75" thickBot="1">
      <c r="A39" s="237"/>
      <c r="B39" s="1619"/>
      <c r="C39" s="264"/>
      <c r="D39" s="267" t="s">
        <v>46</v>
      </c>
      <c r="E39" s="307"/>
      <c r="F39" s="308"/>
      <c r="G39" s="240"/>
      <c r="H39" s="240"/>
      <c r="I39" s="240"/>
      <c r="J39" s="240"/>
      <c r="K39" s="240"/>
    </row>
    <row r="40" spans="1:11" ht="15.75" thickBot="1">
      <c r="A40" s="237"/>
      <c r="B40" s="1619"/>
      <c r="C40" s="264"/>
      <c r="D40" s="267" t="s">
        <v>47</v>
      </c>
      <c r="E40" s="307"/>
      <c r="F40" s="308"/>
      <c r="G40" s="240"/>
      <c r="H40" s="240"/>
      <c r="I40" s="240"/>
      <c r="J40" s="240"/>
      <c r="K40" s="240"/>
    </row>
    <row r="41" spans="1:11" ht="15.75" thickBot="1">
      <c r="A41" s="237"/>
      <c r="B41" s="1619"/>
      <c r="C41" s="264"/>
      <c r="D41" s="267" t="s">
        <v>48</v>
      </c>
      <c r="E41" s="307"/>
      <c r="F41" s="308"/>
      <c r="G41" s="240"/>
      <c r="H41" s="240"/>
      <c r="I41" s="240"/>
      <c r="J41" s="240"/>
      <c r="K41" s="240"/>
    </row>
    <row r="42" spans="1:11" ht="15.75" thickBot="1">
      <c r="A42" s="237"/>
      <c r="B42" s="1619"/>
      <c r="C42" s="264"/>
      <c r="D42" s="267" t="s">
        <v>49</v>
      </c>
      <c r="E42" s="307"/>
      <c r="F42" s="308"/>
      <c r="G42" s="240"/>
      <c r="H42" s="240"/>
      <c r="I42" s="240"/>
      <c r="J42" s="240"/>
      <c r="K42" s="240"/>
    </row>
    <row r="43" spans="1:11" ht="15.75" thickBot="1">
      <c r="A43" s="237"/>
      <c r="B43" s="1620"/>
      <c r="C43" s="274"/>
      <c r="D43" s="267" t="s">
        <v>50</v>
      </c>
      <c r="E43" s="307"/>
      <c r="F43" s="308"/>
      <c r="G43" s="240"/>
      <c r="H43" s="240"/>
      <c r="I43" s="240"/>
      <c r="J43" s="240"/>
      <c r="K43" s="240"/>
    </row>
    <row r="44" spans="1:11" ht="15.75" thickBot="1">
      <c r="A44" s="237"/>
      <c r="B44" s="241"/>
      <c r="C44" s="242"/>
      <c r="D44" s="240"/>
      <c r="E44" s="240"/>
      <c r="F44" s="240"/>
      <c r="G44" s="240"/>
      <c r="H44" s="240"/>
      <c r="I44" s="240"/>
      <c r="J44" s="240"/>
      <c r="K44" s="240"/>
    </row>
    <row r="45" spans="1:11" ht="15" customHeight="1" thickBot="1">
      <c r="A45" s="237"/>
      <c r="B45" s="283" t="s">
        <v>54</v>
      </c>
      <c r="C45" s="284"/>
      <c r="D45" s="284"/>
      <c r="E45" s="285"/>
      <c r="F45" s="237"/>
      <c r="G45" s="240"/>
      <c r="H45" s="240"/>
      <c r="I45" s="240"/>
      <c r="J45" s="240"/>
      <c r="K45" s="240"/>
    </row>
    <row r="46" spans="1:11" ht="24.75" thickBot="1">
      <c r="A46" s="237"/>
      <c r="B46" s="277" t="s">
        <v>55</v>
      </c>
      <c r="C46" s="267" t="s">
        <v>56</v>
      </c>
      <c r="D46" s="267" t="s">
        <v>57</v>
      </c>
      <c r="E46" s="267" t="s">
        <v>58</v>
      </c>
      <c r="F46" s="240"/>
      <c r="G46" s="240"/>
      <c r="H46" s="240"/>
      <c r="I46" s="240"/>
      <c r="J46" s="240"/>
      <c r="K46" s="237"/>
    </row>
    <row r="47" spans="1:11" ht="72.75" thickBot="1">
      <c r="A47" s="237"/>
      <c r="B47" s="287">
        <v>42401</v>
      </c>
      <c r="C47" s="267">
        <v>0.01</v>
      </c>
      <c r="D47" s="299" t="s">
        <v>206</v>
      </c>
      <c r="E47" s="267"/>
      <c r="F47" s="240"/>
      <c r="G47" s="240"/>
      <c r="H47" s="240"/>
      <c r="I47" s="240"/>
      <c r="J47" s="240"/>
      <c r="K47" s="237"/>
    </row>
    <row r="48" spans="1:11" ht="15.75" thickBot="1">
      <c r="A48" s="237"/>
      <c r="B48" s="300"/>
      <c r="C48" s="301"/>
      <c r="D48" s="240"/>
      <c r="E48" s="240"/>
      <c r="F48" s="240"/>
      <c r="G48" s="240"/>
      <c r="H48" s="240"/>
      <c r="I48" s="240"/>
      <c r="J48" s="240"/>
      <c r="K48" s="240"/>
    </row>
    <row r="49" spans="1:11">
      <c r="A49" s="237"/>
      <c r="B49" s="289" t="s">
        <v>60</v>
      </c>
      <c r="C49" s="290"/>
      <c r="D49" s="240"/>
      <c r="E49" s="240"/>
      <c r="F49" s="240"/>
      <c r="G49" s="240"/>
      <c r="H49" s="240"/>
      <c r="I49" s="240"/>
      <c r="J49" s="240"/>
      <c r="K49" s="240"/>
    </row>
    <row r="50" spans="1:11">
      <c r="A50" s="237"/>
      <c r="B50" s="1651"/>
      <c r="C50" s="1652"/>
      <c r="D50" s="1652"/>
      <c r="E50" s="1653"/>
      <c r="F50" s="240"/>
      <c r="G50" s="240"/>
      <c r="H50" s="240"/>
      <c r="I50" s="240"/>
      <c r="J50" s="240"/>
      <c r="K50" s="240"/>
    </row>
    <row r="51" spans="1:11">
      <c r="A51" s="237"/>
      <c r="B51" s="1654"/>
      <c r="C51" s="1655"/>
      <c r="D51" s="1655"/>
      <c r="E51" s="1656"/>
      <c r="F51" s="240"/>
      <c r="G51" s="240"/>
      <c r="H51" s="240"/>
      <c r="I51" s="240"/>
      <c r="J51" s="240"/>
      <c r="K51" s="240"/>
    </row>
    <row r="52" spans="1:11" ht="15.75" thickBot="1">
      <c r="A52" s="237"/>
      <c r="B52" s="240"/>
      <c r="C52" s="257"/>
      <c r="D52" s="240"/>
      <c r="E52" s="240"/>
      <c r="F52" s="240"/>
      <c r="G52" s="240"/>
      <c r="H52" s="240"/>
      <c r="I52" s="240"/>
      <c r="J52" s="240"/>
      <c r="K52" s="240"/>
    </row>
    <row r="53" spans="1:11" ht="24.75" thickBot="1">
      <c r="A53" s="237"/>
      <c r="B53" s="302" t="s">
        <v>61</v>
      </c>
      <c r="C53" s="303"/>
      <c r="D53" s="240"/>
      <c r="E53" s="240"/>
      <c r="F53" s="240"/>
      <c r="G53" s="240"/>
      <c r="H53" s="240"/>
      <c r="I53" s="240"/>
      <c r="J53" s="240"/>
      <c r="K53" s="240"/>
    </row>
    <row r="54" spans="1:11" ht="15.75" thickBot="1">
      <c r="A54" s="237"/>
      <c r="B54" s="241"/>
      <c r="C54" s="242"/>
      <c r="D54" s="240"/>
      <c r="E54" s="240"/>
      <c r="F54" s="240"/>
      <c r="G54" s="240"/>
      <c r="H54" s="240"/>
      <c r="I54" s="240"/>
      <c r="J54" s="240"/>
      <c r="K54" s="240"/>
    </row>
    <row r="55" spans="1:11" ht="60.75" thickBot="1">
      <c r="A55" s="237"/>
      <c r="B55" s="291" t="s">
        <v>62</v>
      </c>
      <c r="C55" s="271"/>
      <c r="D55" s="265" t="s">
        <v>190</v>
      </c>
      <c r="E55" s="240"/>
      <c r="F55" s="240"/>
      <c r="G55" s="240"/>
      <c r="H55" s="240"/>
      <c r="I55" s="240"/>
      <c r="J55" s="240"/>
      <c r="K55" s="240"/>
    </row>
    <row r="56" spans="1:11">
      <c r="A56" s="237"/>
      <c r="B56" s="1618" t="s">
        <v>64</v>
      </c>
      <c r="C56" s="264"/>
      <c r="D56" s="304" t="s">
        <v>65</v>
      </c>
      <c r="E56" s="240"/>
      <c r="F56" s="240"/>
      <c r="G56" s="240"/>
      <c r="H56" s="240"/>
      <c r="I56" s="240"/>
      <c r="J56" s="240"/>
      <c r="K56" s="240"/>
    </row>
    <row r="57" spans="1:11" ht="60">
      <c r="A57" s="237"/>
      <c r="B57" s="1619"/>
      <c r="C57" s="264"/>
      <c r="D57" s="305" t="s">
        <v>191</v>
      </c>
      <c r="E57" s="240"/>
      <c r="F57" s="240"/>
      <c r="G57" s="240"/>
      <c r="H57" s="240"/>
      <c r="I57" s="240"/>
      <c r="J57" s="240"/>
      <c r="K57" s="240"/>
    </row>
    <row r="58" spans="1:11">
      <c r="A58" s="237"/>
      <c r="B58" s="1619"/>
      <c r="C58" s="264"/>
      <c r="D58" s="304" t="s">
        <v>139</v>
      </c>
      <c r="E58" s="240"/>
      <c r="F58" s="240"/>
      <c r="G58" s="240"/>
      <c r="H58" s="240"/>
      <c r="I58" s="240"/>
      <c r="J58" s="240"/>
      <c r="K58" s="240"/>
    </row>
    <row r="59" spans="1:11" ht="24">
      <c r="A59" s="237"/>
      <c r="B59" s="1619"/>
      <c r="C59" s="264"/>
      <c r="D59" s="305" t="s">
        <v>141</v>
      </c>
      <c r="E59" s="240"/>
      <c r="F59" s="240"/>
      <c r="G59" s="240"/>
      <c r="H59" s="240"/>
      <c r="I59" s="240"/>
      <c r="J59" s="240"/>
      <c r="K59" s="240"/>
    </row>
    <row r="60" spans="1:11">
      <c r="A60" s="237"/>
      <c r="B60" s="1619"/>
      <c r="C60" s="264"/>
      <c r="D60" s="305" t="s">
        <v>171</v>
      </c>
      <c r="E60" s="240"/>
      <c r="F60" s="240"/>
      <c r="G60" s="240"/>
      <c r="H60" s="240"/>
      <c r="I60" s="240"/>
      <c r="J60" s="240"/>
      <c r="K60" s="240"/>
    </row>
    <row r="61" spans="1:11" ht="36">
      <c r="A61" s="237"/>
      <c r="B61" s="1619"/>
      <c r="C61" s="264"/>
      <c r="D61" s="305" t="s">
        <v>145</v>
      </c>
      <c r="E61" s="240"/>
      <c r="F61" s="240"/>
      <c r="G61" s="240"/>
      <c r="H61" s="240"/>
      <c r="I61" s="240"/>
      <c r="J61" s="240"/>
      <c r="K61" s="240"/>
    </row>
    <row r="62" spans="1:11">
      <c r="A62" s="237"/>
      <c r="B62" s="1619"/>
      <c r="C62" s="264"/>
      <c r="D62" s="304" t="s">
        <v>146</v>
      </c>
      <c r="E62" s="240"/>
      <c r="F62" s="240"/>
      <c r="G62" s="240"/>
      <c r="H62" s="240"/>
      <c r="I62" s="240"/>
      <c r="J62" s="240"/>
      <c r="K62" s="240"/>
    </row>
    <row r="63" spans="1:11" ht="24.75" thickBot="1">
      <c r="A63" s="237"/>
      <c r="B63" s="1620"/>
      <c r="C63" s="274"/>
      <c r="D63" s="267" t="s">
        <v>147</v>
      </c>
      <c r="E63" s="240"/>
      <c r="F63" s="240"/>
      <c r="G63" s="240"/>
      <c r="H63" s="240"/>
      <c r="I63" s="240"/>
      <c r="J63" s="240"/>
      <c r="K63" s="240"/>
    </row>
    <row r="64" spans="1:11" ht="24.75" thickBot="1">
      <c r="A64" s="237"/>
      <c r="B64" s="277" t="s">
        <v>77</v>
      </c>
      <c r="C64" s="274"/>
      <c r="D64" s="267"/>
      <c r="E64" s="240"/>
      <c r="F64" s="240"/>
      <c r="G64" s="240"/>
      <c r="H64" s="240"/>
      <c r="I64" s="240"/>
      <c r="J64" s="240"/>
      <c r="K64" s="240"/>
    </row>
    <row r="65" spans="1:11" ht="108">
      <c r="A65" s="237"/>
      <c r="B65" s="1618" t="s">
        <v>78</v>
      </c>
      <c r="C65" s="264"/>
      <c r="D65" s="305" t="s">
        <v>192</v>
      </c>
      <c r="E65" s="240"/>
      <c r="F65" s="240"/>
      <c r="G65" s="240"/>
      <c r="H65" s="240"/>
      <c r="I65" s="240"/>
      <c r="J65" s="240"/>
      <c r="K65" s="240"/>
    </row>
    <row r="66" spans="1:11" ht="240">
      <c r="A66" s="237"/>
      <c r="B66" s="1619"/>
      <c r="C66" s="264"/>
      <c r="D66" s="305" t="s">
        <v>193</v>
      </c>
      <c r="E66" s="240"/>
      <c r="F66" s="240"/>
      <c r="G66" s="240"/>
      <c r="H66" s="240"/>
      <c r="I66" s="240"/>
      <c r="J66" s="240"/>
      <c r="K66" s="240"/>
    </row>
    <row r="67" spans="1:11" ht="48.75" thickBot="1">
      <c r="A67" s="237"/>
      <c r="B67" s="1620"/>
      <c r="C67" s="274"/>
      <c r="D67" s="267" t="s">
        <v>194</v>
      </c>
      <c r="E67" s="240"/>
      <c r="F67" s="240"/>
      <c r="G67" s="240"/>
      <c r="H67" s="240"/>
      <c r="I67" s="240"/>
      <c r="J67" s="240"/>
      <c r="K67" s="240"/>
    </row>
    <row r="68" spans="1:11">
      <c r="A68" s="237"/>
      <c r="B68" s="1618" t="s">
        <v>95</v>
      </c>
      <c r="C68" s="264"/>
      <c r="D68" s="305"/>
      <c r="E68" s="240"/>
      <c r="F68" s="240"/>
      <c r="G68" s="240"/>
      <c r="H68" s="240"/>
      <c r="I68" s="240"/>
      <c r="J68" s="240"/>
      <c r="K68" s="240"/>
    </row>
    <row r="69" spans="1:11">
      <c r="A69" s="237"/>
      <c r="B69" s="1619"/>
      <c r="C69" s="264"/>
      <c r="D69" s="306"/>
      <c r="E69" s="240"/>
      <c r="F69" s="240"/>
      <c r="G69" s="240"/>
      <c r="H69" s="240"/>
      <c r="I69" s="240"/>
      <c r="J69" s="240"/>
      <c r="K69" s="240"/>
    </row>
    <row r="70" spans="1:11">
      <c r="A70" s="237"/>
      <c r="B70" s="1619"/>
      <c r="C70" s="264"/>
      <c r="D70" s="305" t="s">
        <v>96</v>
      </c>
      <c r="E70" s="240"/>
      <c r="F70" s="240"/>
      <c r="G70" s="240"/>
      <c r="H70" s="240"/>
      <c r="I70" s="240"/>
      <c r="J70" s="240"/>
      <c r="K70" s="240"/>
    </row>
    <row r="71" spans="1:11" ht="37.5">
      <c r="A71" s="237"/>
      <c r="B71" s="1619"/>
      <c r="C71" s="264"/>
      <c r="D71" s="305" t="s">
        <v>195</v>
      </c>
      <c r="E71" s="240"/>
      <c r="F71" s="240"/>
      <c r="G71" s="240"/>
      <c r="H71" s="240"/>
      <c r="I71" s="240"/>
      <c r="J71" s="240"/>
      <c r="K71" s="240"/>
    </row>
    <row r="72" spans="1:11" ht="37.5">
      <c r="A72" s="237"/>
      <c r="B72" s="1619"/>
      <c r="C72" s="264"/>
      <c r="D72" s="305" t="s">
        <v>196</v>
      </c>
      <c r="E72" s="240"/>
      <c r="F72" s="240"/>
      <c r="G72" s="240"/>
      <c r="H72" s="240"/>
      <c r="I72" s="240"/>
      <c r="J72" s="240"/>
      <c r="K72" s="240"/>
    </row>
    <row r="73" spans="1:11" ht="37.5">
      <c r="A73" s="237"/>
      <c r="B73" s="1619"/>
      <c r="C73" s="264"/>
      <c r="D73" s="305" t="s">
        <v>197</v>
      </c>
      <c r="E73" s="240"/>
      <c r="F73" s="240"/>
      <c r="G73" s="240"/>
      <c r="H73" s="240"/>
      <c r="I73" s="240"/>
      <c r="J73" s="240"/>
      <c r="K73" s="240"/>
    </row>
    <row r="74" spans="1:11" ht="48.75" thickBot="1">
      <c r="A74" s="237"/>
      <c r="B74" s="1620"/>
      <c r="C74" s="274"/>
      <c r="D74" s="267" t="s">
        <v>198</v>
      </c>
      <c r="E74" s="240"/>
      <c r="F74" s="240"/>
      <c r="G74" s="240"/>
      <c r="H74" s="240"/>
      <c r="I74" s="240"/>
      <c r="J74" s="240"/>
      <c r="K74" s="240"/>
    </row>
    <row r="75" spans="1:11">
      <c r="A75" s="237"/>
      <c r="B75" s="240"/>
      <c r="C75" s="257"/>
      <c r="D75" s="240"/>
      <c r="E75" s="240"/>
      <c r="F75" s="240"/>
      <c r="G75" s="240"/>
      <c r="H75" s="240"/>
      <c r="I75" s="240"/>
      <c r="J75" s="240"/>
      <c r="K75" s="240"/>
    </row>
  </sheetData>
  <sheetProtection sheet="1" objects="1" scenarios="1"/>
  <mergeCells count="21">
    <mergeCell ref="B10:D10"/>
    <mergeCell ref="F10:S10"/>
    <mergeCell ref="F11:S11"/>
    <mergeCell ref="E12:R12"/>
    <mergeCell ref="E13:R13"/>
    <mergeCell ref="B56:B63"/>
    <mergeCell ref="B65:B67"/>
    <mergeCell ref="B68:B74"/>
    <mergeCell ref="B15:B23"/>
    <mergeCell ref="D15:J15"/>
    <mergeCell ref="D19:J19"/>
    <mergeCell ref="D24:J24"/>
    <mergeCell ref="D25:J25"/>
    <mergeCell ref="B28:B34"/>
    <mergeCell ref="B37:B43"/>
    <mergeCell ref="B50:E51"/>
    <mergeCell ref="A1:P1"/>
    <mergeCell ref="A2:P2"/>
    <mergeCell ref="A3:P3"/>
    <mergeCell ref="A4:D4"/>
    <mergeCell ref="A5:P5"/>
  </mergeCells>
  <conditionalFormatting sqref="F10">
    <cfRule type="notContainsBlanks" dxfId="116" priority="4">
      <formula>LEN(TRIM(F10))&gt;0</formula>
    </cfRule>
  </conditionalFormatting>
  <conditionalFormatting sqref="F11:S11">
    <cfRule type="expression" dxfId="115" priority="2">
      <formula>E11="NO SE REPORTA"</formula>
    </cfRule>
    <cfRule type="expression" dxfId="114" priority="3">
      <formula>E10="NO APLICA"</formula>
    </cfRule>
  </conditionalFormatting>
  <conditionalFormatting sqref="E12:R12">
    <cfRule type="expression" dxfId="11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topLeftCell="A7" zoomScale="98" zoomScaleNormal="98" workbookViewId="0">
      <selection activeCell="H22" sqref="H22"/>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207</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44"/>
      <c r="D7" s="240"/>
      <c r="E7" s="245"/>
      <c r="F7" s="240" t="s">
        <v>134</v>
      </c>
      <c r="G7" s="240"/>
      <c r="H7" s="240"/>
      <c r="I7" s="240"/>
      <c r="J7" s="240"/>
      <c r="K7" s="240"/>
    </row>
    <row r="8" spans="1:21" ht="15.75" thickBot="1">
      <c r="A8" s="237"/>
      <c r="B8" s="253" t="s">
        <v>1203</v>
      </c>
      <c r="C8" s="254">
        <v>2018</v>
      </c>
      <c r="D8" s="249">
        <f>IF(E10="NO APLICA","NO APLICA",IF(E11="NO SE REPORTA","SIN INFORMACION",+H22))</f>
        <v>0.55000000000000004</v>
      </c>
      <c r="E8" s="256"/>
      <c r="F8" s="240" t="s">
        <v>135</v>
      </c>
      <c r="G8" s="240"/>
      <c r="H8" s="240"/>
      <c r="I8" s="240"/>
      <c r="J8" s="240"/>
      <c r="K8" s="240"/>
    </row>
    <row r="9" spans="1:21">
      <c r="A9" s="237"/>
      <c r="B9" s="483" t="s">
        <v>1204</v>
      </c>
      <c r="C9" s="296"/>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Gestión'!E80:H80</f>
        <v>Proyecto No. 6.1.  (13). Evaluación, Seguimiento, Monitoreo y Control de la calidad de los recursos naturales y la biodiversidad.</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A14" s="237"/>
      <c r="B14" s="483"/>
      <c r="C14" s="296"/>
      <c r="D14" s="240"/>
      <c r="E14" s="240"/>
      <c r="F14" s="240"/>
      <c r="G14" s="240"/>
      <c r="H14" s="240"/>
      <c r="I14" s="240"/>
      <c r="J14" s="240"/>
      <c r="K14" s="240"/>
    </row>
    <row r="15" spans="1:21" ht="15.75" thickBot="1">
      <c r="A15" s="237"/>
      <c r="B15" s="1618" t="s">
        <v>2</v>
      </c>
      <c r="C15" s="260"/>
      <c r="D15" s="1609" t="s">
        <v>3</v>
      </c>
      <c r="E15" s="1610"/>
      <c r="F15" s="1610"/>
      <c r="G15" s="1610"/>
      <c r="H15" s="1610"/>
      <c r="I15" s="1610"/>
      <c r="J15" s="1611"/>
      <c r="K15" s="240"/>
    </row>
    <row r="16" spans="1:21" ht="36.75" thickBot="1">
      <c r="A16" s="237"/>
      <c r="B16" s="1619"/>
      <c r="C16" s="264"/>
      <c r="D16" s="265" t="s">
        <v>221</v>
      </c>
      <c r="E16" s="210">
        <v>7</v>
      </c>
      <c r="F16" s="240"/>
      <c r="G16" s="240"/>
      <c r="H16" s="240"/>
      <c r="I16" s="240"/>
      <c r="J16" s="266"/>
      <c r="K16" s="240"/>
    </row>
    <row r="17" spans="1:11" ht="48.75" thickBot="1">
      <c r="A17" s="237"/>
      <c r="B17" s="1619"/>
      <c r="C17" s="264"/>
      <c r="D17" s="267" t="s">
        <v>222</v>
      </c>
      <c r="E17" s="210">
        <v>7</v>
      </c>
      <c r="F17" s="240"/>
      <c r="G17" s="240"/>
      <c r="H17" s="240"/>
      <c r="I17" s="240"/>
      <c r="J17" s="266"/>
      <c r="K17" s="240"/>
    </row>
    <row r="18" spans="1:11" ht="15.75" thickBot="1">
      <c r="A18" s="237"/>
      <c r="B18" s="1619"/>
      <c r="C18" s="268"/>
      <c r="D18" s="1624"/>
      <c r="E18" s="1625"/>
      <c r="F18" s="1625"/>
      <c r="G18" s="1625"/>
      <c r="H18" s="1625"/>
      <c r="I18" s="1625"/>
      <c r="J18" s="1626"/>
      <c r="K18" s="240"/>
    </row>
    <row r="19" spans="1:11" ht="15.75" thickBot="1">
      <c r="A19" s="237"/>
      <c r="B19" s="1619"/>
      <c r="C19" s="271" t="s">
        <v>24</v>
      </c>
      <c r="D19" s="265" t="s">
        <v>156</v>
      </c>
      <c r="E19" s="309" t="s">
        <v>25</v>
      </c>
      <c r="F19" s="309" t="s">
        <v>26</v>
      </c>
      <c r="G19" s="309" t="s">
        <v>27</v>
      </c>
      <c r="H19" s="309" t="s">
        <v>28</v>
      </c>
      <c r="I19" s="226" t="s">
        <v>60</v>
      </c>
      <c r="J19" s="112"/>
      <c r="K19" s="240"/>
    </row>
    <row r="20" spans="1:11" ht="36.75" thickBot="1">
      <c r="A20" s="237"/>
      <c r="B20" s="1619"/>
      <c r="C20" s="274" t="s">
        <v>158</v>
      </c>
      <c r="D20" s="267" t="s">
        <v>223</v>
      </c>
      <c r="E20" s="210">
        <v>7</v>
      </c>
      <c r="F20" s="210">
        <v>7</v>
      </c>
      <c r="G20" s="210">
        <v>10</v>
      </c>
      <c r="H20" s="210">
        <v>11</v>
      </c>
      <c r="I20" s="31"/>
      <c r="J20" s="113"/>
      <c r="K20" s="240"/>
    </row>
    <row r="21" spans="1:11" ht="36.75" thickBot="1">
      <c r="A21" s="237"/>
      <c r="B21" s="1619"/>
      <c r="C21" s="274" t="s">
        <v>160</v>
      </c>
      <c r="D21" s="267" t="s">
        <v>224</v>
      </c>
      <c r="E21" s="210">
        <v>7</v>
      </c>
      <c r="F21" s="210">
        <v>7</v>
      </c>
      <c r="G21" s="210">
        <v>10</v>
      </c>
      <c r="H21" s="210">
        <f>5+1</f>
        <v>6</v>
      </c>
      <c r="I21" s="31"/>
      <c r="J21" s="113"/>
      <c r="K21" s="240"/>
    </row>
    <row r="22" spans="1:11" ht="36.75" thickBot="1">
      <c r="A22" s="237"/>
      <c r="B22" s="1620"/>
      <c r="C22" s="274" t="s">
        <v>162</v>
      </c>
      <c r="D22" s="267" t="s">
        <v>225</v>
      </c>
      <c r="E22" s="192">
        <f>IFERROR(E21/E20,"N.A.")</f>
        <v>1</v>
      </c>
      <c r="F22" s="192">
        <f>IFERROR(F21/F20,"N.A.")</f>
        <v>1</v>
      </c>
      <c r="G22" s="192">
        <f>IFERROR(G21/G20,"N.A.")</f>
        <v>1</v>
      </c>
      <c r="H22" s="192">
        <f>IFERROR(H21/H20,"N.A.")</f>
        <v>0.55000000000000004</v>
      </c>
      <c r="I22" s="481"/>
      <c r="J22" s="114"/>
      <c r="K22" s="240"/>
    </row>
    <row r="23" spans="1:11" ht="24" customHeight="1" thickBot="1">
      <c r="A23" s="237"/>
      <c r="B23" s="277" t="s">
        <v>39</v>
      </c>
      <c r="C23" s="278"/>
      <c r="D23" s="1621" t="s">
        <v>226</v>
      </c>
      <c r="E23" s="1622"/>
      <c r="F23" s="1622"/>
      <c r="G23" s="1622"/>
      <c r="H23" s="1622"/>
      <c r="I23" s="1622"/>
      <c r="J23" s="1623"/>
      <c r="K23" s="240"/>
    </row>
    <row r="24" spans="1:11" ht="24.75" thickBot="1">
      <c r="A24" s="237"/>
      <c r="B24" s="277" t="s">
        <v>41</v>
      </c>
      <c r="C24" s="278"/>
      <c r="D24" s="1621" t="s">
        <v>165</v>
      </c>
      <c r="E24" s="1622"/>
      <c r="F24" s="1622"/>
      <c r="G24" s="1622"/>
      <c r="H24" s="1622"/>
      <c r="I24" s="1622"/>
      <c r="J24" s="1623"/>
      <c r="K24" s="240"/>
    </row>
    <row r="25" spans="1:11" ht="15.75" thickBot="1">
      <c r="A25" s="237"/>
      <c r="B25" s="310"/>
      <c r="C25" s="296"/>
      <c r="D25" s="240"/>
      <c r="E25" s="240"/>
      <c r="F25" s="240"/>
      <c r="G25" s="240"/>
      <c r="H25" s="240"/>
      <c r="I25" s="240"/>
      <c r="J25" s="311"/>
      <c r="K25" s="240"/>
    </row>
    <row r="26" spans="1:11" ht="15" customHeight="1" thickBot="1">
      <c r="A26" s="237"/>
      <c r="B26" s="283" t="s">
        <v>43</v>
      </c>
      <c r="C26" s="312"/>
      <c r="D26" s="312"/>
      <c r="E26" s="312"/>
      <c r="F26" s="312"/>
      <c r="G26" s="312"/>
      <c r="H26" s="312"/>
      <c r="I26" s="312"/>
      <c r="J26" s="313"/>
      <c r="K26" s="240"/>
    </row>
    <row r="27" spans="1:11" ht="15.75" thickBot="1">
      <c r="A27" s="237"/>
      <c r="B27" s="1618">
        <v>1</v>
      </c>
      <c r="C27" s="260"/>
      <c r="D27" s="314" t="s">
        <v>44</v>
      </c>
      <c r="E27" s="1666" t="s">
        <v>1616</v>
      </c>
      <c r="F27" s="1667"/>
      <c r="G27" s="237"/>
      <c r="H27" s="237"/>
      <c r="I27" s="308"/>
      <c r="J27" s="315"/>
      <c r="K27" s="240"/>
    </row>
    <row r="28" spans="1:11" ht="15.75" thickBot="1">
      <c r="A28" s="237"/>
      <c r="B28" s="1619"/>
      <c r="C28" s="268"/>
      <c r="D28" s="316" t="s">
        <v>45</v>
      </c>
      <c r="E28" s="1666" t="s">
        <v>1661</v>
      </c>
      <c r="F28" s="1667"/>
      <c r="G28" s="237"/>
      <c r="H28" s="237"/>
      <c r="I28" s="308"/>
      <c r="J28" s="266"/>
      <c r="K28" s="240"/>
    </row>
    <row r="29" spans="1:11" ht="15.75" thickBot="1">
      <c r="A29" s="237"/>
      <c r="B29" s="1619"/>
      <c r="C29" s="268"/>
      <c r="D29" s="316" t="s">
        <v>46</v>
      </c>
      <c r="E29" s="1666" t="s">
        <v>2034</v>
      </c>
      <c r="F29" s="1667"/>
      <c r="G29" s="237"/>
      <c r="H29" s="237"/>
      <c r="I29" s="308"/>
      <c r="J29" s="266"/>
      <c r="K29" s="240"/>
    </row>
    <row r="30" spans="1:11" ht="15.75" thickBot="1">
      <c r="A30" s="237"/>
      <c r="B30" s="1619"/>
      <c r="C30" s="268"/>
      <c r="D30" s="316" t="s">
        <v>47</v>
      </c>
      <c r="E30" s="1666" t="s">
        <v>1812</v>
      </c>
      <c r="F30" s="1667"/>
      <c r="G30" s="237"/>
      <c r="H30" s="237"/>
      <c r="I30" s="308"/>
      <c r="J30" s="266"/>
      <c r="K30" s="240"/>
    </row>
    <row r="31" spans="1:11" ht="15.75" thickBot="1">
      <c r="A31" s="237"/>
      <c r="B31" s="1619"/>
      <c r="C31" s="268"/>
      <c r="D31" s="316" t="s">
        <v>48</v>
      </c>
      <c r="E31" s="1666" t="s">
        <v>2015</v>
      </c>
      <c r="F31" s="1667"/>
      <c r="G31" s="237"/>
      <c r="H31" s="237"/>
      <c r="I31" s="308"/>
      <c r="J31" s="266"/>
      <c r="K31" s="240"/>
    </row>
    <row r="32" spans="1:11" ht="15.75" thickBot="1">
      <c r="A32" s="237"/>
      <c r="B32" s="1619"/>
      <c r="C32" s="268"/>
      <c r="D32" s="316" t="s">
        <v>49</v>
      </c>
      <c r="E32" s="1666" t="s">
        <v>1663</v>
      </c>
      <c r="F32" s="1667"/>
      <c r="G32" s="237"/>
      <c r="H32" s="237"/>
      <c r="I32" s="308"/>
      <c r="J32" s="266"/>
      <c r="K32" s="240"/>
    </row>
    <row r="33" spans="1:11" ht="15.75" thickBot="1">
      <c r="A33" s="237"/>
      <c r="B33" s="1620"/>
      <c r="C33" s="278"/>
      <c r="D33" s="316" t="s">
        <v>50</v>
      </c>
      <c r="E33" s="1666" t="s">
        <v>1642</v>
      </c>
      <c r="F33" s="1667"/>
      <c r="G33" s="237"/>
      <c r="H33" s="237"/>
      <c r="I33" s="317"/>
      <c r="J33" s="318"/>
      <c r="K33" s="240"/>
    </row>
    <row r="34" spans="1:11" ht="15" customHeight="1" thickBot="1">
      <c r="A34" s="237"/>
      <c r="B34" s="283" t="s">
        <v>51</v>
      </c>
      <c r="C34" s="284"/>
      <c r="D34" s="284"/>
      <c r="E34" s="284"/>
      <c r="F34" s="284"/>
      <c r="G34" s="284"/>
      <c r="H34" s="284"/>
      <c r="I34" s="312"/>
      <c r="J34" s="313"/>
      <c r="K34" s="240"/>
    </row>
    <row r="35" spans="1:11" ht="14.45" customHeight="1" thickBot="1">
      <c r="A35" s="237"/>
      <c r="B35" s="1618">
        <v>1</v>
      </c>
      <c r="C35" s="260"/>
      <c r="D35" s="319" t="s">
        <v>44</v>
      </c>
      <c r="E35" s="225" t="s">
        <v>52</v>
      </c>
      <c r="F35" s="226"/>
      <c r="G35" s="237"/>
      <c r="H35" s="237"/>
      <c r="I35" s="308"/>
      <c r="J35" s="315"/>
      <c r="K35" s="240"/>
    </row>
    <row r="36" spans="1:11" ht="15.75" thickBot="1">
      <c r="A36" s="237"/>
      <c r="B36" s="1619"/>
      <c r="C36" s="268"/>
      <c r="D36" s="320" t="s">
        <v>45</v>
      </c>
      <c r="E36" s="225" t="s">
        <v>166</v>
      </c>
      <c r="F36" s="225"/>
      <c r="G36" s="237"/>
      <c r="H36" s="237"/>
      <c r="I36" s="308"/>
      <c r="J36" s="266"/>
      <c r="K36" s="240"/>
    </row>
    <row r="37" spans="1:11" ht="15.75" thickBot="1">
      <c r="A37" s="237"/>
      <c r="B37" s="1619"/>
      <c r="C37" s="268"/>
      <c r="D37" s="320" t="s">
        <v>46</v>
      </c>
      <c r="E37" s="1664"/>
      <c r="F37" s="1665"/>
      <c r="G37" s="237"/>
      <c r="H37" s="237"/>
      <c r="I37" s="308"/>
      <c r="J37" s="266"/>
      <c r="K37" s="240"/>
    </row>
    <row r="38" spans="1:11" ht="15.75" thickBot="1">
      <c r="A38" s="237"/>
      <c r="B38" s="1619"/>
      <c r="C38" s="268"/>
      <c r="D38" s="320" t="s">
        <v>47</v>
      </c>
      <c r="E38" s="1664"/>
      <c r="F38" s="1665"/>
      <c r="G38" s="237"/>
      <c r="H38" s="237"/>
      <c r="I38" s="308"/>
      <c r="J38" s="266"/>
      <c r="K38" s="240"/>
    </row>
    <row r="39" spans="1:11" ht="15.75" thickBot="1">
      <c r="A39" s="237"/>
      <c r="B39" s="1619"/>
      <c r="C39" s="268"/>
      <c r="D39" s="320" t="s">
        <v>48</v>
      </c>
      <c r="E39" s="1664"/>
      <c r="F39" s="1665"/>
      <c r="G39" s="237"/>
      <c r="H39" s="237"/>
      <c r="I39" s="308"/>
      <c r="J39" s="266"/>
      <c r="K39" s="240"/>
    </row>
    <row r="40" spans="1:11" ht="15.75" thickBot="1">
      <c r="A40" s="237"/>
      <c r="B40" s="1619"/>
      <c r="C40" s="268"/>
      <c r="D40" s="320" t="s">
        <v>49</v>
      </c>
      <c r="E40" s="1664"/>
      <c r="F40" s="1665"/>
      <c r="G40" s="237"/>
      <c r="H40" s="237"/>
      <c r="I40" s="308"/>
      <c r="J40" s="266"/>
      <c r="K40" s="240"/>
    </row>
    <row r="41" spans="1:11" ht="15.75" thickBot="1">
      <c r="A41" s="237"/>
      <c r="B41" s="1620"/>
      <c r="C41" s="278"/>
      <c r="D41" s="320" t="s">
        <v>50</v>
      </c>
      <c r="E41" s="1664"/>
      <c r="F41" s="1665"/>
      <c r="G41" s="237"/>
      <c r="H41" s="237"/>
      <c r="I41" s="317"/>
      <c r="J41" s="318"/>
      <c r="K41" s="240"/>
    </row>
    <row r="42" spans="1:11" ht="15.75" thickBot="1">
      <c r="A42" s="237"/>
      <c r="B42" s="321"/>
      <c r="C42" s="322"/>
      <c r="D42" s="323"/>
      <c r="E42" s="323"/>
      <c r="F42" s="323"/>
      <c r="G42" s="312"/>
      <c r="H42" s="312"/>
      <c r="I42" s="312"/>
      <c r="J42" s="313"/>
      <c r="K42" s="240"/>
    </row>
    <row r="43" spans="1:11" ht="15.75" thickBot="1">
      <c r="A43" s="237"/>
      <c r="B43" s="1627" t="s">
        <v>54</v>
      </c>
      <c r="C43" s="1628"/>
      <c r="D43" s="1628"/>
      <c r="E43" s="1628"/>
      <c r="F43" s="1628"/>
      <c r="G43" s="1628"/>
      <c r="H43" s="1628"/>
      <c r="I43" s="1629"/>
      <c r="J43" s="313"/>
      <c r="K43" s="240"/>
    </row>
    <row r="44" spans="1:11" ht="24" customHeight="1" thickBot="1">
      <c r="A44" s="237"/>
      <c r="B44" s="1621" t="s">
        <v>55</v>
      </c>
      <c r="C44" s="1622"/>
      <c r="D44" s="1623"/>
      <c r="E44" s="267" t="s">
        <v>56</v>
      </c>
      <c r="F44" s="1621" t="s">
        <v>57</v>
      </c>
      <c r="G44" s="1623"/>
      <c r="H44" s="1621" t="s">
        <v>58</v>
      </c>
      <c r="I44" s="1623"/>
      <c r="J44" s="273"/>
      <c r="K44" s="240"/>
    </row>
    <row r="45" spans="1:11" ht="108" customHeight="1" thickBot="1">
      <c r="A45" s="237"/>
      <c r="B45" s="1659">
        <v>42401</v>
      </c>
      <c r="C45" s="1660"/>
      <c r="D45" s="1661"/>
      <c r="E45" s="267">
        <v>0.01</v>
      </c>
      <c r="F45" s="1662" t="s">
        <v>227</v>
      </c>
      <c r="G45" s="1663"/>
      <c r="H45" s="1621"/>
      <c r="I45" s="1623"/>
      <c r="J45" s="276"/>
      <c r="K45" s="240"/>
    </row>
    <row r="46" spans="1:11">
      <c r="A46" s="237"/>
      <c r="B46" s="325"/>
      <c r="C46" s="326"/>
      <c r="D46" s="325"/>
      <c r="E46" s="325"/>
      <c r="F46" s="325"/>
      <c r="G46" s="325"/>
      <c r="H46" s="325"/>
      <c r="I46" s="325"/>
      <c r="J46" s="240"/>
      <c r="K46" s="240"/>
    </row>
    <row r="47" spans="1:11" ht="15.75" thickBot="1">
      <c r="A47" s="237"/>
      <c r="B47" s="241"/>
      <c r="C47" s="242"/>
      <c r="D47" s="240"/>
      <c r="E47" s="240"/>
      <c r="F47" s="240"/>
      <c r="G47" s="240"/>
      <c r="H47" s="240"/>
      <c r="I47" s="240"/>
      <c r="J47" s="240"/>
      <c r="K47" s="240"/>
    </row>
    <row r="48" spans="1:11" ht="15.75" thickBot="1">
      <c r="A48" s="237"/>
      <c r="B48" s="327" t="s">
        <v>60</v>
      </c>
      <c r="C48" s="290"/>
      <c r="D48" s="240"/>
      <c r="E48" s="240"/>
      <c r="F48" s="240"/>
      <c r="G48" s="240"/>
      <c r="H48" s="240"/>
      <c r="I48" s="240"/>
      <c r="J48" s="240"/>
      <c r="K48" s="240"/>
    </row>
    <row r="49" spans="1:11">
      <c r="A49" s="237"/>
      <c r="B49" s="1657"/>
      <c r="C49" s="1658"/>
      <c r="D49" s="1658"/>
      <c r="E49" s="1658"/>
      <c r="F49" s="1658"/>
      <c r="G49" s="1658"/>
      <c r="H49" s="1658"/>
      <c r="I49" s="1658"/>
      <c r="J49" s="1658"/>
      <c r="K49" s="240"/>
    </row>
    <row r="50" spans="1:11">
      <c r="A50" s="237"/>
      <c r="B50" s="1657"/>
      <c r="C50" s="1658"/>
      <c r="D50" s="1658"/>
      <c r="E50" s="1658"/>
      <c r="F50" s="1658"/>
      <c r="G50" s="1658"/>
      <c r="H50" s="1658"/>
      <c r="I50" s="1658"/>
      <c r="J50" s="1658"/>
      <c r="K50" s="240"/>
    </row>
    <row r="51" spans="1:11">
      <c r="A51" s="237"/>
      <c r="B51" s="241"/>
      <c r="C51" s="242"/>
      <c r="D51" s="240"/>
      <c r="E51" s="240"/>
      <c r="F51" s="240"/>
      <c r="G51" s="240"/>
      <c r="H51" s="240"/>
      <c r="I51" s="240"/>
      <c r="J51" s="240"/>
      <c r="K51" s="240"/>
    </row>
    <row r="52" spans="1:11" ht="15.75" thickBot="1">
      <c r="A52" s="237"/>
      <c r="B52" s="240"/>
      <c r="C52" s="257"/>
      <c r="D52" s="240"/>
      <c r="E52" s="240"/>
      <c r="F52" s="240"/>
      <c r="G52" s="240"/>
      <c r="H52" s="240"/>
      <c r="I52" s="240"/>
      <c r="J52" s="240"/>
      <c r="K52" s="240"/>
    </row>
    <row r="53" spans="1:11" ht="24.75" thickBot="1">
      <c r="A53" s="237"/>
      <c r="B53" s="302" t="s">
        <v>61</v>
      </c>
      <c r="C53" s="303"/>
      <c r="D53" s="240"/>
      <c r="E53" s="240"/>
      <c r="F53" s="240"/>
      <c r="G53" s="240"/>
      <c r="H53" s="240"/>
      <c r="I53" s="240"/>
      <c r="J53" s="240"/>
      <c r="K53" s="240"/>
    </row>
    <row r="54" spans="1:11" ht="15.75" thickBot="1">
      <c r="A54" s="237"/>
      <c r="B54" s="241"/>
      <c r="C54" s="242"/>
      <c r="D54" s="240"/>
      <c r="E54" s="240"/>
      <c r="F54" s="240"/>
      <c r="G54" s="240"/>
      <c r="H54" s="240"/>
      <c r="I54" s="240"/>
      <c r="J54" s="240"/>
      <c r="K54" s="240"/>
    </row>
    <row r="55" spans="1:11" ht="72.75" thickBot="1">
      <c r="A55" s="237"/>
      <c r="B55" s="291" t="s">
        <v>62</v>
      </c>
      <c r="C55" s="271"/>
      <c r="D55" s="265" t="s">
        <v>208</v>
      </c>
      <c r="E55" s="240"/>
      <c r="F55" s="240"/>
      <c r="G55" s="240"/>
      <c r="H55" s="240"/>
      <c r="I55" s="240"/>
      <c r="J55" s="240"/>
      <c r="K55" s="240"/>
    </row>
    <row r="56" spans="1:11">
      <c r="A56" s="237"/>
      <c r="B56" s="1618" t="s">
        <v>64</v>
      </c>
      <c r="C56" s="264"/>
      <c r="D56" s="304" t="s">
        <v>65</v>
      </c>
      <c r="E56" s="240"/>
      <c r="F56" s="240"/>
      <c r="G56" s="240"/>
      <c r="H56" s="240"/>
      <c r="I56" s="240"/>
      <c r="J56" s="240"/>
      <c r="K56" s="240"/>
    </row>
    <row r="57" spans="1:11" ht="60">
      <c r="A57" s="237"/>
      <c r="B57" s="1619"/>
      <c r="C57" s="264"/>
      <c r="D57" s="305" t="s">
        <v>209</v>
      </c>
      <c r="E57" s="240"/>
      <c r="F57" s="240"/>
      <c r="G57" s="240"/>
      <c r="H57" s="240"/>
      <c r="I57" s="240"/>
      <c r="J57" s="240"/>
      <c r="K57" s="240"/>
    </row>
    <row r="58" spans="1:11">
      <c r="A58" s="237"/>
      <c r="B58" s="1619"/>
      <c r="C58" s="264"/>
      <c r="D58" s="304" t="s">
        <v>139</v>
      </c>
      <c r="E58" s="240"/>
      <c r="F58" s="240"/>
      <c r="G58" s="240"/>
      <c r="H58" s="240"/>
      <c r="I58" s="240"/>
      <c r="J58" s="240"/>
      <c r="K58" s="240"/>
    </row>
    <row r="59" spans="1:11">
      <c r="A59" s="237"/>
      <c r="B59" s="1619"/>
      <c r="C59" s="264"/>
      <c r="D59" s="305" t="s">
        <v>69</v>
      </c>
      <c r="E59" s="240"/>
      <c r="F59" s="240"/>
      <c r="G59" s="240"/>
      <c r="H59" s="240"/>
      <c r="I59" s="240"/>
      <c r="J59" s="240"/>
      <c r="K59" s="240"/>
    </row>
    <row r="60" spans="1:11">
      <c r="A60" s="237"/>
      <c r="B60" s="1619"/>
      <c r="C60" s="264"/>
      <c r="D60" s="305" t="s">
        <v>171</v>
      </c>
      <c r="E60" s="240"/>
      <c r="F60" s="240"/>
      <c r="G60" s="240"/>
      <c r="H60" s="240"/>
      <c r="I60" s="240"/>
      <c r="J60" s="240"/>
      <c r="K60" s="240"/>
    </row>
    <row r="61" spans="1:11">
      <c r="A61" s="237"/>
      <c r="B61" s="1619"/>
      <c r="C61" s="264"/>
      <c r="D61" s="305" t="s">
        <v>210</v>
      </c>
      <c r="E61" s="240"/>
      <c r="F61" s="240"/>
      <c r="G61" s="240"/>
      <c r="H61" s="240"/>
      <c r="I61" s="240"/>
      <c r="J61" s="240"/>
      <c r="K61" s="240"/>
    </row>
    <row r="62" spans="1:11">
      <c r="A62" s="237"/>
      <c r="B62" s="1619"/>
      <c r="C62" s="264"/>
      <c r="D62" s="305" t="s">
        <v>211</v>
      </c>
      <c r="E62" s="240"/>
      <c r="F62" s="240"/>
      <c r="G62" s="240"/>
      <c r="H62" s="240"/>
      <c r="I62" s="240"/>
      <c r="J62" s="240"/>
      <c r="K62" s="240"/>
    </row>
    <row r="63" spans="1:11" ht="24">
      <c r="A63" s="237"/>
      <c r="B63" s="1619"/>
      <c r="C63" s="264"/>
      <c r="D63" s="305" t="s">
        <v>212</v>
      </c>
      <c r="E63" s="240"/>
      <c r="F63" s="240"/>
      <c r="G63" s="240"/>
      <c r="H63" s="240"/>
      <c r="I63" s="240"/>
      <c r="J63" s="240"/>
      <c r="K63" s="240"/>
    </row>
    <row r="64" spans="1:11">
      <c r="A64" s="237"/>
      <c r="B64" s="1619"/>
      <c r="C64" s="264"/>
      <c r="D64" s="304" t="s">
        <v>146</v>
      </c>
      <c r="E64" s="240"/>
      <c r="F64" s="240"/>
      <c r="G64" s="240"/>
      <c r="H64" s="240"/>
      <c r="I64" s="240"/>
      <c r="J64" s="240"/>
      <c r="K64" s="240"/>
    </row>
    <row r="65" spans="1:11" ht="15.75" thickBot="1">
      <c r="A65" s="237"/>
      <c r="B65" s="1620"/>
      <c r="C65" s="274"/>
      <c r="D65" s="299"/>
      <c r="E65" s="240"/>
      <c r="F65" s="240"/>
      <c r="G65" s="240"/>
      <c r="H65" s="240"/>
      <c r="I65" s="240"/>
      <c r="J65" s="240"/>
      <c r="K65" s="240"/>
    </row>
    <row r="66" spans="1:11" ht="24.75" thickBot="1">
      <c r="A66" s="237"/>
      <c r="B66" s="277" t="s">
        <v>77</v>
      </c>
      <c r="C66" s="274"/>
      <c r="D66" s="267"/>
      <c r="E66" s="240"/>
      <c r="F66" s="240"/>
      <c r="G66" s="240"/>
      <c r="H66" s="240"/>
      <c r="I66" s="240"/>
      <c r="J66" s="240"/>
      <c r="K66" s="240"/>
    </row>
    <row r="67" spans="1:11" ht="156">
      <c r="A67" s="237"/>
      <c r="B67" s="1618" t="s">
        <v>78</v>
      </c>
      <c r="C67" s="264"/>
      <c r="D67" s="305" t="s">
        <v>213</v>
      </c>
      <c r="E67" s="240"/>
      <c r="F67" s="240"/>
      <c r="G67" s="240"/>
      <c r="H67" s="240"/>
      <c r="I67" s="240"/>
      <c r="J67" s="240"/>
      <c r="K67" s="240"/>
    </row>
    <row r="68" spans="1:11" ht="132">
      <c r="A68" s="237"/>
      <c r="B68" s="1619"/>
      <c r="C68" s="264"/>
      <c r="D68" s="305" t="s">
        <v>214</v>
      </c>
      <c r="E68" s="240"/>
      <c r="F68" s="240"/>
      <c r="G68" s="240"/>
      <c r="H68" s="240"/>
      <c r="I68" s="240"/>
      <c r="J68" s="240"/>
      <c r="K68" s="240"/>
    </row>
    <row r="69" spans="1:11" ht="216">
      <c r="A69" s="237"/>
      <c r="B69" s="1619"/>
      <c r="C69" s="264"/>
      <c r="D69" s="305" t="s">
        <v>215</v>
      </c>
      <c r="E69" s="240"/>
      <c r="F69" s="240"/>
      <c r="G69" s="240"/>
      <c r="H69" s="240"/>
      <c r="I69" s="240"/>
      <c r="J69" s="240"/>
      <c r="K69" s="240"/>
    </row>
    <row r="70" spans="1:11" ht="72">
      <c r="A70" s="237"/>
      <c r="B70" s="1619"/>
      <c r="C70" s="264"/>
      <c r="D70" s="305" t="s">
        <v>216</v>
      </c>
      <c r="E70" s="240"/>
      <c r="F70" s="240"/>
      <c r="G70" s="240"/>
      <c r="H70" s="240"/>
      <c r="I70" s="240"/>
      <c r="J70" s="240"/>
      <c r="K70" s="240"/>
    </row>
    <row r="71" spans="1:11" ht="15.75" thickBot="1">
      <c r="A71" s="237"/>
      <c r="B71" s="1620"/>
      <c r="C71" s="274"/>
      <c r="D71" s="267"/>
      <c r="E71" s="240"/>
      <c r="F71" s="240"/>
      <c r="G71" s="240"/>
      <c r="H71" s="240"/>
      <c r="I71" s="240"/>
      <c r="J71" s="240"/>
      <c r="K71" s="240"/>
    </row>
    <row r="72" spans="1:11">
      <c r="A72" s="237"/>
      <c r="B72" s="1618" t="s">
        <v>95</v>
      </c>
      <c r="C72" s="264"/>
      <c r="D72" s="305"/>
      <c r="E72" s="240"/>
      <c r="F72" s="240"/>
      <c r="G72" s="240"/>
      <c r="H72" s="240"/>
      <c r="I72" s="240"/>
      <c r="J72" s="240"/>
      <c r="K72" s="240"/>
    </row>
    <row r="73" spans="1:11">
      <c r="A73" s="237"/>
      <c r="B73" s="1619"/>
      <c r="C73" s="264"/>
      <c r="D73" s="306"/>
      <c r="E73" s="240"/>
      <c r="F73" s="240"/>
      <c r="G73" s="240"/>
      <c r="H73" s="240"/>
      <c r="I73" s="240"/>
      <c r="J73" s="240"/>
      <c r="K73" s="240"/>
    </row>
    <row r="74" spans="1:11">
      <c r="A74" s="237"/>
      <c r="B74" s="1619"/>
      <c r="C74" s="264"/>
      <c r="D74" s="305" t="s">
        <v>96</v>
      </c>
      <c r="E74" s="240"/>
      <c r="F74" s="240"/>
      <c r="G74" s="240"/>
      <c r="H74" s="240"/>
      <c r="I74" s="240"/>
      <c r="J74" s="240"/>
      <c r="K74" s="240"/>
    </row>
    <row r="75" spans="1:11" ht="37.5">
      <c r="A75" s="237"/>
      <c r="B75" s="1619"/>
      <c r="C75" s="264"/>
      <c r="D75" s="305" t="s">
        <v>217</v>
      </c>
      <c r="E75" s="240"/>
      <c r="F75" s="240"/>
      <c r="G75" s="240"/>
      <c r="H75" s="240"/>
      <c r="I75" s="240"/>
      <c r="J75" s="240"/>
      <c r="K75" s="240"/>
    </row>
    <row r="76" spans="1:11" ht="37.5">
      <c r="A76" s="237"/>
      <c r="B76" s="1619"/>
      <c r="C76" s="264"/>
      <c r="D76" s="305" t="s">
        <v>218</v>
      </c>
      <c r="E76" s="240"/>
      <c r="F76" s="240"/>
      <c r="G76" s="240"/>
      <c r="H76" s="240"/>
      <c r="I76" s="240"/>
      <c r="J76" s="240"/>
      <c r="K76" s="240"/>
    </row>
    <row r="77" spans="1:11" ht="37.5">
      <c r="A77" s="237"/>
      <c r="B77" s="1619"/>
      <c r="C77" s="264"/>
      <c r="D77" s="305" t="s">
        <v>219</v>
      </c>
      <c r="E77" s="240"/>
      <c r="F77" s="240"/>
      <c r="G77" s="240"/>
      <c r="H77" s="240"/>
      <c r="I77" s="240"/>
      <c r="J77" s="240"/>
      <c r="K77" s="240"/>
    </row>
    <row r="78" spans="1:11" ht="48.75" thickBot="1">
      <c r="A78" s="237"/>
      <c r="B78" s="1620"/>
      <c r="C78" s="274"/>
      <c r="D78" s="267" t="s">
        <v>220</v>
      </c>
      <c r="E78" s="240"/>
      <c r="F78" s="240"/>
      <c r="G78" s="240"/>
      <c r="H78" s="240"/>
      <c r="I78" s="240"/>
      <c r="J78" s="240"/>
      <c r="K78" s="240"/>
    </row>
  </sheetData>
  <sheetProtection sheet="1" objects="1" scenarios="1" insertColumns="0" insertRows="0"/>
  <mergeCells count="40">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E40:F40"/>
    <mergeCell ref="E33:F33"/>
    <mergeCell ref="B35:B41"/>
    <mergeCell ref="E37:F37"/>
    <mergeCell ref="B27:B33"/>
    <mergeCell ref="B49:J50"/>
    <mergeCell ref="B45:D45"/>
    <mergeCell ref="F45:G45"/>
    <mergeCell ref="H45:I45"/>
    <mergeCell ref="E41:F41"/>
    <mergeCell ref="B43:I43"/>
    <mergeCell ref="B44:D44"/>
    <mergeCell ref="F44:G44"/>
    <mergeCell ref="H44:I44"/>
    <mergeCell ref="A1:P1"/>
    <mergeCell ref="A2:P2"/>
    <mergeCell ref="A3:P3"/>
    <mergeCell ref="A4:D4"/>
    <mergeCell ref="A5:P5"/>
  </mergeCells>
  <conditionalFormatting sqref="F10">
    <cfRule type="notContainsBlanks" dxfId="112" priority="4">
      <formula>LEN(TRIM(F10))&gt;0</formula>
    </cfRule>
  </conditionalFormatting>
  <conditionalFormatting sqref="F11:S11">
    <cfRule type="expression" dxfId="111" priority="2">
      <formula>E11="NO SE REPORTA"</formula>
    </cfRule>
    <cfRule type="expression" dxfId="110" priority="3">
      <formula>E10="NO APLICA"</formula>
    </cfRule>
  </conditionalFormatting>
  <conditionalFormatting sqref="E12:R12">
    <cfRule type="expression" dxfId="109"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3622047244094491" right="0.23622047244094491" top="0.74803149606299213" bottom="0.74803149606299213" header="0.31496062992125984" footer="0.31496062992125984"/>
  <pageSetup paperSize="178"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topLeftCell="A40" zoomScale="98" zoomScaleNormal="98" workbookViewId="0">
      <selection activeCell="J33" sqref="J33"/>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6" max="7" width="15.28515625" customWidth="1"/>
    <col min="8" max="8" width="15.42578125" customWidth="1"/>
    <col min="9" max="9" width="15" bestFit="1" customWidth="1"/>
    <col min="10" max="10" width="19.710937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228</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4" t="s">
        <v>1203</v>
      </c>
      <c r="C8" s="214">
        <v>2018</v>
      </c>
      <c r="D8" s="218">
        <f>IF(E10="NO APLICA","NO APLICA",IF(E11="NO SE REPORTA","SIN INFORMACION",))+H27</f>
        <v>0.75</v>
      </c>
      <c r="E8" s="215"/>
      <c r="F8" s="6" t="s">
        <v>135</v>
      </c>
      <c r="G8" s="6"/>
      <c r="H8" s="6"/>
      <c r="I8" s="6"/>
      <c r="J8" s="6"/>
      <c r="K8" s="6"/>
    </row>
    <row r="9" spans="1:21">
      <c r="B9" s="483" t="s">
        <v>1204</v>
      </c>
      <c r="C9" s="87"/>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
        <v>1835</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7"/>
      <c r="D14" s="6"/>
      <c r="E14" s="6"/>
      <c r="F14" s="6"/>
      <c r="G14" s="6"/>
      <c r="H14" s="6"/>
      <c r="I14" s="6"/>
      <c r="J14" s="6"/>
      <c r="K14" s="6"/>
    </row>
    <row r="15" spans="1:21" ht="15" customHeight="1" thickTop="1">
      <c r="B15" s="1683" t="s">
        <v>2</v>
      </c>
      <c r="C15" s="88"/>
      <c r="D15" s="1685" t="s">
        <v>3</v>
      </c>
      <c r="E15" s="1686"/>
      <c r="F15" s="1686"/>
      <c r="G15" s="1686"/>
      <c r="H15" s="1686"/>
      <c r="I15" s="1686"/>
      <c r="J15" s="1686"/>
      <c r="K15" s="1687"/>
    </row>
    <row r="16" spans="1:21" ht="15.75" thickBot="1">
      <c r="B16" s="1684"/>
      <c r="C16" s="91"/>
      <c r="D16" s="1674" t="s">
        <v>260</v>
      </c>
      <c r="E16" s="1675"/>
      <c r="F16" s="1675"/>
      <c r="G16" s="1675"/>
      <c r="H16" s="1675"/>
      <c r="I16" s="1675"/>
      <c r="J16" s="1675"/>
      <c r="K16" s="1676"/>
    </row>
    <row r="17" spans="2:11" ht="15.75" thickBot="1">
      <c r="B17" s="1684"/>
      <c r="C17" s="97" t="s">
        <v>24</v>
      </c>
      <c r="D17" s="39" t="s">
        <v>261</v>
      </c>
      <c r="E17" s="39" t="s">
        <v>25</v>
      </c>
      <c r="F17" s="39" t="s">
        <v>26</v>
      </c>
      <c r="G17" s="39" t="s">
        <v>27</v>
      </c>
      <c r="H17" s="39" t="s">
        <v>28</v>
      </c>
      <c r="I17" s="226"/>
      <c r="K17" s="22"/>
    </row>
    <row r="18" spans="2:11" ht="15.75" thickBot="1">
      <c r="B18" s="1684"/>
      <c r="C18" s="3" t="s">
        <v>158</v>
      </c>
      <c r="D18" s="40" t="s">
        <v>263</v>
      </c>
      <c r="E18" s="210">
        <v>4</v>
      </c>
      <c r="F18" s="210">
        <v>4</v>
      </c>
      <c r="G18" s="210">
        <v>4</v>
      </c>
      <c r="H18" s="210">
        <v>4</v>
      </c>
      <c r="I18" s="333"/>
      <c r="K18" s="22"/>
    </row>
    <row r="19" spans="2:11" ht="15.75" thickBot="1">
      <c r="B19" s="1684"/>
      <c r="C19" s="3" t="s">
        <v>160</v>
      </c>
      <c r="D19" s="40" t="s">
        <v>264</v>
      </c>
      <c r="E19" s="210">
        <v>4</v>
      </c>
      <c r="F19" s="210">
        <v>4</v>
      </c>
      <c r="G19" s="210">
        <v>4</v>
      </c>
      <c r="H19" s="210">
        <v>3</v>
      </c>
      <c r="I19" s="333"/>
      <c r="K19" s="22"/>
    </row>
    <row r="20" spans="2:11" ht="15.75" thickBot="1">
      <c r="B20" s="1684"/>
      <c r="C20" s="3" t="s">
        <v>162</v>
      </c>
      <c r="D20" s="40" t="s">
        <v>265</v>
      </c>
      <c r="E20" s="210">
        <v>1</v>
      </c>
      <c r="F20" s="210">
        <v>1</v>
      </c>
      <c r="G20" s="210">
        <v>1</v>
      </c>
      <c r="H20" s="210">
        <v>0</v>
      </c>
      <c r="I20" s="333"/>
      <c r="K20" s="22"/>
    </row>
    <row r="21" spans="2:11" ht="15.75" thickBot="1">
      <c r="B21" s="1684"/>
      <c r="C21" s="3" t="s">
        <v>266</v>
      </c>
      <c r="D21" s="40" t="s">
        <v>267</v>
      </c>
      <c r="E21" s="210">
        <v>1</v>
      </c>
      <c r="F21" s="210">
        <v>1</v>
      </c>
      <c r="G21" s="210">
        <v>1</v>
      </c>
      <c r="H21" s="210">
        <v>0</v>
      </c>
      <c r="I21" s="333"/>
      <c r="K21" s="22"/>
    </row>
    <row r="22" spans="2:11" ht="15.75" thickBot="1">
      <c r="B22" s="1684"/>
      <c r="C22" s="3" t="s">
        <v>268</v>
      </c>
      <c r="D22" s="40" t="s">
        <v>269</v>
      </c>
      <c r="E22" s="210">
        <v>0</v>
      </c>
      <c r="F22" s="210">
        <v>0</v>
      </c>
      <c r="G22" s="210">
        <v>0</v>
      </c>
      <c r="H22" s="210">
        <v>0</v>
      </c>
      <c r="I22" s="333"/>
      <c r="K22" s="22"/>
    </row>
    <row r="23" spans="2:11" ht="15.75" thickBot="1">
      <c r="B23" s="1684"/>
      <c r="C23" s="3" t="s">
        <v>270</v>
      </c>
      <c r="D23" s="40" t="s">
        <v>271</v>
      </c>
      <c r="E23" s="210">
        <v>0</v>
      </c>
      <c r="F23" s="210">
        <v>0</v>
      </c>
      <c r="G23" s="210">
        <v>0</v>
      </c>
      <c r="H23" s="210">
        <v>0</v>
      </c>
      <c r="I23" s="333"/>
      <c r="K23" s="22"/>
    </row>
    <row r="24" spans="2:11" ht="15.75" thickBot="1">
      <c r="B24" s="1684"/>
      <c r="C24" s="3" t="s">
        <v>272</v>
      </c>
      <c r="D24" s="40" t="s">
        <v>273</v>
      </c>
      <c r="E24" s="192">
        <f>IFERROR(E19/E18,"N.A.")</f>
        <v>1</v>
      </c>
      <c r="F24" s="192">
        <f>IFERROR(F19/F18,"N.A.")</f>
        <v>1</v>
      </c>
      <c r="G24" s="192">
        <f>IFERROR(G19/G18,"N.A.")</f>
        <v>1</v>
      </c>
      <c r="H24" s="192">
        <f>IFERROR(H19/H18,"N.A.")</f>
        <v>0.75</v>
      </c>
      <c r="I24" s="297"/>
      <c r="K24" s="22"/>
    </row>
    <row r="25" spans="2:11" ht="15.75" thickBot="1">
      <c r="B25" s="1684"/>
      <c r="C25" s="3" t="s">
        <v>274</v>
      </c>
      <c r="D25" s="40" t="s">
        <v>275</v>
      </c>
      <c r="E25" s="192">
        <f>IFERROR(E21/E20,"N.A.")</f>
        <v>1</v>
      </c>
      <c r="F25" s="192">
        <f>IFERROR(F21/F20,"N.A.")</f>
        <v>1</v>
      </c>
      <c r="G25" s="192">
        <f>IFERROR(G21/G20,"N.A.")</f>
        <v>1</v>
      </c>
      <c r="H25" s="192" t="str">
        <f>IFERROR(H21/H20,"N.A.")</f>
        <v>N.A.</v>
      </c>
      <c r="I25" s="297"/>
      <c r="K25" s="22"/>
    </row>
    <row r="26" spans="2:11" ht="15.75" thickBot="1">
      <c r="B26" s="1684"/>
      <c r="C26" s="3" t="s">
        <v>276</v>
      </c>
      <c r="D26" s="40" t="s">
        <v>277</v>
      </c>
      <c r="E26" s="192" t="str">
        <f>IFERROR(E23/E22,"N.A.")</f>
        <v>N.A.</v>
      </c>
      <c r="F26" s="192" t="str">
        <f>IFERROR(F23/F22,"N.A.")</f>
        <v>N.A.</v>
      </c>
      <c r="G26" s="192" t="str">
        <f>IFERROR(G23/G22,"N.A.")</f>
        <v>N.A.</v>
      </c>
      <c r="H26" s="192" t="str">
        <f>IFERROR(H23/H22,"N.A.")</f>
        <v>N.A.</v>
      </c>
      <c r="I26" s="297"/>
      <c r="K26" s="22"/>
    </row>
    <row r="27" spans="2:11" ht="15.75" thickBot="1">
      <c r="B27" s="330"/>
      <c r="C27" s="129"/>
      <c r="D27" s="331" t="s">
        <v>1216</v>
      </c>
      <c r="E27" s="192">
        <f>IFERROR(AVERAGE(E24:E26),"N.A.")</f>
        <v>1</v>
      </c>
      <c r="F27" s="192">
        <f>IFERROR(AVERAGE(F24:F26),"N.A.")</f>
        <v>1</v>
      </c>
      <c r="G27" s="192">
        <f>IFERROR(AVERAGE(G24:G26),"N.A.")</f>
        <v>1</v>
      </c>
      <c r="H27" s="192">
        <f>IFERROR(AVERAGE(H24:H26),"N.A.")</f>
        <v>0.75</v>
      </c>
      <c r="I27" s="297"/>
      <c r="K27" s="22"/>
    </row>
    <row r="28" spans="2:11">
      <c r="B28" s="222"/>
      <c r="C28" s="91"/>
      <c r="D28" s="1688"/>
      <c r="E28" s="1689"/>
      <c r="F28" s="1689"/>
      <c r="G28" s="1689"/>
      <c r="H28" s="1689"/>
      <c r="I28" s="1689"/>
      <c r="J28" s="1689"/>
      <c r="K28" s="1690"/>
    </row>
    <row r="29" spans="2:11">
      <c r="B29" s="222"/>
      <c r="C29" s="91"/>
      <c r="D29" s="1674" t="s">
        <v>254</v>
      </c>
      <c r="E29" s="1675"/>
      <c r="F29" s="1675"/>
      <c r="G29" s="1675"/>
      <c r="H29" s="1675"/>
      <c r="I29" s="1675"/>
      <c r="J29" s="1675"/>
      <c r="K29" s="1676"/>
    </row>
    <row r="30" spans="2:11" ht="15.75" thickBot="1">
      <c r="B30" s="222"/>
      <c r="C30" s="91"/>
      <c r="D30" s="1677" t="s">
        <v>255</v>
      </c>
      <c r="E30" s="1678"/>
      <c r="F30" s="1678"/>
      <c r="G30" s="1678"/>
      <c r="H30" s="1678"/>
      <c r="I30" s="1678"/>
      <c r="J30" s="1678"/>
      <c r="K30" s="1679"/>
    </row>
    <row r="31" spans="2:11" ht="15.75" thickBot="1">
      <c r="B31" s="222"/>
      <c r="C31" s="97" t="s">
        <v>24</v>
      </c>
      <c r="D31" s="44" t="s">
        <v>278</v>
      </c>
      <c r="E31" s="987" t="s">
        <v>279</v>
      </c>
      <c r="F31" s="987" t="s">
        <v>280</v>
      </c>
      <c r="G31" s="987" t="s">
        <v>281</v>
      </c>
      <c r="H31" s="987" t="s">
        <v>282</v>
      </c>
      <c r="I31" s="987" t="s">
        <v>283</v>
      </c>
      <c r="J31" s="987" t="s">
        <v>60</v>
      </c>
      <c r="K31" s="115"/>
    </row>
    <row r="32" spans="2:11" s="195" customFormat="1" ht="15.75" thickBot="1">
      <c r="B32" s="219"/>
      <c r="C32" s="224">
        <v>1</v>
      </c>
      <c r="D32" s="31" t="s">
        <v>1665</v>
      </c>
      <c r="E32" s="824" t="s">
        <v>16</v>
      </c>
      <c r="F32" s="211"/>
      <c r="G32" s="211"/>
      <c r="H32" s="211"/>
      <c r="I32" s="211"/>
      <c r="J32" s="31"/>
      <c r="K32" s="113"/>
    </row>
    <row r="33" spans="2:11" s="195" customFormat="1" ht="56.25" customHeight="1" thickBot="1">
      <c r="B33" s="219"/>
      <c r="C33" s="224">
        <v>2</v>
      </c>
      <c r="D33" s="31" t="s">
        <v>1666</v>
      </c>
      <c r="E33" s="824" t="s">
        <v>16</v>
      </c>
      <c r="F33" s="211">
        <v>16131253920</v>
      </c>
      <c r="G33" s="211">
        <v>16136841592</v>
      </c>
      <c r="H33" s="211">
        <v>16136777248</v>
      </c>
      <c r="I33" s="211">
        <v>12509047956</v>
      </c>
      <c r="J33" s="982" t="s">
        <v>2059</v>
      </c>
      <c r="K33" s="113"/>
    </row>
    <row r="34" spans="2:11" s="195" customFormat="1" ht="15.75" thickBot="1">
      <c r="B34" s="219"/>
      <c r="C34" s="224">
        <v>3</v>
      </c>
      <c r="D34" s="31" t="s">
        <v>1667</v>
      </c>
      <c r="E34" s="824" t="s">
        <v>16</v>
      </c>
      <c r="F34" s="211"/>
      <c r="G34" s="211"/>
      <c r="H34" s="211"/>
      <c r="I34" s="211"/>
      <c r="J34" s="31"/>
      <c r="K34" s="113"/>
    </row>
    <row r="35" spans="2:11" s="195" customFormat="1" ht="15.75" thickBot="1">
      <c r="B35" s="219"/>
      <c r="C35" s="224">
        <v>4</v>
      </c>
      <c r="D35" s="30" t="s">
        <v>1708</v>
      </c>
      <c r="E35" s="824" t="s">
        <v>17</v>
      </c>
      <c r="F35" s="211"/>
      <c r="G35" s="211"/>
      <c r="H35" s="211"/>
      <c r="I35" s="211"/>
      <c r="J35" s="31"/>
      <c r="K35" s="113"/>
    </row>
    <row r="36" spans="2:11" s="195" customFormat="1" ht="36.75" thickBot="1">
      <c r="B36" s="219"/>
      <c r="C36" s="224">
        <v>5</v>
      </c>
      <c r="D36" s="831" t="s">
        <v>1707</v>
      </c>
      <c r="E36" s="824" t="s">
        <v>17</v>
      </c>
      <c r="F36" s="211"/>
      <c r="G36" s="211"/>
      <c r="H36" s="211"/>
      <c r="I36" s="211"/>
      <c r="J36" s="31"/>
      <c r="K36" s="113"/>
    </row>
    <row r="37" spans="2:11" s="195" customFormat="1" ht="24.75" thickBot="1">
      <c r="B37" s="219"/>
      <c r="C37" s="224">
        <v>6</v>
      </c>
      <c r="D37" s="831" t="s">
        <v>1706</v>
      </c>
      <c r="E37" s="824" t="s">
        <v>17</v>
      </c>
      <c r="F37" s="211"/>
      <c r="G37" s="211"/>
      <c r="H37" s="211"/>
      <c r="I37" s="211"/>
      <c r="J37" s="31"/>
      <c r="K37" s="113"/>
    </row>
    <row r="38" spans="2:11" s="195" customFormat="1" ht="72.75" thickBot="1">
      <c r="B38" s="219"/>
      <c r="C38" s="224">
        <v>7</v>
      </c>
      <c r="D38" s="831" t="s">
        <v>1709</v>
      </c>
      <c r="E38" s="824" t="s">
        <v>17</v>
      </c>
      <c r="F38" s="211"/>
      <c r="G38" s="211"/>
      <c r="H38" s="211"/>
      <c r="I38" s="211"/>
      <c r="J38" s="31"/>
      <c r="K38" s="113"/>
    </row>
    <row r="39" spans="2:11" s="195" customFormat="1" ht="36.75" thickBot="1">
      <c r="B39" s="219"/>
      <c r="C39" s="224">
        <v>8</v>
      </c>
      <c r="D39" s="832" t="s">
        <v>1710</v>
      </c>
      <c r="E39" s="824" t="s">
        <v>17</v>
      </c>
      <c r="F39" s="211"/>
      <c r="G39" s="211"/>
      <c r="H39" s="211"/>
      <c r="I39" s="211"/>
      <c r="J39" s="31"/>
      <c r="K39" s="113"/>
    </row>
    <row r="40" spans="2:11" s="195" customFormat="1" ht="24.75" thickBot="1">
      <c r="B40" s="219"/>
      <c r="C40" s="224">
        <v>9</v>
      </c>
      <c r="D40" s="832" t="s">
        <v>1711</v>
      </c>
      <c r="E40" s="824" t="s">
        <v>17</v>
      </c>
      <c r="F40" s="211"/>
      <c r="G40" s="211"/>
      <c r="H40" s="211"/>
      <c r="I40" s="211"/>
      <c r="J40" s="31"/>
      <c r="K40" s="113"/>
    </row>
    <row r="41" spans="2:11" s="195" customFormat="1" ht="48.75" thickBot="1">
      <c r="B41" s="219"/>
      <c r="C41" s="224">
        <v>10</v>
      </c>
      <c r="D41" s="832" t="s">
        <v>1712</v>
      </c>
      <c r="E41" s="824" t="s">
        <v>17</v>
      </c>
      <c r="F41" s="211"/>
      <c r="G41" s="211"/>
      <c r="H41" s="211"/>
      <c r="I41" s="211"/>
      <c r="J41" s="31"/>
      <c r="K41" s="113"/>
    </row>
    <row r="42" spans="2:11" s="195" customFormat="1" ht="60.75" thickBot="1">
      <c r="B42" s="219"/>
      <c r="C42" s="224">
        <v>11</v>
      </c>
      <c r="D42" s="832" t="s">
        <v>1713</v>
      </c>
      <c r="E42" s="824" t="s">
        <v>17</v>
      </c>
      <c r="F42" s="211"/>
      <c r="G42" s="211"/>
      <c r="H42" s="211"/>
      <c r="I42" s="211"/>
      <c r="J42" s="31"/>
      <c r="K42" s="113"/>
    </row>
    <row r="43" spans="2:11" s="195" customFormat="1" ht="41.25" customHeight="1" thickBot="1">
      <c r="B43" s="219"/>
      <c r="C43" s="224">
        <v>12</v>
      </c>
      <c r="D43" s="832" t="s">
        <v>1714</v>
      </c>
      <c r="E43" s="824" t="s">
        <v>17</v>
      </c>
      <c r="F43" s="211"/>
      <c r="G43" s="211"/>
      <c r="H43" s="211"/>
      <c r="I43" s="211"/>
      <c r="J43" s="31"/>
      <c r="K43" s="113"/>
    </row>
    <row r="44" spans="2:11" s="195" customFormat="1" ht="24.75" thickBot="1">
      <c r="B44" s="219"/>
      <c r="C44" s="224">
        <v>13</v>
      </c>
      <c r="D44" s="832" t="s">
        <v>1715</v>
      </c>
      <c r="E44" s="824" t="s">
        <v>17</v>
      </c>
      <c r="F44" s="211"/>
      <c r="G44" s="211"/>
      <c r="H44" s="211"/>
      <c r="I44" s="211"/>
      <c r="J44" s="31"/>
      <c r="K44" s="113"/>
    </row>
    <row r="45" spans="2:11" s="195" customFormat="1" ht="36.75" thickBot="1">
      <c r="B45" s="219"/>
      <c r="C45" s="224">
        <v>14</v>
      </c>
      <c r="D45" s="832" t="s">
        <v>1716</v>
      </c>
      <c r="E45" s="824" t="s">
        <v>17</v>
      </c>
      <c r="F45" s="211"/>
      <c r="G45" s="211"/>
      <c r="H45" s="211"/>
      <c r="I45" s="211"/>
      <c r="J45" s="31"/>
      <c r="K45" s="113"/>
    </row>
    <row r="46" spans="2:11" s="195" customFormat="1" ht="36.75" thickBot="1">
      <c r="B46" s="219"/>
      <c r="C46" s="224">
        <v>15</v>
      </c>
      <c r="D46" s="832" t="s">
        <v>1717</v>
      </c>
      <c r="E46" s="824" t="s">
        <v>17</v>
      </c>
      <c r="F46" s="211"/>
      <c r="G46" s="211"/>
      <c r="H46" s="211"/>
      <c r="I46" s="211"/>
      <c r="J46" s="31"/>
      <c r="K46" s="113"/>
    </row>
    <row r="47" spans="2:11" s="195" customFormat="1" ht="48.75" thickBot="1">
      <c r="B47" s="219"/>
      <c r="C47" s="224">
        <v>16</v>
      </c>
      <c r="D47" s="832" t="s">
        <v>1718</v>
      </c>
      <c r="E47" s="824" t="s">
        <v>17</v>
      </c>
      <c r="F47" s="211"/>
      <c r="G47" s="211"/>
      <c r="H47" s="211"/>
      <c r="I47" s="211"/>
      <c r="J47" s="31"/>
      <c r="K47" s="113"/>
    </row>
    <row r="48" spans="2:11" s="195" customFormat="1" ht="15.75" thickBot="1">
      <c r="B48" s="219"/>
      <c r="C48" s="224">
        <v>17</v>
      </c>
      <c r="D48" s="832" t="s">
        <v>1988</v>
      </c>
      <c r="E48" s="824" t="s">
        <v>16</v>
      </c>
      <c r="F48" s="211"/>
      <c r="G48" s="211"/>
      <c r="H48" s="211"/>
      <c r="I48" s="211"/>
      <c r="J48" s="983"/>
      <c r="K48" s="113"/>
    </row>
    <row r="49" spans="2:11" s="195" customFormat="1" ht="15.75" thickBot="1">
      <c r="B49" s="219"/>
      <c r="C49" s="224">
        <v>18</v>
      </c>
      <c r="D49" s="832"/>
      <c r="E49" s="163"/>
      <c r="F49" s="211"/>
      <c r="G49" s="211"/>
      <c r="H49" s="211"/>
      <c r="I49" s="211"/>
      <c r="J49" s="31"/>
      <c r="K49" s="113"/>
    </row>
    <row r="50" spans="2:11" s="195" customFormat="1" ht="15.75" thickBot="1">
      <c r="B50" s="219"/>
      <c r="C50" s="224">
        <v>19</v>
      </c>
      <c r="D50" s="832"/>
      <c r="E50" s="163"/>
      <c r="F50" s="211"/>
      <c r="G50" s="211"/>
      <c r="H50" s="211"/>
      <c r="I50" s="211"/>
      <c r="J50" s="31"/>
      <c r="K50" s="113"/>
    </row>
    <row r="51" spans="2:11" ht="15.75" thickBot="1">
      <c r="B51" s="222"/>
      <c r="C51" s="3"/>
      <c r="D51" s="41" t="s">
        <v>157</v>
      </c>
      <c r="E51" s="111"/>
      <c r="F51" s="141">
        <f>SUM(F32:F50)</f>
        <v>16131253920</v>
      </c>
      <c r="G51" s="141">
        <f>SUM(G32:G50)</f>
        <v>16136841592</v>
      </c>
      <c r="H51" s="141">
        <f>SUM(H32:H50)</f>
        <v>16136777248</v>
      </c>
      <c r="I51" s="141">
        <f>SUM(I32:I50)</f>
        <v>12509047956</v>
      </c>
      <c r="J51" s="31"/>
      <c r="K51" s="117"/>
    </row>
    <row r="52" spans="2:11" ht="15.75" thickBot="1">
      <c r="B52" s="223"/>
      <c r="C52" s="92"/>
      <c r="D52" s="1680" t="s">
        <v>284</v>
      </c>
      <c r="E52" s="1681"/>
      <c r="F52" s="1681"/>
      <c r="G52" s="1681"/>
      <c r="H52" s="1681"/>
      <c r="I52" s="1681"/>
      <c r="J52" s="1681"/>
      <c r="K52" s="1682"/>
    </row>
    <row r="53" spans="2:11" ht="36" customHeight="1" thickBot="1">
      <c r="B53" s="72" t="s">
        <v>39</v>
      </c>
      <c r="C53" s="107"/>
      <c r="D53" s="1680" t="s">
        <v>285</v>
      </c>
      <c r="E53" s="1681"/>
      <c r="F53" s="1681"/>
      <c r="G53" s="1681"/>
      <c r="H53" s="1681"/>
      <c r="I53" s="1681"/>
      <c r="J53" s="1681"/>
      <c r="K53" s="1682"/>
    </row>
    <row r="54" spans="2:11" ht="23.25" thickBot="1">
      <c r="B54" s="72" t="s">
        <v>41</v>
      </c>
      <c r="C54" s="107"/>
      <c r="D54" s="1680" t="s">
        <v>286</v>
      </c>
      <c r="E54" s="1681"/>
      <c r="F54" s="1681"/>
      <c r="G54" s="1681"/>
      <c r="H54" s="1681"/>
      <c r="I54" s="1681"/>
      <c r="J54" s="1681"/>
      <c r="K54" s="1682"/>
    </row>
    <row r="55" spans="2:11" ht="15.75" thickBot="1">
      <c r="B55" s="2"/>
      <c r="C55" s="75"/>
      <c r="D55" s="6"/>
      <c r="E55" s="6"/>
      <c r="F55" s="6"/>
      <c r="G55" s="6"/>
      <c r="H55" s="6"/>
      <c r="I55" s="6"/>
      <c r="J55" s="6"/>
      <c r="K55" s="6"/>
    </row>
    <row r="56" spans="2:11" ht="24" customHeight="1" thickBot="1">
      <c r="B56" s="1671" t="s">
        <v>43</v>
      </c>
      <c r="C56" s="1672"/>
      <c r="D56" s="1672"/>
      <c r="E56" s="1673"/>
      <c r="F56" s="6"/>
      <c r="G56" s="6"/>
      <c r="H56" s="6"/>
      <c r="I56" s="6"/>
      <c r="J56" s="6"/>
      <c r="K56" s="6"/>
    </row>
    <row r="57" spans="2:11" ht="15.75" thickBot="1">
      <c r="B57" s="1668">
        <v>1</v>
      </c>
      <c r="C57" s="93"/>
      <c r="D57" s="49" t="s">
        <v>44</v>
      </c>
      <c r="E57" s="31" t="s">
        <v>1616</v>
      </c>
      <c r="F57" s="6"/>
      <c r="G57" s="6"/>
      <c r="H57" s="6"/>
      <c r="I57" s="6"/>
      <c r="J57" s="6"/>
      <c r="K57" s="6"/>
    </row>
    <row r="58" spans="2:11" ht="15.75" thickBot="1">
      <c r="B58" s="1669"/>
      <c r="C58" s="93"/>
      <c r="D58" s="41" t="s">
        <v>45</v>
      </c>
      <c r="E58" s="31" t="s">
        <v>1725</v>
      </c>
      <c r="F58" s="6"/>
      <c r="G58" s="6"/>
      <c r="H58" s="6"/>
      <c r="I58" s="6"/>
      <c r="J58" s="6"/>
      <c r="K58" s="6"/>
    </row>
    <row r="59" spans="2:11" ht="15.75" thickBot="1">
      <c r="B59" s="1669"/>
      <c r="C59" s="93"/>
      <c r="D59" s="41" t="s">
        <v>46</v>
      </c>
      <c r="E59" s="31" t="s">
        <v>2043</v>
      </c>
      <c r="F59" s="6"/>
      <c r="G59" s="6"/>
      <c r="H59" s="6"/>
      <c r="I59" s="6"/>
      <c r="J59" s="6"/>
      <c r="K59" s="6"/>
    </row>
    <row r="60" spans="2:11" ht="15.75" thickBot="1">
      <c r="B60" s="1669"/>
      <c r="C60" s="93"/>
      <c r="D60" s="41" t="s">
        <v>47</v>
      </c>
      <c r="E60" s="31" t="s">
        <v>1626</v>
      </c>
      <c r="F60" s="6"/>
      <c r="G60" s="6"/>
      <c r="H60" s="6"/>
      <c r="I60" s="6"/>
      <c r="J60" s="6"/>
      <c r="K60" s="6"/>
    </row>
    <row r="61" spans="2:11" ht="15.75" thickBot="1">
      <c r="B61" s="1669"/>
      <c r="C61" s="93"/>
      <c r="D61" s="41" t="s">
        <v>48</v>
      </c>
      <c r="E61" s="31" t="s">
        <v>1726</v>
      </c>
      <c r="F61" s="6"/>
      <c r="G61" s="6"/>
      <c r="H61" s="6"/>
      <c r="I61" s="6"/>
      <c r="J61" s="6"/>
      <c r="K61" s="6"/>
    </row>
    <row r="62" spans="2:11" ht="15.75" thickBot="1">
      <c r="B62" s="1669"/>
      <c r="C62" s="93"/>
      <c r="D62" s="41" t="s">
        <v>49</v>
      </c>
      <c r="E62" s="31" t="s">
        <v>1727</v>
      </c>
      <c r="F62" s="6"/>
      <c r="G62" s="6"/>
      <c r="H62" s="6"/>
      <c r="I62" s="6"/>
      <c r="J62" s="6"/>
      <c r="K62" s="6"/>
    </row>
    <row r="63" spans="2:11" ht="15.75" thickBot="1">
      <c r="B63" s="1670"/>
      <c r="C63" s="3"/>
      <c r="D63" s="41" t="s">
        <v>50</v>
      </c>
      <c r="E63" s="31" t="s">
        <v>1682</v>
      </c>
      <c r="F63" s="6"/>
      <c r="G63" s="6"/>
      <c r="H63" s="6"/>
      <c r="I63" s="6"/>
      <c r="J63" s="6"/>
      <c r="K63" s="6"/>
    </row>
    <row r="64" spans="2:11" ht="15.75" thickBot="1">
      <c r="B64" s="2"/>
      <c r="C64" s="75"/>
      <c r="D64" s="6"/>
      <c r="E64" s="6"/>
      <c r="F64" s="6"/>
      <c r="G64" s="6"/>
      <c r="H64" s="6"/>
      <c r="I64" s="6"/>
      <c r="J64" s="6"/>
      <c r="K64" s="6"/>
    </row>
    <row r="65" spans="2:11" ht="15.75" thickBot="1">
      <c r="B65" s="1671" t="s">
        <v>51</v>
      </c>
      <c r="C65" s="1672"/>
      <c r="D65" s="1672"/>
      <c r="E65" s="1673"/>
      <c r="F65" s="6"/>
      <c r="G65" s="6"/>
      <c r="H65" s="6"/>
      <c r="I65" s="6"/>
      <c r="J65" s="6"/>
      <c r="K65" s="6"/>
    </row>
    <row r="66" spans="2:11" ht="15.75" thickBot="1">
      <c r="B66" s="1668">
        <v>1</v>
      </c>
      <c r="C66" s="93"/>
      <c r="D66" s="49" t="s">
        <v>44</v>
      </c>
      <c r="E66" s="225" t="s">
        <v>52</v>
      </c>
      <c r="F66" s="6"/>
      <c r="G66" s="6"/>
      <c r="H66" s="6"/>
      <c r="I66" s="6"/>
      <c r="J66" s="6"/>
      <c r="K66" s="6"/>
    </row>
    <row r="67" spans="2:11" ht="15.75" thickBot="1">
      <c r="B67" s="1669"/>
      <c r="C67" s="93"/>
      <c r="D67" s="41" t="s">
        <v>45</v>
      </c>
      <c r="E67" s="225" t="s">
        <v>53</v>
      </c>
      <c r="F67" s="6"/>
      <c r="G67" s="6"/>
      <c r="H67" s="6"/>
      <c r="I67" s="6"/>
      <c r="J67" s="6"/>
      <c r="K67" s="6"/>
    </row>
    <row r="68" spans="2:11" ht="15.75" thickBot="1">
      <c r="B68" s="1669"/>
      <c r="C68" s="93"/>
      <c r="D68" s="41" t="s">
        <v>46</v>
      </c>
      <c r="E68" s="295"/>
      <c r="F68" s="6"/>
      <c r="G68" s="6"/>
      <c r="H68" s="6"/>
      <c r="I68" s="6"/>
      <c r="J68" s="6"/>
      <c r="K68" s="6"/>
    </row>
    <row r="69" spans="2:11" ht="15.75" thickBot="1">
      <c r="B69" s="1669"/>
      <c r="C69" s="93"/>
      <c r="D69" s="41" t="s">
        <v>47</v>
      </c>
      <c r="E69" s="295"/>
      <c r="F69" s="6"/>
      <c r="G69" s="6"/>
      <c r="H69" s="6"/>
      <c r="I69" s="6"/>
      <c r="J69" s="6"/>
      <c r="K69" s="6"/>
    </row>
    <row r="70" spans="2:11" ht="15.75" thickBot="1">
      <c r="B70" s="1669"/>
      <c r="C70" s="93"/>
      <c r="D70" s="41" t="s">
        <v>48</v>
      </c>
      <c r="E70" s="295"/>
      <c r="F70" s="6"/>
      <c r="G70" s="6"/>
      <c r="H70" s="6"/>
      <c r="I70" s="6"/>
      <c r="J70" s="6"/>
      <c r="K70" s="6"/>
    </row>
    <row r="71" spans="2:11" ht="15.75" thickBot="1">
      <c r="B71" s="1669"/>
      <c r="C71" s="93"/>
      <c r="D71" s="41" t="s">
        <v>49</v>
      </c>
      <c r="E71" s="295"/>
      <c r="F71" s="6"/>
      <c r="G71" s="6"/>
      <c r="H71" s="6"/>
      <c r="I71" s="6"/>
      <c r="J71" s="6"/>
      <c r="K71" s="6"/>
    </row>
    <row r="72" spans="2:11" ht="15.75" thickBot="1">
      <c r="B72" s="1670"/>
      <c r="C72" s="3"/>
      <c r="D72" s="41" t="s">
        <v>50</v>
      </c>
      <c r="E72" s="295"/>
      <c r="F72" s="6"/>
      <c r="G72" s="6"/>
      <c r="H72" s="6"/>
      <c r="I72" s="6"/>
      <c r="J72" s="6"/>
      <c r="K72" s="6"/>
    </row>
    <row r="73" spans="2:11" ht="15.75" thickBot="1">
      <c r="B73" s="2"/>
      <c r="C73" s="75"/>
      <c r="D73" s="6"/>
      <c r="E73" s="6"/>
      <c r="F73" s="6"/>
      <c r="G73" s="6"/>
      <c r="H73" s="6"/>
      <c r="I73" s="6"/>
      <c r="J73" s="6"/>
      <c r="K73" s="6"/>
    </row>
    <row r="74" spans="2:11" ht="15.75" thickBot="1">
      <c r="B74" s="1671" t="s">
        <v>54</v>
      </c>
      <c r="C74" s="1672"/>
      <c r="D74" s="1672"/>
      <c r="E74" s="1672"/>
      <c r="F74" s="1673"/>
      <c r="G74" s="6"/>
      <c r="H74" s="6"/>
      <c r="I74" s="6"/>
      <c r="J74" s="6"/>
      <c r="K74" s="6"/>
    </row>
    <row r="75" spans="2:11" ht="24.75" thickBot="1">
      <c r="B75" s="48" t="s">
        <v>55</v>
      </c>
      <c r="C75" s="41" t="s">
        <v>56</v>
      </c>
      <c r="D75" s="41" t="s">
        <v>57</v>
      </c>
      <c r="E75" s="41" t="s">
        <v>58</v>
      </c>
      <c r="F75" s="6"/>
      <c r="G75" s="6"/>
      <c r="H75" s="6"/>
      <c r="I75" s="6"/>
      <c r="J75" s="6"/>
    </row>
    <row r="76" spans="2:11" ht="96.75" thickBot="1">
      <c r="B76" s="50">
        <v>42401</v>
      </c>
      <c r="C76" s="41">
        <v>0.01</v>
      </c>
      <c r="D76" s="69" t="s">
        <v>287</v>
      </c>
      <c r="E76" s="41"/>
      <c r="F76" s="6"/>
      <c r="G76" s="6"/>
      <c r="H76" s="6"/>
      <c r="I76" s="6"/>
      <c r="J76" s="6"/>
    </row>
    <row r="77" spans="2:11" ht="15.75" thickBot="1">
      <c r="B77" s="2"/>
      <c r="C77" s="75"/>
      <c r="D77" s="6"/>
      <c r="E77" s="6"/>
      <c r="F77" s="6"/>
      <c r="G77" s="6"/>
      <c r="H77" s="6"/>
      <c r="I77" s="6"/>
      <c r="J77" s="6"/>
      <c r="K77" s="6"/>
    </row>
    <row r="78" spans="2:11" ht="15.75" thickBot="1">
      <c r="B78" s="5" t="s">
        <v>60</v>
      </c>
      <c r="C78" s="95"/>
      <c r="D78" s="6"/>
      <c r="E78" s="6"/>
      <c r="F78" s="6"/>
      <c r="G78" s="6"/>
      <c r="H78" s="6"/>
      <c r="I78" s="6"/>
      <c r="J78" s="6"/>
      <c r="K78" s="6"/>
    </row>
    <row r="79" spans="2:11">
      <c r="B79" s="1657"/>
      <c r="C79" s="1658"/>
      <c r="D79" s="1658"/>
      <c r="E79" s="1658"/>
      <c r="F79" s="1658"/>
      <c r="G79" s="1658"/>
      <c r="H79" s="1658"/>
      <c r="I79" s="1658"/>
      <c r="J79" s="1658"/>
      <c r="K79" s="6"/>
    </row>
    <row r="80" spans="2:11" ht="15.75" thickBot="1">
      <c r="B80" s="1657"/>
      <c r="C80" s="1658"/>
      <c r="D80" s="1658"/>
      <c r="E80" s="1658"/>
      <c r="F80" s="1658"/>
      <c r="G80" s="1658"/>
      <c r="H80" s="1658"/>
      <c r="I80" s="1658"/>
      <c r="J80" s="1658"/>
      <c r="K80" s="6"/>
    </row>
    <row r="81" spans="2:11" ht="15.75" thickBot="1">
      <c r="B81" s="1671" t="s">
        <v>61</v>
      </c>
      <c r="C81" s="1672"/>
      <c r="D81" s="1673"/>
      <c r="E81" s="6"/>
      <c r="F81" s="6"/>
      <c r="G81" s="6"/>
      <c r="H81" s="6"/>
      <c r="I81" s="6"/>
      <c r="J81" s="6"/>
      <c r="K81" s="6"/>
    </row>
    <row r="82" spans="2:11" ht="120.75" thickBot="1">
      <c r="B82" s="48" t="s">
        <v>62</v>
      </c>
      <c r="C82" s="3"/>
      <c r="D82" s="41" t="s">
        <v>229</v>
      </c>
      <c r="E82" s="6"/>
      <c r="F82" s="6"/>
      <c r="G82" s="6"/>
      <c r="H82" s="6"/>
      <c r="I82" s="6"/>
      <c r="J82" s="6"/>
      <c r="K82" s="6"/>
    </row>
    <row r="83" spans="2:11">
      <c r="B83" s="1668" t="s">
        <v>64</v>
      </c>
      <c r="C83" s="93"/>
      <c r="D83" s="54" t="s">
        <v>65</v>
      </c>
      <c r="E83" s="6"/>
      <c r="F83" s="6"/>
      <c r="G83" s="6"/>
      <c r="H83" s="6"/>
      <c r="I83" s="6"/>
      <c r="J83" s="6"/>
      <c r="K83" s="6"/>
    </row>
    <row r="84" spans="2:11" ht="72">
      <c r="B84" s="1669"/>
      <c r="C84" s="93"/>
      <c r="D84" s="47" t="s">
        <v>230</v>
      </c>
      <c r="E84" s="6"/>
      <c r="F84" s="6"/>
      <c r="G84" s="6"/>
      <c r="H84" s="6"/>
      <c r="I84" s="6"/>
      <c r="J84" s="6"/>
      <c r="K84" s="6"/>
    </row>
    <row r="85" spans="2:11" ht="48">
      <c r="B85" s="1669"/>
      <c r="C85" s="93"/>
      <c r="D85" s="47" t="s">
        <v>231</v>
      </c>
      <c r="E85" s="6"/>
      <c r="F85" s="6"/>
      <c r="G85" s="6"/>
      <c r="H85" s="6"/>
      <c r="I85" s="6"/>
      <c r="J85" s="6"/>
      <c r="K85" s="6"/>
    </row>
    <row r="86" spans="2:11">
      <c r="B86" s="1669"/>
      <c r="C86" s="93"/>
      <c r="D86" s="54" t="s">
        <v>232</v>
      </c>
      <c r="E86" s="6"/>
      <c r="F86" s="6"/>
      <c r="G86" s="6"/>
      <c r="H86" s="6"/>
      <c r="I86" s="6"/>
      <c r="J86" s="6"/>
      <c r="K86" s="6"/>
    </row>
    <row r="87" spans="2:11">
      <c r="B87" s="1669"/>
      <c r="C87" s="93"/>
      <c r="D87" s="47" t="s">
        <v>69</v>
      </c>
      <c r="E87" s="6"/>
      <c r="F87" s="6"/>
      <c r="G87" s="6"/>
      <c r="H87" s="6"/>
      <c r="I87" s="6"/>
      <c r="J87" s="6"/>
      <c r="K87" s="6"/>
    </row>
    <row r="88" spans="2:11">
      <c r="B88" s="1669"/>
      <c r="C88" s="93"/>
      <c r="D88" s="47" t="s">
        <v>171</v>
      </c>
      <c r="E88" s="6"/>
      <c r="F88" s="6"/>
      <c r="G88" s="6"/>
      <c r="H88" s="6"/>
      <c r="I88" s="6"/>
      <c r="J88" s="6"/>
      <c r="K88" s="6"/>
    </row>
    <row r="89" spans="2:11" ht="15.75" thickBot="1">
      <c r="B89" s="1670"/>
      <c r="C89" s="3"/>
      <c r="D89" s="41" t="s">
        <v>233</v>
      </c>
      <c r="E89" s="6"/>
      <c r="F89" s="6"/>
      <c r="G89" s="6"/>
      <c r="H89" s="6"/>
      <c r="I89" s="6"/>
      <c r="J89" s="6"/>
      <c r="K89" s="6"/>
    </row>
    <row r="90" spans="2:11" ht="24.75" thickBot="1">
      <c r="B90" s="48" t="s">
        <v>77</v>
      </c>
      <c r="C90" s="3"/>
      <c r="D90" s="41"/>
      <c r="E90" s="6"/>
      <c r="F90" s="6"/>
      <c r="G90" s="6"/>
      <c r="H90" s="6"/>
      <c r="I90" s="6"/>
      <c r="J90" s="6"/>
      <c r="K90" s="6"/>
    </row>
    <row r="91" spans="2:11" ht="156">
      <c r="B91" s="1668" t="s">
        <v>78</v>
      </c>
      <c r="C91" s="93"/>
      <c r="D91" s="47" t="s">
        <v>234</v>
      </c>
      <c r="E91" s="6"/>
      <c r="F91" s="6"/>
      <c r="G91" s="6"/>
      <c r="H91" s="6"/>
      <c r="I91" s="6"/>
      <c r="J91" s="6"/>
      <c r="K91" s="6"/>
    </row>
    <row r="92" spans="2:11" ht="132.75" thickBot="1">
      <c r="B92" s="1670"/>
      <c r="C92" s="3"/>
      <c r="D92" s="41" t="s">
        <v>235</v>
      </c>
      <c r="E92" s="6"/>
      <c r="F92" s="6"/>
      <c r="G92" s="6"/>
      <c r="H92" s="6"/>
      <c r="I92" s="6"/>
      <c r="J92" s="6"/>
      <c r="K92" s="6"/>
    </row>
    <row r="93" spans="2:11" ht="29.45" customHeight="1">
      <c r="B93" s="1668" t="s">
        <v>95</v>
      </c>
      <c r="C93" s="93"/>
      <c r="D93" s="47" t="s">
        <v>96</v>
      </c>
      <c r="E93" s="6"/>
      <c r="F93" s="6"/>
      <c r="G93" s="6"/>
      <c r="H93" s="6"/>
      <c r="I93" s="6"/>
      <c r="J93" s="6"/>
      <c r="K93" s="6"/>
    </row>
    <row r="94" spans="2:11" ht="73.5">
      <c r="B94" s="1669"/>
      <c r="C94" s="93"/>
      <c r="D94" s="47" t="s">
        <v>236</v>
      </c>
      <c r="E94" s="6"/>
      <c r="F94" s="6"/>
      <c r="G94" s="6"/>
      <c r="H94" s="6"/>
      <c r="I94" s="6"/>
      <c r="J94" s="6"/>
      <c r="K94" s="6"/>
    </row>
    <row r="95" spans="2:11" ht="37.5">
      <c r="B95" s="1669"/>
      <c r="C95" s="93"/>
      <c r="D95" s="47" t="s">
        <v>237</v>
      </c>
      <c r="E95" s="6"/>
      <c r="F95" s="6"/>
      <c r="G95" s="6"/>
      <c r="H95" s="6"/>
      <c r="I95" s="6"/>
      <c r="J95" s="6"/>
      <c r="K95" s="6"/>
    </row>
    <row r="96" spans="2:11" ht="37.5">
      <c r="B96" s="1669"/>
      <c r="C96" s="93"/>
      <c r="D96" s="47" t="s">
        <v>238</v>
      </c>
      <c r="E96" s="6"/>
      <c r="F96" s="6"/>
      <c r="G96" s="6"/>
      <c r="H96" s="6"/>
      <c r="I96" s="6"/>
      <c r="J96" s="6"/>
      <c r="K96" s="6"/>
    </row>
    <row r="97" spans="2:11" ht="37.5">
      <c r="B97" s="1669"/>
      <c r="C97" s="93"/>
      <c r="D97" s="47" t="s">
        <v>239</v>
      </c>
      <c r="E97" s="6"/>
      <c r="F97" s="6"/>
      <c r="G97" s="6"/>
      <c r="H97" s="6"/>
      <c r="I97" s="6"/>
      <c r="J97" s="6"/>
      <c r="K97" s="6"/>
    </row>
    <row r="98" spans="2:11">
      <c r="B98" s="1669"/>
      <c r="C98" s="93"/>
      <c r="D98" s="47" t="s">
        <v>240</v>
      </c>
      <c r="E98" s="6"/>
      <c r="F98" s="6"/>
      <c r="G98" s="6"/>
      <c r="H98" s="6"/>
      <c r="I98" s="6"/>
      <c r="J98" s="6"/>
      <c r="K98" s="6"/>
    </row>
    <row r="99" spans="2:11">
      <c r="B99" s="1669"/>
      <c r="C99" s="93"/>
      <c r="D99" s="47" t="s">
        <v>241</v>
      </c>
      <c r="E99" s="6"/>
      <c r="F99" s="6"/>
      <c r="G99" s="6"/>
      <c r="H99" s="6"/>
      <c r="I99" s="6"/>
      <c r="J99" s="6"/>
      <c r="K99" s="6"/>
    </row>
    <row r="100" spans="2:11">
      <c r="B100" s="1669"/>
      <c r="C100" s="93"/>
      <c r="D100" s="47" t="s">
        <v>242</v>
      </c>
      <c r="E100" s="6"/>
      <c r="F100" s="6"/>
      <c r="G100" s="6"/>
      <c r="H100" s="6"/>
      <c r="I100" s="6"/>
      <c r="J100" s="6"/>
      <c r="K100" s="6"/>
    </row>
    <row r="101" spans="2:11">
      <c r="B101" s="1669"/>
      <c r="C101" s="93"/>
      <c r="D101" s="47" t="s">
        <v>104</v>
      </c>
      <c r="E101" s="6"/>
      <c r="F101" s="6"/>
      <c r="G101" s="6"/>
      <c r="H101" s="6"/>
      <c r="I101" s="6"/>
      <c r="J101" s="6"/>
      <c r="K101" s="6"/>
    </row>
    <row r="102" spans="2:11" ht="84">
      <c r="B102" s="1669"/>
      <c r="C102" s="93"/>
      <c r="D102" s="55" t="s">
        <v>243</v>
      </c>
      <c r="E102" s="6"/>
      <c r="F102" s="6"/>
      <c r="G102" s="6"/>
      <c r="H102" s="6"/>
      <c r="I102" s="6"/>
      <c r="J102" s="6"/>
      <c r="K102" s="6"/>
    </row>
    <row r="103" spans="2:11" ht="24">
      <c r="B103" s="1669"/>
      <c r="C103" s="93"/>
      <c r="D103" s="54" t="s">
        <v>244</v>
      </c>
      <c r="E103" s="6"/>
      <c r="F103" s="6"/>
      <c r="G103" s="6"/>
      <c r="H103" s="6"/>
      <c r="I103" s="6"/>
      <c r="J103" s="6"/>
      <c r="K103" s="6"/>
    </row>
    <row r="104" spans="2:11">
      <c r="B104" s="1669"/>
      <c r="C104" s="93"/>
      <c r="D104" s="17"/>
      <c r="E104" s="6"/>
      <c r="F104" s="6"/>
      <c r="G104" s="6"/>
      <c r="H104" s="6"/>
      <c r="I104" s="6"/>
      <c r="J104" s="6"/>
      <c r="K104" s="6"/>
    </row>
    <row r="105" spans="2:11">
      <c r="B105" s="1669"/>
      <c r="C105" s="93"/>
      <c r="D105" s="47" t="s">
        <v>96</v>
      </c>
      <c r="E105" s="6"/>
      <c r="F105" s="6"/>
      <c r="G105" s="6"/>
      <c r="H105" s="6"/>
      <c r="I105" s="6"/>
      <c r="J105" s="6"/>
      <c r="K105" s="6"/>
    </row>
    <row r="106" spans="2:11" ht="37.5">
      <c r="B106" s="1669"/>
      <c r="C106" s="93"/>
      <c r="D106" s="47" t="s">
        <v>237</v>
      </c>
      <c r="E106" s="6"/>
      <c r="F106" s="6"/>
      <c r="G106" s="6"/>
      <c r="H106" s="6"/>
      <c r="I106" s="6"/>
      <c r="J106" s="6"/>
      <c r="K106" s="6"/>
    </row>
    <row r="107" spans="2:11" ht="25.5">
      <c r="B107" s="1669"/>
      <c r="C107" s="93"/>
      <c r="D107" s="47" t="s">
        <v>245</v>
      </c>
      <c r="E107" s="6"/>
      <c r="F107" s="6"/>
      <c r="G107" s="6"/>
      <c r="H107" s="6"/>
      <c r="I107" s="6"/>
      <c r="J107" s="6"/>
      <c r="K107" s="6"/>
    </row>
    <row r="108" spans="2:11">
      <c r="B108" s="1669"/>
      <c r="C108" s="93"/>
      <c r="D108" s="47" t="s">
        <v>246</v>
      </c>
      <c r="E108" s="6"/>
      <c r="F108" s="6"/>
      <c r="G108" s="6"/>
      <c r="H108" s="6"/>
      <c r="I108" s="6"/>
      <c r="J108" s="6"/>
      <c r="K108" s="6"/>
    </row>
    <row r="109" spans="2:11">
      <c r="B109" s="1669"/>
      <c r="C109" s="93"/>
      <c r="D109" s="54" t="s">
        <v>247</v>
      </c>
      <c r="E109" s="6"/>
      <c r="F109" s="6"/>
      <c r="G109" s="6"/>
      <c r="H109" s="6"/>
      <c r="I109" s="6"/>
      <c r="J109" s="6"/>
      <c r="K109" s="6"/>
    </row>
    <row r="110" spans="2:11">
      <c r="B110" s="1669"/>
      <c r="C110" s="93"/>
      <c r="D110" s="17"/>
      <c r="E110" s="6"/>
      <c r="F110" s="6"/>
      <c r="G110" s="6"/>
      <c r="H110" s="6"/>
      <c r="I110" s="6"/>
      <c r="J110" s="6"/>
      <c r="K110" s="6"/>
    </row>
    <row r="111" spans="2:11">
      <c r="B111" s="1669"/>
      <c r="C111" s="93"/>
      <c r="D111" s="47" t="s">
        <v>96</v>
      </c>
      <c r="E111" s="6"/>
      <c r="F111" s="6"/>
      <c r="G111" s="6"/>
      <c r="H111" s="6"/>
      <c r="I111" s="6"/>
      <c r="J111" s="6"/>
      <c r="K111" s="6"/>
    </row>
    <row r="112" spans="2:11" ht="37.5">
      <c r="B112" s="1669"/>
      <c r="C112" s="93"/>
      <c r="D112" s="47" t="s">
        <v>238</v>
      </c>
      <c r="E112" s="6"/>
      <c r="F112" s="6"/>
      <c r="G112" s="6"/>
      <c r="H112" s="6"/>
      <c r="I112" s="6"/>
      <c r="J112" s="6"/>
      <c r="K112" s="6"/>
    </row>
    <row r="113" spans="2:11" ht="25.5">
      <c r="B113" s="1669"/>
      <c r="C113" s="93"/>
      <c r="D113" s="47" t="s">
        <v>248</v>
      </c>
      <c r="E113" s="6"/>
      <c r="F113" s="6"/>
      <c r="G113" s="6"/>
      <c r="H113" s="6"/>
      <c r="I113" s="6"/>
      <c r="J113" s="6"/>
      <c r="K113" s="6"/>
    </row>
    <row r="114" spans="2:11">
      <c r="B114" s="1669"/>
      <c r="C114" s="93"/>
      <c r="D114" s="47" t="s">
        <v>249</v>
      </c>
      <c r="E114" s="6"/>
      <c r="F114" s="6"/>
      <c r="G114" s="6"/>
      <c r="H114" s="6"/>
      <c r="I114" s="6"/>
      <c r="J114" s="6"/>
      <c r="K114" s="6"/>
    </row>
    <row r="115" spans="2:11">
      <c r="B115" s="1669"/>
      <c r="C115" s="93"/>
      <c r="D115" s="54" t="s">
        <v>250</v>
      </c>
      <c r="E115" s="6"/>
      <c r="F115" s="6"/>
      <c r="G115" s="6"/>
      <c r="H115" s="6"/>
      <c r="I115" s="6"/>
      <c r="J115" s="6"/>
      <c r="K115" s="6"/>
    </row>
    <row r="116" spans="2:11">
      <c r="B116" s="1669"/>
      <c r="C116" s="93"/>
      <c r="D116" s="17"/>
      <c r="E116" s="6"/>
      <c r="F116" s="6"/>
      <c r="G116" s="6"/>
      <c r="H116" s="6"/>
      <c r="I116" s="6"/>
      <c r="J116" s="6"/>
      <c r="K116" s="6"/>
    </row>
    <row r="117" spans="2:11">
      <c r="B117" s="1669"/>
      <c r="C117" s="93"/>
      <c r="D117" s="47" t="s">
        <v>96</v>
      </c>
      <c r="E117" s="6"/>
      <c r="F117" s="6"/>
      <c r="G117" s="6"/>
      <c r="H117" s="6"/>
      <c r="I117" s="6"/>
      <c r="J117" s="6"/>
      <c r="K117" s="6"/>
    </row>
    <row r="118" spans="2:11" ht="37.5">
      <c r="B118" s="1669"/>
      <c r="C118" s="93"/>
      <c r="D118" s="47" t="s">
        <v>251</v>
      </c>
      <c r="E118" s="6"/>
      <c r="F118" s="6"/>
      <c r="G118" s="6"/>
      <c r="H118" s="6"/>
      <c r="I118" s="6"/>
      <c r="J118" s="6"/>
      <c r="K118" s="6"/>
    </row>
    <row r="119" spans="2:11" ht="25.5">
      <c r="B119" s="1669"/>
      <c r="C119" s="93"/>
      <c r="D119" s="47" t="s">
        <v>252</v>
      </c>
      <c r="E119" s="6"/>
      <c r="F119" s="6"/>
      <c r="G119" s="6"/>
      <c r="H119" s="6"/>
      <c r="I119" s="6"/>
      <c r="J119" s="6"/>
      <c r="K119" s="6"/>
    </row>
    <row r="120" spans="2:11">
      <c r="B120" s="1669"/>
      <c r="C120" s="93"/>
      <c r="D120" s="47" t="s">
        <v>253</v>
      </c>
      <c r="E120" s="6"/>
      <c r="F120" s="6"/>
      <c r="G120" s="6"/>
      <c r="H120" s="6"/>
      <c r="I120" s="6"/>
      <c r="J120" s="6"/>
      <c r="K120" s="6"/>
    </row>
    <row r="121" spans="2:11">
      <c r="B121" s="1669"/>
      <c r="C121" s="93"/>
      <c r="D121" s="54" t="s">
        <v>254</v>
      </c>
      <c r="E121" s="6"/>
      <c r="F121" s="6"/>
      <c r="G121" s="6"/>
      <c r="H121" s="6"/>
      <c r="I121" s="6"/>
      <c r="J121" s="6"/>
      <c r="K121" s="6"/>
    </row>
    <row r="122" spans="2:11" ht="36">
      <c r="B122" s="1669"/>
      <c r="C122" s="93"/>
      <c r="D122" s="54" t="s">
        <v>255</v>
      </c>
      <c r="E122" s="6"/>
      <c r="F122" s="6"/>
      <c r="G122" s="6"/>
      <c r="H122" s="6"/>
      <c r="I122" s="6"/>
      <c r="J122" s="6"/>
      <c r="K122" s="6"/>
    </row>
    <row r="123" spans="2:11">
      <c r="B123" s="1669"/>
      <c r="C123" s="93"/>
      <c r="D123" s="47" t="s">
        <v>256</v>
      </c>
      <c r="E123" s="6"/>
      <c r="F123" s="6"/>
      <c r="G123" s="6"/>
      <c r="H123" s="6"/>
      <c r="I123" s="6"/>
      <c r="J123" s="6"/>
      <c r="K123" s="6"/>
    </row>
    <row r="124" spans="2:11">
      <c r="B124" s="1669"/>
      <c r="C124" s="93"/>
      <c r="D124" s="47" t="s">
        <v>96</v>
      </c>
      <c r="E124" s="6"/>
      <c r="F124" s="6"/>
      <c r="G124" s="6"/>
      <c r="H124" s="6"/>
      <c r="I124" s="6"/>
      <c r="J124" s="6"/>
      <c r="K124" s="6"/>
    </row>
    <row r="125" spans="2:11" ht="49.5">
      <c r="B125" s="1669"/>
      <c r="C125" s="93"/>
      <c r="D125" s="47" t="s">
        <v>257</v>
      </c>
      <c r="E125" s="6"/>
      <c r="F125" s="6"/>
      <c r="G125" s="6"/>
      <c r="H125" s="6"/>
      <c r="I125" s="6"/>
      <c r="J125" s="6"/>
      <c r="K125" s="6"/>
    </row>
    <row r="126" spans="2:11" ht="49.5">
      <c r="B126" s="1669"/>
      <c r="C126" s="93"/>
      <c r="D126" s="47" t="s">
        <v>258</v>
      </c>
      <c r="E126" s="6"/>
      <c r="F126" s="6"/>
      <c r="G126" s="6"/>
      <c r="H126" s="6"/>
      <c r="I126" s="6"/>
      <c r="J126" s="6"/>
      <c r="K126" s="6"/>
    </row>
    <row r="127" spans="2:11" ht="50.25" thickBot="1">
      <c r="B127" s="1670"/>
      <c r="C127" s="3"/>
      <c r="D127" s="41" t="s">
        <v>259</v>
      </c>
      <c r="E127" s="6"/>
      <c r="F127" s="6"/>
      <c r="G127" s="6"/>
      <c r="H127" s="6"/>
      <c r="I127" s="6"/>
      <c r="J127" s="6"/>
      <c r="K127" s="6"/>
    </row>
  </sheetData>
  <sheetProtection sheet="1" objects="1" scenarios="1" insertRows="0"/>
  <mergeCells count="29">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 ref="B79:J80"/>
    <mergeCell ref="B57:B63"/>
    <mergeCell ref="B65:E65"/>
    <mergeCell ref="D29:K29"/>
    <mergeCell ref="D30:K30"/>
    <mergeCell ref="D53:K53"/>
    <mergeCell ref="D54:K54"/>
    <mergeCell ref="B56:E56"/>
    <mergeCell ref="A1:P1"/>
    <mergeCell ref="A2:P2"/>
    <mergeCell ref="A3:P3"/>
    <mergeCell ref="A4:D4"/>
    <mergeCell ref="A5:P5"/>
  </mergeCells>
  <conditionalFormatting sqref="F10">
    <cfRule type="notContainsBlanks" dxfId="108" priority="4">
      <formula>LEN(TRIM(F10))&gt;0</formula>
    </cfRule>
  </conditionalFormatting>
  <conditionalFormatting sqref="F11:S11">
    <cfRule type="expression" dxfId="107" priority="2">
      <formula>E11="NO SE REPORTA"</formula>
    </cfRule>
    <cfRule type="expression" dxfId="106" priority="3">
      <formula>E10="NO APLICA"</formula>
    </cfRule>
  </conditionalFormatting>
  <conditionalFormatting sqref="E12:R12">
    <cfRule type="expression" dxfId="105"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2:I50">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topLeftCell="A19" zoomScale="98" zoomScaleNormal="98" workbookViewId="0">
      <selection activeCell="L23" sqref="L23"/>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6" max="6" width="25" customWidth="1"/>
    <col min="7" max="7" width="13.57031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288</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44"/>
      <c r="D7" s="240"/>
      <c r="E7" s="245"/>
      <c r="F7" s="240" t="s">
        <v>134</v>
      </c>
      <c r="G7" s="240"/>
      <c r="H7" s="240"/>
      <c r="I7" s="240"/>
      <c r="J7" s="240"/>
      <c r="K7" s="240"/>
    </row>
    <row r="8" spans="1:21" ht="15.75" thickBot="1">
      <c r="A8" s="237"/>
      <c r="B8" s="253" t="s">
        <v>1203</v>
      </c>
      <c r="C8" s="254">
        <v>2018</v>
      </c>
      <c r="D8" s="249">
        <f>IF(E10="NO APLICA","NO APLICA",IF(E11="NO SE REPORTA","SIN INFORMACION",+H19))</f>
        <v>0.94</v>
      </c>
      <c r="E8" s="256"/>
      <c r="F8" s="240" t="s">
        <v>135</v>
      </c>
      <c r="G8" s="240"/>
      <c r="H8" s="240"/>
      <c r="I8" s="240"/>
      <c r="J8" s="240"/>
      <c r="K8" s="240"/>
    </row>
    <row r="9" spans="1:21">
      <c r="A9" s="237"/>
      <c r="B9" s="483" t="s">
        <v>1204</v>
      </c>
      <c r="C9" s="257"/>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Gestión'!E19:H19</f>
        <v>Proyecto No 1.2. Gestión del Riesgo y adaptación al Cambio Climático (2)</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A14" s="237"/>
      <c r="B14" s="483"/>
      <c r="C14" s="257"/>
      <c r="D14" s="240"/>
      <c r="E14" s="240"/>
      <c r="F14" s="240"/>
      <c r="G14" s="240"/>
      <c r="H14" s="240"/>
      <c r="I14" s="240"/>
      <c r="J14" s="240"/>
      <c r="K14" s="240"/>
    </row>
    <row r="15" spans="1:21" ht="15.6" customHeight="1" thickTop="1" thickBot="1">
      <c r="A15" s="237"/>
      <c r="B15" s="1693" t="s">
        <v>2</v>
      </c>
      <c r="C15" s="260"/>
      <c r="D15" s="1621" t="s">
        <v>3</v>
      </c>
      <c r="E15" s="1622"/>
      <c r="F15" s="1622"/>
      <c r="G15" s="1622"/>
      <c r="H15" s="1622"/>
      <c r="I15" s="1623"/>
      <c r="J15" s="240"/>
      <c r="K15" s="240"/>
    </row>
    <row r="16" spans="1:21" ht="15.75" thickBot="1">
      <c r="A16" s="237"/>
      <c r="B16" s="1637"/>
      <c r="C16" s="264"/>
      <c r="D16" s="265" t="s">
        <v>156</v>
      </c>
      <c r="E16" s="272" t="s">
        <v>25</v>
      </c>
      <c r="F16" s="272" t="s">
        <v>26</v>
      </c>
      <c r="G16" s="272" t="s">
        <v>27</v>
      </c>
      <c r="H16" s="272" t="s">
        <v>28</v>
      </c>
      <c r="I16" s="334"/>
      <c r="J16" s="240"/>
      <c r="K16" s="240"/>
    </row>
    <row r="17" spans="1:11" ht="60.75" thickBot="1">
      <c r="A17" s="237"/>
      <c r="B17" s="1637"/>
      <c r="C17" s="264"/>
      <c r="D17" s="1313" t="s">
        <v>313</v>
      </c>
      <c r="E17" s="825">
        <v>16</v>
      </c>
      <c r="F17" s="825">
        <v>16</v>
      </c>
      <c r="G17" s="825">
        <v>16</v>
      </c>
      <c r="H17" s="825">
        <v>16</v>
      </c>
      <c r="I17" s="332"/>
      <c r="J17" s="240"/>
      <c r="K17" s="240"/>
    </row>
    <row r="18" spans="1:11" ht="60.75" thickBot="1">
      <c r="A18" s="237"/>
      <c r="B18" s="1637"/>
      <c r="C18" s="264"/>
      <c r="D18" s="1313" t="s">
        <v>314</v>
      </c>
      <c r="E18" s="825">
        <v>11</v>
      </c>
      <c r="F18" s="825">
        <v>16</v>
      </c>
      <c r="G18" s="825">
        <v>16</v>
      </c>
      <c r="H18" s="825">
        <v>15</v>
      </c>
      <c r="I18" s="332"/>
      <c r="J18" s="240"/>
      <c r="K18" s="240"/>
    </row>
    <row r="19" spans="1:11" ht="60.75" thickBot="1">
      <c r="A19" s="237"/>
      <c r="B19" s="1637"/>
      <c r="C19" s="264"/>
      <c r="D19" s="1313" t="s">
        <v>315</v>
      </c>
      <c r="E19" s="958">
        <f>IFERROR(E18/E17,"N.A.")</f>
        <v>0.69</v>
      </c>
      <c r="F19" s="958">
        <f>IFERROR(F18/F17,"N.A.")</f>
        <v>1</v>
      </c>
      <c r="G19" s="958">
        <f>IFERROR(G18/G17,"N.A.")</f>
        <v>1</v>
      </c>
      <c r="H19" s="958">
        <f>IFERROR(H18/H17,"N.A.")</f>
        <v>0.94</v>
      </c>
      <c r="I19" s="297"/>
      <c r="J19" s="240"/>
      <c r="K19" s="240"/>
    </row>
    <row r="20" spans="1:11" ht="15.75" thickBot="1">
      <c r="A20" s="237"/>
      <c r="B20" s="1637"/>
      <c r="C20" s="268"/>
      <c r="D20" s="1609" t="s">
        <v>316</v>
      </c>
      <c r="E20" s="1610"/>
      <c r="F20" s="1610"/>
      <c r="G20" s="1610"/>
      <c r="H20" s="1610"/>
      <c r="I20" s="1611"/>
      <c r="J20" s="240"/>
      <c r="K20" s="240"/>
    </row>
    <row r="21" spans="1:11" ht="21" customHeight="1">
      <c r="A21" s="237"/>
      <c r="B21" s="329"/>
      <c r="C21" s="1696" t="s">
        <v>24</v>
      </c>
      <c r="D21" s="1698" t="s">
        <v>317</v>
      </c>
      <c r="E21" s="1691" t="s">
        <v>321</v>
      </c>
      <c r="F21" s="1691" t="s">
        <v>318</v>
      </c>
      <c r="G21" s="1694" t="s">
        <v>60</v>
      </c>
      <c r="H21" s="237"/>
      <c r="I21" s="266"/>
      <c r="J21" s="240"/>
      <c r="K21" s="240"/>
    </row>
    <row r="22" spans="1:11" ht="15.75" thickBot="1">
      <c r="A22" s="237"/>
      <c r="B22" s="329"/>
      <c r="C22" s="1697"/>
      <c r="D22" s="1699"/>
      <c r="E22" s="1692"/>
      <c r="F22" s="1692"/>
      <c r="G22" s="1695"/>
      <c r="H22" s="237"/>
      <c r="I22" s="266"/>
      <c r="J22" s="240"/>
      <c r="K22" s="240"/>
    </row>
    <row r="23" spans="1:11" s="195" customFormat="1" ht="24.75" thickBot="1">
      <c r="B23" s="219"/>
      <c r="C23" s="224">
        <v>1</v>
      </c>
      <c r="D23" s="45" t="s">
        <v>2096</v>
      </c>
      <c r="E23" s="816">
        <v>3</v>
      </c>
      <c r="F23" s="45" t="s">
        <v>2095</v>
      </c>
      <c r="G23" s="30"/>
      <c r="I23" s="20"/>
      <c r="J23" s="19"/>
      <c r="K23" s="19"/>
    </row>
    <row r="24" spans="1:11" s="195" customFormat="1" ht="77.25" customHeight="1" thickBot="1">
      <c r="B24" s="219"/>
      <c r="C24" s="224">
        <v>2</v>
      </c>
      <c r="D24" s="840" t="s">
        <v>2097</v>
      </c>
      <c r="E24" s="816">
        <v>15</v>
      </c>
      <c r="F24" s="840" t="s">
        <v>2098</v>
      </c>
      <c r="G24" s="30"/>
      <c r="I24" s="20"/>
      <c r="J24" s="19"/>
      <c r="K24" s="19"/>
    </row>
    <row r="25" spans="1:11" s="195" customFormat="1" ht="24.75" thickBot="1">
      <c r="B25" s="219"/>
      <c r="C25" s="224">
        <v>3</v>
      </c>
      <c r="D25" s="45" t="s">
        <v>2056</v>
      </c>
      <c r="E25" s="7">
        <v>1</v>
      </c>
      <c r="F25" s="45" t="s">
        <v>2057</v>
      </c>
      <c r="G25" s="30"/>
      <c r="H25" s="341"/>
      <c r="I25" s="20"/>
      <c r="J25" s="19"/>
      <c r="K25" s="19"/>
    </row>
    <row r="26" spans="1:11" s="195" customFormat="1" ht="15.75" thickBot="1">
      <c r="B26" s="219"/>
      <c r="C26" s="224">
        <v>4</v>
      </c>
      <c r="D26" s="840"/>
      <c r="E26" s="7"/>
      <c r="F26" s="981"/>
      <c r="G26" s="840"/>
      <c r="H26" s="341"/>
      <c r="I26" s="20"/>
      <c r="J26" s="19"/>
      <c r="K26" s="19"/>
    </row>
    <row r="27" spans="1:11" s="195" customFormat="1" ht="15.75" thickBot="1">
      <c r="B27" s="219"/>
      <c r="C27" s="224">
        <v>5</v>
      </c>
      <c r="D27" s="840"/>
      <c r="E27" s="7"/>
      <c r="F27" s="831"/>
      <c r="G27" s="30"/>
      <c r="H27" s="341"/>
      <c r="I27" s="20"/>
      <c r="J27" s="19"/>
      <c r="K27" s="19"/>
    </row>
    <row r="28" spans="1:11" s="195" customFormat="1" ht="15.75" thickBot="1">
      <c r="B28" s="219"/>
      <c r="C28" s="224">
        <v>6</v>
      </c>
      <c r="D28" s="31"/>
      <c r="E28" s="7"/>
      <c r="F28" s="831"/>
      <c r="G28" s="30"/>
      <c r="H28" s="341"/>
      <c r="I28" s="20"/>
      <c r="J28" s="19"/>
      <c r="K28" s="19"/>
    </row>
    <row r="29" spans="1:11" s="195" customFormat="1" ht="15.75" thickBot="1">
      <c r="B29" s="219"/>
      <c r="C29" s="224">
        <v>7</v>
      </c>
      <c r="D29" s="31"/>
      <c r="E29" s="7"/>
      <c r="F29" s="831"/>
      <c r="G29" s="30"/>
      <c r="H29" s="341"/>
      <c r="I29" s="20"/>
      <c r="J29" s="19"/>
      <c r="K29" s="19"/>
    </row>
    <row r="30" spans="1:11" s="195" customFormat="1" ht="15.75" thickBot="1">
      <c r="B30" s="219"/>
      <c r="C30" s="224">
        <v>8</v>
      </c>
      <c r="D30" s="31"/>
      <c r="E30" s="7"/>
      <c r="F30" s="831"/>
      <c r="G30" s="30"/>
      <c r="H30" s="341"/>
      <c r="I30" s="20"/>
      <c r="J30" s="19"/>
      <c r="K30" s="19"/>
    </row>
    <row r="31" spans="1:11" s="195" customFormat="1" ht="15.75" thickBot="1">
      <c r="B31" s="219"/>
      <c r="C31" s="224">
        <v>9</v>
      </c>
      <c r="D31" s="31"/>
      <c r="E31" s="7"/>
      <c r="F31" s="831"/>
      <c r="G31" s="30"/>
      <c r="H31" s="341"/>
      <c r="I31" s="20"/>
      <c r="J31" s="19"/>
      <c r="K31" s="19"/>
    </row>
    <row r="32" spans="1:11" s="195" customFormat="1" ht="15.75" thickBot="1">
      <c r="B32" s="219"/>
      <c r="C32" s="224">
        <v>10</v>
      </c>
      <c r="D32" s="31"/>
      <c r="E32" s="7"/>
      <c r="F32" s="831"/>
      <c r="G32" s="30"/>
      <c r="H32" s="341"/>
      <c r="I32" s="20"/>
      <c r="J32" s="19"/>
      <c r="K32" s="19"/>
    </row>
    <row r="33" spans="1:11" s="195" customFormat="1" ht="15.75" thickBot="1">
      <c r="B33" s="219"/>
      <c r="C33" s="224">
        <v>11</v>
      </c>
      <c r="D33" s="31"/>
      <c r="E33" s="7"/>
      <c r="F33" s="831"/>
      <c r="G33" s="30"/>
      <c r="H33" s="341"/>
      <c r="I33" s="20"/>
      <c r="J33" s="19"/>
      <c r="K33" s="19"/>
    </row>
    <row r="34" spans="1:11" s="195" customFormat="1" ht="15.75" thickBot="1">
      <c r="B34" s="219"/>
      <c r="C34" s="224">
        <v>12</v>
      </c>
      <c r="D34" s="31"/>
      <c r="E34" s="7"/>
      <c r="F34" s="30"/>
      <c r="G34" s="30"/>
      <c r="H34" s="341"/>
      <c r="I34" s="20"/>
      <c r="J34" s="19"/>
      <c r="K34" s="19"/>
    </row>
    <row r="35" spans="1:11" s="195" customFormat="1" ht="15.75" thickBot="1">
      <c r="B35" s="219"/>
      <c r="C35" s="224">
        <v>13</v>
      </c>
      <c r="D35" s="31"/>
      <c r="E35" s="7"/>
      <c r="F35" s="30"/>
      <c r="G35" s="30"/>
      <c r="H35" s="341"/>
      <c r="I35" s="20"/>
      <c r="J35" s="19"/>
      <c r="K35" s="19"/>
    </row>
    <row r="36" spans="1:11" s="195" customFormat="1" ht="15.75" thickBot="1">
      <c r="B36" s="219"/>
      <c r="C36" s="224">
        <v>14</v>
      </c>
      <c r="D36" s="31"/>
      <c r="E36" s="7"/>
      <c r="F36" s="30"/>
      <c r="G36" s="30"/>
      <c r="H36" s="341"/>
      <c r="I36" s="20"/>
      <c r="J36" s="19"/>
      <c r="K36" s="19"/>
    </row>
    <row r="37" spans="1:11" s="195" customFormat="1" ht="15.75" thickBot="1">
      <c r="B37" s="219"/>
      <c r="C37" s="224">
        <v>15</v>
      </c>
      <c r="D37" s="31"/>
      <c r="E37" s="7"/>
      <c r="F37" s="30"/>
      <c r="G37" s="30"/>
      <c r="H37" s="341"/>
      <c r="I37" s="20"/>
      <c r="J37" s="19"/>
      <c r="K37" s="19"/>
    </row>
    <row r="38" spans="1:11" s="195" customFormat="1" ht="15.75" thickBot="1">
      <c r="B38" s="219"/>
      <c r="C38" s="224">
        <v>16</v>
      </c>
      <c r="D38" s="31"/>
      <c r="E38" s="7"/>
      <c r="F38" s="30"/>
      <c r="G38" s="30"/>
      <c r="H38" s="341"/>
      <c r="I38" s="20"/>
      <c r="J38" s="19"/>
      <c r="K38" s="19"/>
    </row>
    <row r="39" spans="1:11" s="195" customFormat="1" ht="15.75" thickBot="1">
      <c r="B39" s="219"/>
      <c r="C39" s="224">
        <v>17</v>
      </c>
      <c r="D39" s="31"/>
      <c r="E39" s="7"/>
      <c r="F39" s="30"/>
      <c r="G39" s="30"/>
      <c r="H39" s="341"/>
      <c r="I39" s="20"/>
      <c r="J39" s="19"/>
      <c r="K39" s="19"/>
    </row>
    <row r="40" spans="1:11" s="195" customFormat="1" ht="15.75" thickBot="1">
      <c r="B40" s="219"/>
      <c r="C40" s="224">
        <v>18</v>
      </c>
      <c r="D40" s="31"/>
      <c r="E40" s="7"/>
      <c r="F40" s="30"/>
      <c r="G40" s="30"/>
      <c r="H40" s="341"/>
      <c r="I40" s="20"/>
      <c r="J40" s="19"/>
      <c r="K40" s="19"/>
    </row>
    <row r="41" spans="1:11" s="195" customFormat="1" ht="15.75" thickBot="1">
      <c r="B41" s="219"/>
      <c r="C41" s="224">
        <v>19</v>
      </c>
      <c r="D41" s="31"/>
      <c r="E41" s="7"/>
      <c r="F41" s="30"/>
      <c r="G41" s="30"/>
      <c r="I41" s="20"/>
      <c r="J41" s="19"/>
      <c r="K41" s="19"/>
    </row>
    <row r="42" spans="1:11" s="195" customFormat="1" ht="15.75" thickBot="1">
      <c r="B42" s="220"/>
      <c r="C42" s="224">
        <v>20</v>
      </c>
      <c r="D42" s="31"/>
      <c r="E42" s="7"/>
      <c r="F42" s="30"/>
      <c r="G42" s="30"/>
      <c r="I42" s="197"/>
      <c r="J42" s="19"/>
      <c r="K42" s="19"/>
    </row>
    <row r="43" spans="1:11" ht="36" customHeight="1" thickBot="1">
      <c r="A43" s="237"/>
      <c r="B43" s="277" t="s">
        <v>39</v>
      </c>
      <c r="C43" s="278"/>
      <c r="D43" s="1621" t="s">
        <v>319</v>
      </c>
      <c r="E43" s="1622"/>
      <c r="F43" s="1622"/>
      <c r="G43" s="1622"/>
      <c r="H43" s="1622"/>
      <c r="I43" s="1623"/>
      <c r="J43" s="240"/>
      <c r="K43" s="240"/>
    </row>
    <row r="44" spans="1:11" ht="24.75" thickBot="1">
      <c r="A44" s="237"/>
      <c r="B44" s="277" t="s">
        <v>41</v>
      </c>
      <c r="C44" s="278"/>
      <c r="D44" s="1621" t="s">
        <v>286</v>
      </c>
      <c r="E44" s="1622"/>
      <c r="F44" s="1622"/>
      <c r="G44" s="1622"/>
      <c r="H44" s="1622"/>
      <c r="I44" s="1623"/>
      <c r="J44" s="240"/>
      <c r="K44" s="240"/>
    </row>
    <row r="45" spans="1:11" ht="15.75" thickBot="1">
      <c r="A45" s="237"/>
      <c r="B45" s="241"/>
      <c r="C45" s="242"/>
      <c r="D45" s="240"/>
      <c r="E45" s="240"/>
      <c r="F45" s="240"/>
      <c r="G45" s="240"/>
      <c r="H45" s="240"/>
      <c r="I45" s="240"/>
      <c r="J45" s="240"/>
      <c r="K45" s="240"/>
    </row>
    <row r="46" spans="1:11" ht="24" customHeight="1" thickBot="1">
      <c r="A46" s="237"/>
      <c r="B46" s="1627" t="s">
        <v>43</v>
      </c>
      <c r="C46" s="1628"/>
      <c r="D46" s="1628"/>
      <c r="E46" s="1629"/>
      <c r="F46" s="240"/>
      <c r="G46" s="240"/>
      <c r="H46" s="240"/>
      <c r="I46" s="240"/>
      <c r="J46" s="240"/>
      <c r="K46" s="240"/>
    </row>
    <row r="47" spans="1:11" ht="15.75" thickBot="1">
      <c r="A47" s="237"/>
      <c r="B47" s="1618">
        <v>1</v>
      </c>
      <c r="C47" s="264"/>
      <c r="D47" s="281" t="s">
        <v>44</v>
      </c>
      <c r="E47" s="31" t="s">
        <v>1616</v>
      </c>
      <c r="F47" s="240"/>
      <c r="G47" s="240"/>
      <c r="H47" s="240"/>
      <c r="I47" s="240"/>
      <c r="J47" s="240"/>
      <c r="K47" s="240"/>
    </row>
    <row r="48" spans="1:11" ht="15.75" thickBot="1">
      <c r="A48" s="237"/>
      <c r="B48" s="1619"/>
      <c r="C48" s="264"/>
      <c r="D48" s="267" t="s">
        <v>45</v>
      </c>
      <c r="E48" s="31" t="s">
        <v>1617</v>
      </c>
      <c r="F48" s="240"/>
      <c r="G48" s="240"/>
      <c r="H48" s="240"/>
      <c r="I48" s="240"/>
      <c r="J48" s="240"/>
      <c r="K48" s="240"/>
    </row>
    <row r="49" spans="1:11" ht="15.75" thickBot="1">
      <c r="A49" s="237"/>
      <c r="B49" s="1619"/>
      <c r="C49" s="264"/>
      <c r="D49" s="267" t="s">
        <v>46</v>
      </c>
      <c r="E49" s="31" t="s">
        <v>1639</v>
      </c>
      <c r="F49" s="240"/>
      <c r="G49" s="240"/>
      <c r="H49" s="240"/>
      <c r="I49" s="240"/>
      <c r="J49" s="240"/>
      <c r="K49" s="240"/>
    </row>
    <row r="50" spans="1:11" ht="15.75" thickBot="1">
      <c r="A50" s="237"/>
      <c r="B50" s="1619"/>
      <c r="C50" s="264"/>
      <c r="D50" s="267" t="s">
        <v>47</v>
      </c>
      <c r="E50" s="31" t="s">
        <v>1636</v>
      </c>
      <c r="F50" s="240"/>
      <c r="G50" s="240"/>
      <c r="H50" s="240"/>
      <c r="I50" s="240"/>
      <c r="J50" s="240"/>
      <c r="K50" s="240"/>
    </row>
    <row r="51" spans="1:11" ht="15.75" thickBot="1">
      <c r="A51" s="237"/>
      <c r="B51" s="1619"/>
      <c r="C51" s="264"/>
      <c r="D51" s="267" t="s">
        <v>48</v>
      </c>
      <c r="E51" s="819" t="s">
        <v>1640</v>
      </c>
      <c r="F51" s="240"/>
      <c r="G51" s="240"/>
      <c r="H51" s="240"/>
      <c r="I51" s="240"/>
      <c r="J51" s="240"/>
      <c r="K51" s="240"/>
    </row>
    <row r="52" spans="1:11" ht="15.75" thickBot="1">
      <c r="A52" s="237"/>
      <c r="B52" s="1619"/>
      <c r="C52" s="264"/>
      <c r="D52" s="267" t="s">
        <v>49</v>
      </c>
      <c r="E52" s="31" t="s">
        <v>1677</v>
      </c>
      <c r="F52" s="240"/>
      <c r="G52" s="240"/>
      <c r="H52" s="240"/>
      <c r="I52" s="240"/>
      <c r="J52" s="240"/>
      <c r="K52" s="240"/>
    </row>
    <row r="53" spans="1:11" ht="15.75" thickBot="1">
      <c r="A53" s="237"/>
      <c r="B53" s="1620"/>
      <c r="C53" s="274"/>
      <c r="D53" s="267" t="s">
        <v>50</v>
      </c>
      <c r="E53" s="31" t="s">
        <v>1678</v>
      </c>
      <c r="F53" s="240"/>
      <c r="G53" s="240"/>
      <c r="H53" s="240"/>
      <c r="I53" s="240"/>
      <c r="J53" s="240"/>
      <c r="K53" s="240"/>
    </row>
    <row r="54" spans="1:11" ht="15.75" thickBot="1">
      <c r="A54" s="237"/>
      <c r="B54" s="241"/>
      <c r="C54" s="242"/>
      <c r="D54" s="240"/>
      <c r="E54" s="240"/>
      <c r="F54" s="240"/>
      <c r="G54" s="240"/>
      <c r="H54" s="240"/>
      <c r="I54" s="240"/>
      <c r="J54" s="240"/>
      <c r="K54" s="240"/>
    </row>
    <row r="55" spans="1:11" ht="15.75" thickBot="1">
      <c r="A55" s="237"/>
      <c r="B55" s="1627" t="s">
        <v>51</v>
      </c>
      <c r="C55" s="1628"/>
      <c r="D55" s="1628"/>
      <c r="E55" s="1629"/>
      <c r="F55" s="240"/>
      <c r="G55" s="240"/>
      <c r="H55" s="240"/>
      <c r="I55" s="240"/>
      <c r="J55" s="240"/>
      <c r="K55" s="240"/>
    </row>
    <row r="56" spans="1:11" ht="15.75" thickBot="1">
      <c r="A56" s="237"/>
      <c r="B56" s="1618">
        <v>1</v>
      </c>
      <c r="C56" s="264"/>
      <c r="D56" s="281" t="s">
        <v>44</v>
      </c>
      <c r="E56" s="225" t="s">
        <v>52</v>
      </c>
      <c r="F56" s="240"/>
      <c r="G56" s="240"/>
      <c r="H56" s="240"/>
      <c r="I56" s="240"/>
      <c r="J56" s="240"/>
      <c r="K56" s="240"/>
    </row>
    <row r="57" spans="1:11" ht="15.75" thickBot="1">
      <c r="A57" s="237"/>
      <c r="B57" s="1619"/>
      <c r="C57" s="264"/>
      <c r="D57" s="267" t="s">
        <v>45</v>
      </c>
      <c r="E57" s="225" t="s">
        <v>53</v>
      </c>
      <c r="F57" s="240"/>
      <c r="G57" s="240"/>
      <c r="H57" s="240"/>
      <c r="I57" s="240"/>
      <c r="J57" s="240"/>
      <c r="K57" s="240"/>
    </row>
    <row r="58" spans="1:11" ht="15.75" thickBot="1">
      <c r="A58" s="237"/>
      <c r="B58" s="1619"/>
      <c r="C58" s="264"/>
      <c r="D58" s="267" t="s">
        <v>46</v>
      </c>
      <c r="E58" s="307"/>
      <c r="F58" s="240"/>
      <c r="G58" s="240"/>
      <c r="H58" s="240"/>
      <c r="I58" s="240"/>
      <c r="J58" s="240"/>
      <c r="K58" s="240"/>
    </row>
    <row r="59" spans="1:11" ht="15.75" thickBot="1">
      <c r="A59" s="237"/>
      <c r="B59" s="1619"/>
      <c r="C59" s="264"/>
      <c r="D59" s="267" t="s">
        <v>47</v>
      </c>
      <c r="E59" s="307"/>
      <c r="F59" s="240"/>
      <c r="G59" s="240"/>
      <c r="H59" s="240"/>
      <c r="I59" s="240"/>
      <c r="J59" s="240"/>
      <c r="K59" s="240"/>
    </row>
    <row r="60" spans="1:11" ht="15.75" thickBot="1">
      <c r="A60" s="237"/>
      <c r="B60" s="1619"/>
      <c r="C60" s="264"/>
      <c r="D60" s="267" t="s">
        <v>48</v>
      </c>
      <c r="E60" s="307"/>
      <c r="F60" s="240"/>
      <c r="G60" s="240"/>
      <c r="H60" s="240"/>
      <c r="I60" s="240"/>
      <c r="J60" s="240"/>
      <c r="K60" s="240"/>
    </row>
    <row r="61" spans="1:11" ht="15.75" thickBot="1">
      <c r="A61" s="237"/>
      <c r="B61" s="1619"/>
      <c r="C61" s="264"/>
      <c r="D61" s="267" t="s">
        <v>49</v>
      </c>
      <c r="E61" s="307"/>
      <c r="F61" s="240"/>
      <c r="G61" s="240"/>
      <c r="H61" s="240"/>
      <c r="I61" s="240"/>
      <c r="J61" s="240"/>
      <c r="K61" s="240"/>
    </row>
    <row r="62" spans="1:11" ht="15.75" thickBot="1">
      <c r="A62" s="237"/>
      <c r="B62" s="1620"/>
      <c r="C62" s="274"/>
      <c r="D62" s="267" t="s">
        <v>50</v>
      </c>
      <c r="E62" s="307"/>
      <c r="F62" s="240"/>
      <c r="G62" s="240"/>
      <c r="H62" s="240"/>
      <c r="I62" s="240"/>
      <c r="J62" s="240"/>
      <c r="K62" s="240"/>
    </row>
    <row r="63" spans="1:11" ht="15.75" thickBot="1">
      <c r="A63" s="237"/>
      <c r="B63" s="241"/>
      <c r="C63" s="242"/>
      <c r="D63" s="240"/>
      <c r="E63" s="240"/>
      <c r="F63" s="240"/>
      <c r="G63" s="240"/>
      <c r="H63" s="240"/>
      <c r="I63" s="240"/>
      <c r="J63" s="240"/>
      <c r="K63" s="240"/>
    </row>
    <row r="64" spans="1:11" ht="15" customHeight="1" thickBot="1">
      <c r="A64" s="237"/>
      <c r="B64" s="283" t="s">
        <v>54</v>
      </c>
      <c r="C64" s="284"/>
      <c r="D64" s="284"/>
      <c r="E64" s="285"/>
      <c r="F64" s="237"/>
      <c r="G64" s="240"/>
      <c r="H64" s="240"/>
      <c r="I64" s="240"/>
      <c r="J64" s="240"/>
      <c r="K64" s="240"/>
    </row>
    <row r="65" spans="1:11" ht="24.75" thickBot="1">
      <c r="A65" s="237"/>
      <c r="B65" s="277" t="s">
        <v>55</v>
      </c>
      <c r="C65" s="267" t="s">
        <v>56</v>
      </c>
      <c r="D65" s="267" t="s">
        <v>57</v>
      </c>
      <c r="E65" s="267" t="s">
        <v>58</v>
      </c>
      <c r="F65" s="240"/>
      <c r="G65" s="240"/>
      <c r="H65" s="240"/>
      <c r="I65" s="240"/>
      <c r="J65" s="240"/>
      <c r="K65" s="237"/>
    </row>
    <row r="66" spans="1:11" ht="96.75" thickBot="1">
      <c r="A66" s="237"/>
      <c r="B66" s="287">
        <v>42401</v>
      </c>
      <c r="C66" s="267">
        <v>0.01</v>
      </c>
      <c r="D66" s="299" t="s">
        <v>320</v>
      </c>
      <c r="E66" s="267"/>
      <c r="F66" s="240"/>
      <c r="G66" s="240"/>
      <c r="H66" s="240"/>
      <c r="I66" s="240"/>
      <c r="J66" s="240"/>
      <c r="K66" s="237"/>
    </row>
    <row r="67" spans="1:11" ht="15.75" thickBot="1">
      <c r="A67" s="237"/>
      <c r="B67" s="300"/>
      <c r="C67" s="301"/>
      <c r="D67" s="240"/>
      <c r="E67" s="240"/>
      <c r="F67" s="240"/>
      <c r="G67" s="240"/>
      <c r="H67" s="240"/>
      <c r="I67" s="240"/>
      <c r="J67" s="240"/>
      <c r="K67" s="240"/>
    </row>
    <row r="68" spans="1:11">
      <c r="A68" s="237"/>
      <c r="B68" s="289" t="s">
        <v>60</v>
      </c>
      <c r="C68" s="290"/>
      <c r="D68" s="240"/>
      <c r="E68" s="240"/>
      <c r="F68" s="240"/>
      <c r="G68" s="240"/>
      <c r="H68" s="240"/>
      <c r="I68" s="240"/>
      <c r="J68" s="240"/>
      <c r="K68" s="240"/>
    </row>
    <row r="69" spans="1:11">
      <c r="A69" s="237"/>
      <c r="B69" s="1648"/>
      <c r="C69" s="1649"/>
      <c r="D69" s="1649"/>
      <c r="E69" s="1650"/>
      <c r="F69" s="240"/>
      <c r="G69" s="240"/>
      <c r="H69" s="240"/>
      <c r="I69" s="240"/>
      <c r="J69" s="240"/>
      <c r="K69" s="240"/>
    </row>
    <row r="70" spans="1:11" ht="15.75" thickBot="1">
      <c r="A70" s="237"/>
      <c r="B70" s="240"/>
      <c r="C70" s="257"/>
      <c r="D70" s="240"/>
      <c r="E70" s="240"/>
      <c r="F70" s="240"/>
      <c r="G70" s="240"/>
      <c r="H70" s="240"/>
      <c r="I70" s="240"/>
      <c r="J70" s="240"/>
      <c r="K70" s="240"/>
    </row>
    <row r="71" spans="1:11" ht="15.75" thickBot="1">
      <c r="A71" s="237"/>
      <c r="B71" s="1627" t="s">
        <v>61</v>
      </c>
      <c r="C71" s="1628"/>
      <c r="D71" s="1629"/>
      <c r="E71" s="240"/>
      <c r="F71" s="240"/>
      <c r="G71" s="240"/>
      <c r="H71" s="240"/>
      <c r="I71" s="240"/>
      <c r="J71" s="240"/>
      <c r="K71" s="240"/>
    </row>
    <row r="72" spans="1:11" ht="120.75" thickBot="1">
      <c r="A72" s="237"/>
      <c r="B72" s="277" t="s">
        <v>62</v>
      </c>
      <c r="C72" s="274"/>
      <c r="D72" s="267" t="s">
        <v>289</v>
      </c>
      <c r="E72" s="240"/>
      <c r="F72" s="240"/>
      <c r="G72" s="240"/>
      <c r="H72" s="240"/>
      <c r="I72" s="240"/>
      <c r="J72" s="240"/>
      <c r="K72" s="240"/>
    </row>
    <row r="73" spans="1:11">
      <c r="A73" s="237"/>
      <c r="B73" s="1618" t="s">
        <v>64</v>
      </c>
      <c r="C73" s="264"/>
      <c r="D73" s="304" t="s">
        <v>65</v>
      </c>
      <c r="E73" s="240"/>
      <c r="F73" s="240"/>
      <c r="G73" s="240"/>
      <c r="H73" s="240"/>
      <c r="I73" s="240"/>
      <c r="J73" s="240"/>
      <c r="K73" s="240"/>
    </row>
    <row r="74" spans="1:11" ht="96">
      <c r="A74" s="237"/>
      <c r="B74" s="1619"/>
      <c r="C74" s="264"/>
      <c r="D74" s="305" t="s">
        <v>290</v>
      </c>
      <c r="E74" s="240"/>
      <c r="F74" s="240"/>
      <c r="G74" s="240"/>
      <c r="H74" s="240"/>
      <c r="I74" s="240"/>
      <c r="J74" s="240"/>
      <c r="K74" s="240"/>
    </row>
    <row r="75" spans="1:11" ht="60">
      <c r="A75" s="237"/>
      <c r="B75" s="1619"/>
      <c r="C75" s="264"/>
      <c r="D75" s="305" t="s">
        <v>291</v>
      </c>
      <c r="E75" s="240"/>
      <c r="F75" s="240"/>
      <c r="G75" s="240"/>
      <c r="H75" s="240"/>
      <c r="I75" s="240"/>
      <c r="J75" s="240"/>
      <c r="K75" s="240"/>
    </row>
    <row r="76" spans="1:11">
      <c r="A76" s="237"/>
      <c r="B76" s="1619"/>
      <c r="C76" s="264"/>
      <c r="D76" s="304" t="s">
        <v>68</v>
      </c>
      <c r="E76" s="240"/>
      <c r="F76" s="240"/>
      <c r="G76" s="240"/>
      <c r="H76" s="240"/>
      <c r="I76" s="240"/>
      <c r="J76" s="240"/>
      <c r="K76" s="240"/>
    </row>
    <row r="77" spans="1:11" ht="24">
      <c r="A77" s="237"/>
      <c r="B77" s="1619"/>
      <c r="C77" s="264"/>
      <c r="D77" s="305" t="s">
        <v>292</v>
      </c>
      <c r="E77" s="240"/>
      <c r="F77" s="240"/>
      <c r="G77" s="240"/>
      <c r="H77" s="240"/>
      <c r="I77" s="240"/>
      <c r="J77" s="240"/>
      <c r="K77" s="240"/>
    </row>
    <row r="78" spans="1:11" ht="48">
      <c r="A78" s="237"/>
      <c r="B78" s="1619"/>
      <c r="C78" s="264"/>
      <c r="D78" s="305" t="s">
        <v>293</v>
      </c>
      <c r="E78" s="240"/>
      <c r="F78" s="240"/>
      <c r="G78" s="240"/>
      <c r="H78" s="240"/>
      <c r="I78" s="240"/>
      <c r="J78" s="240"/>
      <c r="K78" s="240"/>
    </row>
    <row r="79" spans="1:11">
      <c r="A79" s="237"/>
      <c r="B79" s="1619"/>
      <c r="C79" s="264"/>
      <c r="D79" s="305" t="s">
        <v>294</v>
      </c>
      <c r="E79" s="240"/>
      <c r="F79" s="240"/>
      <c r="G79" s="240"/>
      <c r="H79" s="240"/>
      <c r="I79" s="240"/>
      <c r="J79" s="240"/>
      <c r="K79" s="240"/>
    </row>
    <row r="80" spans="1:11" ht="36">
      <c r="A80" s="237"/>
      <c r="B80" s="1619"/>
      <c r="C80" s="264"/>
      <c r="D80" s="305" t="s">
        <v>295</v>
      </c>
      <c r="E80" s="240"/>
      <c r="F80" s="240"/>
      <c r="G80" s="240"/>
      <c r="H80" s="240"/>
      <c r="I80" s="240"/>
      <c r="J80" s="240"/>
      <c r="K80" s="240"/>
    </row>
    <row r="81" spans="1:11">
      <c r="A81" s="237"/>
      <c r="B81" s="1619"/>
      <c r="C81" s="264"/>
      <c r="D81" s="304" t="s">
        <v>296</v>
      </c>
      <c r="E81" s="240"/>
      <c r="F81" s="240"/>
      <c r="G81" s="240"/>
      <c r="H81" s="240"/>
      <c r="I81" s="240"/>
      <c r="J81" s="240"/>
      <c r="K81" s="240"/>
    </row>
    <row r="82" spans="1:11">
      <c r="A82" s="237"/>
      <c r="B82" s="1619"/>
      <c r="C82" s="264"/>
      <c r="D82" s="305" t="s">
        <v>297</v>
      </c>
      <c r="E82" s="240"/>
      <c r="F82" s="240"/>
      <c r="G82" s="240"/>
      <c r="H82" s="240"/>
      <c r="I82" s="240"/>
      <c r="J82" s="240"/>
      <c r="K82" s="240"/>
    </row>
    <row r="83" spans="1:11" ht="36">
      <c r="A83" s="237"/>
      <c r="B83" s="1619"/>
      <c r="C83" s="264"/>
      <c r="D83" s="305" t="s">
        <v>298</v>
      </c>
      <c r="E83" s="240"/>
      <c r="F83" s="240"/>
      <c r="G83" s="240"/>
      <c r="H83" s="240"/>
      <c r="I83" s="240"/>
      <c r="J83" s="240"/>
      <c r="K83" s="240"/>
    </row>
    <row r="84" spans="1:11" ht="45.75" thickBot="1">
      <c r="A84" s="237"/>
      <c r="B84" s="1620"/>
      <c r="C84" s="274"/>
      <c r="D84" s="337" t="s">
        <v>299</v>
      </c>
      <c r="E84" s="240"/>
      <c r="F84" s="240"/>
      <c r="G84" s="240"/>
      <c r="H84" s="240"/>
      <c r="I84" s="240"/>
      <c r="J84" s="240"/>
      <c r="K84" s="240"/>
    </row>
    <row r="85" spans="1:11" ht="24.75" thickBot="1">
      <c r="A85" s="237"/>
      <c r="B85" s="277" t="s">
        <v>77</v>
      </c>
      <c r="C85" s="274"/>
      <c r="D85" s="267"/>
      <c r="E85" s="240"/>
      <c r="F85" s="240"/>
      <c r="G85" s="240"/>
      <c r="H85" s="240"/>
      <c r="I85" s="240"/>
      <c r="J85" s="240"/>
      <c r="K85" s="240"/>
    </row>
    <row r="86" spans="1:11" ht="228">
      <c r="A86" s="237"/>
      <c r="B86" s="1618" t="s">
        <v>78</v>
      </c>
      <c r="C86" s="264"/>
      <c r="D86" s="305" t="s">
        <v>300</v>
      </c>
      <c r="E86" s="240"/>
      <c r="F86" s="240"/>
      <c r="G86" s="240"/>
      <c r="H86" s="240"/>
      <c r="I86" s="240"/>
      <c r="J86" s="240"/>
      <c r="K86" s="240"/>
    </row>
    <row r="87" spans="1:11" ht="180">
      <c r="A87" s="237"/>
      <c r="B87" s="1619"/>
      <c r="C87" s="264"/>
      <c r="D87" s="305" t="s">
        <v>301</v>
      </c>
      <c r="E87" s="240"/>
      <c r="F87" s="240"/>
      <c r="G87" s="240"/>
      <c r="H87" s="240"/>
      <c r="I87" s="240"/>
      <c r="J87" s="240"/>
      <c r="K87" s="240"/>
    </row>
    <row r="88" spans="1:11" ht="72">
      <c r="A88" s="237"/>
      <c r="B88" s="1619"/>
      <c r="C88" s="264"/>
      <c r="D88" s="305" t="s">
        <v>302</v>
      </c>
      <c r="E88" s="240"/>
      <c r="F88" s="240"/>
      <c r="G88" s="240"/>
      <c r="H88" s="240"/>
      <c r="I88" s="240"/>
      <c r="J88" s="240"/>
      <c r="K88" s="240"/>
    </row>
    <row r="89" spans="1:11" ht="24">
      <c r="A89" s="237"/>
      <c r="B89" s="1619"/>
      <c r="C89" s="264"/>
      <c r="D89" s="305" t="s">
        <v>303</v>
      </c>
      <c r="E89" s="240"/>
      <c r="F89" s="240"/>
      <c r="G89" s="240"/>
      <c r="H89" s="240"/>
      <c r="I89" s="240"/>
      <c r="J89" s="240"/>
      <c r="K89" s="240"/>
    </row>
    <row r="90" spans="1:11" ht="72">
      <c r="A90" s="237"/>
      <c r="B90" s="1619"/>
      <c r="C90" s="264"/>
      <c r="D90" s="338" t="s">
        <v>304</v>
      </c>
      <c r="E90" s="240"/>
      <c r="F90" s="240"/>
      <c r="G90" s="240"/>
      <c r="H90" s="240"/>
      <c r="I90" s="240"/>
      <c r="J90" s="240"/>
      <c r="K90" s="240"/>
    </row>
    <row r="91" spans="1:11" ht="84">
      <c r="A91" s="237"/>
      <c r="B91" s="1619"/>
      <c r="C91" s="264"/>
      <c r="D91" s="338" t="s">
        <v>305</v>
      </c>
      <c r="E91" s="240"/>
      <c r="F91" s="240"/>
      <c r="G91" s="240"/>
      <c r="H91" s="240"/>
      <c r="I91" s="240"/>
      <c r="J91" s="240"/>
      <c r="K91" s="240"/>
    </row>
    <row r="92" spans="1:11" ht="36">
      <c r="A92" s="237"/>
      <c r="B92" s="1619"/>
      <c r="C92" s="264"/>
      <c r="D92" s="338" t="s">
        <v>306</v>
      </c>
      <c r="E92" s="240"/>
      <c r="F92" s="240"/>
      <c r="G92" s="240"/>
      <c r="H92" s="240"/>
      <c r="I92" s="240"/>
      <c r="J92" s="240"/>
      <c r="K92" s="240"/>
    </row>
    <row r="93" spans="1:11" ht="36">
      <c r="A93" s="237"/>
      <c r="B93" s="1619"/>
      <c r="C93" s="264"/>
      <c r="D93" s="338" t="s">
        <v>307</v>
      </c>
      <c r="E93" s="240"/>
      <c r="F93" s="240"/>
      <c r="G93" s="240"/>
      <c r="H93" s="240"/>
      <c r="I93" s="240"/>
      <c r="J93" s="240"/>
      <c r="K93" s="240"/>
    </row>
    <row r="94" spans="1:11" ht="48">
      <c r="A94" s="237"/>
      <c r="B94" s="1619"/>
      <c r="C94" s="264"/>
      <c r="D94" s="338" t="s">
        <v>308</v>
      </c>
      <c r="E94" s="240"/>
      <c r="F94" s="240"/>
      <c r="G94" s="240"/>
      <c r="H94" s="240"/>
      <c r="I94" s="240"/>
      <c r="J94" s="240"/>
      <c r="K94" s="240"/>
    </row>
    <row r="95" spans="1:11" ht="60.75" thickBot="1">
      <c r="A95" s="237"/>
      <c r="B95" s="1620"/>
      <c r="C95" s="274"/>
      <c r="D95" s="339" t="s">
        <v>309</v>
      </c>
      <c r="E95" s="240"/>
      <c r="F95" s="240"/>
      <c r="G95" s="240"/>
      <c r="H95" s="240"/>
      <c r="I95" s="240"/>
      <c r="J95" s="240"/>
      <c r="K95" s="240"/>
    </row>
    <row r="96" spans="1:11">
      <c r="A96" s="237"/>
      <c r="B96" s="1618" t="s">
        <v>95</v>
      </c>
      <c r="C96" s="264"/>
      <c r="D96" s="305"/>
      <c r="E96" s="240"/>
      <c r="F96" s="240"/>
      <c r="G96" s="240"/>
      <c r="H96" s="240"/>
      <c r="I96" s="240"/>
      <c r="J96" s="240"/>
      <c r="K96" s="240"/>
    </row>
    <row r="97" spans="1:11">
      <c r="A97" s="237"/>
      <c r="B97" s="1619"/>
      <c r="C97" s="264"/>
      <c r="D97" s="306"/>
      <c r="E97" s="240"/>
      <c r="F97" s="240"/>
      <c r="G97" s="240"/>
      <c r="H97" s="240"/>
      <c r="I97" s="240"/>
      <c r="J97" s="240"/>
      <c r="K97" s="240"/>
    </row>
    <row r="98" spans="1:11">
      <c r="A98" s="237"/>
      <c r="B98" s="1619"/>
      <c r="C98" s="264"/>
      <c r="D98" s="305" t="s">
        <v>96</v>
      </c>
      <c r="E98" s="240"/>
      <c r="F98" s="240"/>
      <c r="G98" s="240"/>
      <c r="H98" s="240"/>
      <c r="I98" s="240"/>
      <c r="J98" s="240"/>
      <c r="K98" s="240"/>
    </row>
    <row r="99" spans="1:11" ht="61.5">
      <c r="A99" s="237"/>
      <c r="B99" s="1619"/>
      <c r="C99" s="264"/>
      <c r="D99" s="305" t="s">
        <v>310</v>
      </c>
      <c r="E99" s="240"/>
      <c r="F99" s="240"/>
      <c r="G99" s="240"/>
      <c r="H99" s="240"/>
      <c r="I99" s="240"/>
      <c r="J99" s="240"/>
      <c r="K99" s="240"/>
    </row>
    <row r="100" spans="1:11" ht="61.5">
      <c r="A100" s="237"/>
      <c r="B100" s="1619"/>
      <c r="C100" s="264"/>
      <c r="D100" s="305" t="s">
        <v>311</v>
      </c>
      <c r="E100" s="240"/>
      <c r="F100" s="240"/>
      <c r="G100" s="240"/>
      <c r="H100" s="240"/>
      <c r="I100" s="240"/>
      <c r="J100" s="240"/>
      <c r="K100" s="240"/>
    </row>
    <row r="101" spans="1:11" ht="62.25" thickBot="1">
      <c r="A101" s="237"/>
      <c r="B101" s="1620"/>
      <c r="C101" s="274"/>
      <c r="D101" s="267" t="s">
        <v>312</v>
      </c>
      <c r="E101" s="240"/>
      <c r="F101" s="240"/>
      <c r="G101" s="240"/>
      <c r="H101" s="240"/>
      <c r="I101" s="240"/>
      <c r="J101" s="240"/>
      <c r="K101" s="240"/>
    </row>
  </sheetData>
  <sheetProtection sheet="1" objects="1" scenarios="1"/>
  <mergeCells count="29">
    <mergeCell ref="B10:D10"/>
    <mergeCell ref="F10:S10"/>
    <mergeCell ref="F11:S11"/>
    <mergeCell ref="E12:R12"/>
    <mergeCell ref="E13:R13"/>
    <mergeCell ref="B71:D71"/>
    <mergeCell ref="B73:B84"/>
    <mergeCell ref="B86:B95"/>
    <mergeCell ref="B96:B101"/>
    <mergeCell ref="C21:C22"/>
    <mergeCell ref="D21:D22"/>
    <mergeCell ref="B56:B62"/>
    <mergeCell ref="B69:E69"/>
    <mergeCell ref="D44:I44"/>
    <mergeCell ref="B46:E46"/>
    <mergeCell ref="B47:B53"/>
    <mergeCell ref="B55:E55"/>
    <mergeCell ref="D15:I15"/>
    <mergeCell ref="D20:I20"/>
    <mergeCell ref="D43:I43"/>
    <mergeCell ref="E21:E22"/>
    <mergeCell ref="B15:B20"/>
    <mergeCell ref="F21:F22"/>
    <mergeCell ref="G21:G22"/>
    <mergeCell ref="A1:P1"/>
    <mergeCell ref="A2:P2"/>
    <mergeCell ref="A3:P3"/>
    <mergeCell ref="A4:D4"/>
    <mergeCell ref="A5:P5"/>
  </mergeCells>
  <conditionalFormatting sqref="F10">
    <cfRule type="notContainsBlanks" dxfId="104" priority="4">
      <formula>LEN(TRIM(F10))&gt;0</formula>
    </cfRule>
  </conditionalFormatting>
  <conditionalFormatting sqref="F11:S11">
    <cfRule type="expression" dxfId="103" priority="2">
      <formula>E11="NO SE REPORTA"</formula>
    </cfRule>
    <cfRule type="expression" dxfId="102" priority="3">
      <formula>E10="NO APLICA"</formula>
    </cfRule>
  </conditionalFormatting>
  <conditionalFormatting sqref="E12:R12">
    <cfRule type="expression" dxfId="10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 ref="E51" r:id="rId2"/>
  </hyperlinks>
  <pageMargins left="0.25" right="0.25" top="0.75" bottom="0.75" header="0.3" footer="0.3"/>
  <pageSetup paperSize="178" orientation="landscape" horizontalDpi="1200" verticalDpi="1200"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topLeftCell="A7" zoomScale="98" zoomScaleNormal="98" workbookViewId="0">
      <selection activeCell="M34" sqref="M34"/>
    </sheetView>
  </sheetViews>
  <sheetFormatPr baseColWidth="10" defaultRowHeight="15"/>
  <cols>
    <col min="1" max="1" width="1.85546875" customWidth="1"/>
    <col min="2" max="2" width="12.85546875" customWidth="1"/>
    <col min="3" max="3" width="5" style="86" bestFit="1" customWidth="1"/>
    <col min="4" max="4" width="34.85546875" customWidth="1"/>
    <col min="5" max="5" width="16.5703125" customWidth="1"/>
    <col min="7" max="8" width="14.42578125" bestFit="1" customWidth="1"/>
    <col min="9" max="9" width="14.5703125" customWidth="1"/>
    <col min="10" max="10" width="14.42578125" bestFit="1" customWidth="1"/>
    <col min="11" max="11" width="12.57031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322</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44"/>
      <c r="D7" s="240"/>
      <c r="E7" s="245"/>
      <c r="F7" s="240" t="s">
        <v>134</v>
      </c>
      <c r="G7" s="240"/>
      <c r="H7" s="240"/>
      <c r="I7" s="240"/>
      <c r="J7" s="240"/>
      <c r="K7" s="240"/>
    </row>
    <row r="8" spans="1:21" ht="15.75" thickBot="1">
      <c r="A8" s="237"/>
      <c r="B8" s="253" t="s">
        <v>1203</v>
      </c>
      <c r="C8" s="254">
        <v>2018</v>
      </c>
      <c r="D8" s="249">
        <f>IF(E10="NO APLICA","NO APLICA",IF(E11="NO SE REPORTA","SIN INFORMACION",+H19))</f>
        <v>2.1</v>
      </c>
      <c r="E8" s="256"/>
      <c r="F8" s="240" t="s">
        <v>135</v>
      </c>
      <c r="G8" s="240"/>
      <c r="H8" s="240"/>
      <c r="I8" s="240"/>
      <c r="J8" s="240"/>
      <c r="K8" s="240"/>
    </row>
    <row r="9" spans="1:21">
      <c r="A9" s="237"/>
      <c r="B9" s="483" t="s">
        <v>1204</v>
      </c>
      <c r="C9" s="257"/>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t="s">
        <v>1679</v>
      </c>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Gestión'!E49:H49</f>
        <v>Proyecto No 3.1. Ecosistemas estratégicos continentales y marinos (6).</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A14" s="237"/>
      <c r="B14" s="483"/>
      <c r="C14" s="257"/>
      <c r="D14" s="240"/>
      <c r="E14" s="240"/>
      <c r="F14" s="240"/>
      <c r="G14" s="240"/>
      <c r="H14" s="240"/>
      <c r="I14" s="240"/>
      <c r="J14" s="240"/>
      <c r="K14" s="240"/>
    </row>
    <row r="15" spans="1:21" ht="15.6" customHeight="1" thickTop="1" thickBot="1">
      <c r="A15" s="237"/>
      <c r="B15" s="1693" t="s">
        <v>2</v>
      </c>
      <c r="C15" s="260"/>
      <c r="D15" s="1609" t="s">
        <v>344</v>
      </c>
      <c r="E15" s="1610"/>
      <c r="F15" s="1610"/>
      <c r="G15" s="1610"/>
      <c r="H15" s="1610"/>
      <c r="I15" s="1610"/>
      <c r="J15" s="1610"/>
      <c r="K15" s="1611"/>
    </row>
    <row r="16" spans="1:21" ht="15.75" thickBot="1">
      <c r="A16" s="195"/>
      <c r="B16" s="1637"/>
      <c r="C16" s="271" t="s">
        <v>24</v>
      </c>
      <c r="D16" s="265" t="s">
        <v>1211</v>
      </c>
      <c r="E16" s="265" t="s">
        <v>25</v>
      </c>
      <c r="F16" s="265" t="s">
        <v>26</v>
      </c>
      <c r="G16" s="265" t="s">
        <v>27</v>
      </c>
      <c r="H16" s="265" t="s">
        <v>28</v>
      </c>
      <c r="I16" s="221"/>
      <c r="J16" s="195"/>
      <c r="K16" s="266"/>
    </row>
    <row r="17" spans="1:11" ht="24.75" thickBot="1">
      <c r="A17" s="237"/>
      <c r="B17" s="1637"/>
      <c r="C17" s="274" t="s">
        <v>158</v>
      </c>
      <c r="D17" s="267" t="s">
        <v>345</v>
      </c>
      <c r="E17" s="1076">
        <v>0</v>
      </c>
      <c r="F17" s="1076">
        <v>50</v>
      </c>
      <c r="G17" s="1076">
        <v>50</v>
      </c>
      <c r="H17" s="1076">
        <v>50</v>
      </c>
      <c r="I17" s="1307">
        <f>SUM(E17:H17)</f>
        <v>150</v>
      </c>
      <c r="J17" s="195"/>
      <c r="K17" s="266"/>
    </row>
    <row r="18" spans="1:11" ht="24.75" thickBot="1">
      <c r="A18" s="237"/>
      <c r="B18" s="1637"/>
      <c r="C18" s="274" t="s">
        <v>160</v>
      </c>
      <c r="D18" s="267" t="s">
        <v>346</v>
      </c>
      <c r="E18" s="1076">
        <v>0</v>
      </c>
      <c r="F18" s="1076">
        <v>0</v>
      </c>
      <c r="G18" s="1076">
        <v>64</v>
      </c>
      <c r="H18" s="1076">
        <v>105</v>
      </c>
      <c r="I18" s="1307">
        <f>SUM(E18:H18)</f>
        <v>169</v>
      </c>
      <c r="J18" s="195"/>
      <c r="K18" s="266"/>
    </row>
    <row r="19" spans="1:11" ht="24.75" thickBot="1">
      <c r="A19" s="237"/>
      <c r="B19" s="1637"/>
      <c r="C19" s="274" t="s">
        <v>162</v>
      </c>
      <c r="D19" s="267" t="s">
        <v>347</v>
      </c>
      <c r="E19" s="192" t="str">
        <f>IFERROR(E18/E17,"N.A.")</f>
        <v>N.A.</v>
      </c>
      <c r="F19" s="192">
        <f>IFERROR(F18/F17,"N.A.")</f>
        <v>0</v>
      </c>
      <c r="G19" s="192">
        <f>IFERROR(G18/G17,"N.A.")</f>
        <v>1.28</v>
      </c>
      <c r="H19" s="192">
        <f>IFERROR(H18/H17,"N.A.")</f>
        <v>2.1</v>
      </c>
      <c r="I19" s="192">
        <f>IFERROR(I18/I17,"N.A.")</f>
        <v>1.1299999999999999</v>
      </c>
      <c r="J19" s="237"/>
      <c r="K19" s="266"/>
    </row>
    <row r="20" spans="1:11">
      <c r="A20" s="237"/>
      <c r="B20" s="329"/>
      <c r="C20" s="268"/>
      <c r="D20" s="1700" t="s">
        <v>1210</v>
      </c>
      <c r="E20" s="1701"/>
      <c r="F20" s="1701"/>
      <c r="G20" s="1701"/>
      <c r="H20" s="1701"/>
      <c r="I20" s="1701"/>
      <c r="J20" s="1701"/>
      <c r="K20" s="1702"/>
    </row>
    <row r="21" spans="1:11">
      <c r="A21" s="237"/>
      <c r="B21" s="329"/>
      <c r="C21" s="268"/>
      <c r="D21" s="1612" t="s">
        <v>254</v>
      </c>
      <c r="E21" s="1647"/>
      <c r="F21" s="1647"/>
      <c r="G21" s="1647"/>
      <c r="H21" s="1647"/>
      <c r="I21" s="1647"/>
      <c r="J21" s="1647"/>
      <c r="K21" s="1614"/>
    </row>
    <row r="22" spans="1:11">
      <c r="A22" s="237"/>
      <c r="B22" s="329"/>
      <c r="C22" s="268"/>
      <c r="D22" s="1612" t="s">
        <v>341</v>
      </c>
      <c r="E22" s="1647"/>
      <c r="F22" s="1647"/>
      <c r="G22" s="1647"/>
      <c r="H22" s="1647"/>
      <c r="I22" s="1647"/>
      <c r="J22" s="1647"/>
      <c r="K22" s="1614"/>
    </row>
    <row r="23" spans="1:11" ht="15.75" thickBot="1">
      <c r="A23" s="237"/>
      <c r="B23" s="329"/>
      <c r="C23" s="268"/>
      <c r="D23" s="1624" t="s">
        <v>348</v>
      </c>
      <c r="E23" s="1625"/>
      <c r="F23" s="1625"/>
      <c r="G23" s="1625"/>
      <c r="H23" s="1625"/>
      <c r="I23" s="1625"/>
      <c r="J23" s="1625"/>
      <c r="K23" s="1626"/>
    </row>
    <row r="24" spans="1:11" ht="36.75" thickBot="1">
      <c r="A24" s="237"/>
      <c r="B24" s="329"/>
      <c r="C24" s="271" t="s">
        <v>24</v>
      </c>
      <c r="D24" s="265" t="s">
        <v>278</v>
      </c>
      <c r="E24" s="923" t="s">
        <v>349</v>
      </c>
      <c r="F24" s="271" t="s">
        <v>350</v>
      </c>
      <c r="G24" s="923" t="s">
        <v>351</v>
      </c>
      <c r="H24" s="923" t="s">
        <v>352</v>
      </c>
      <c r="I24" s="923" t="s">
        <v>282</v>
      </c>
      <c r="J24" s="923" t="s">
        <v>283</v>
      </c>
      <c r="K24" s="923" t="s">
        <v>60</v>
      </c>
    </row>
    <row r="25" spans="1:11" s="195" customFormat="1" ht="41.25" customHeight="1" thickBot="1">
      <c r="B25" s="219"/>
      <c r="C25" s="224">
        <v>1</v>
      </c>
      <c r="D25" s="1321" t="s">
        <v>2091</v>
      </c>
      <c r="E25" s="831" t="s">
        <v>2092</v>
      </c>
      <c r="F25" s="1076">
        <f>35*3</f>
        <v>105</v>
      </c>
      <c r="G25" s="1323">
        <v>1104000000</v>
      </c>
      <c r="H25" s="1323">
        <v>1104000000</v>
      </c>
      <c r="I25" s="1323">
        <f>552000000+365932575</f>
        <v>917932575</v>
      </c>
      <c r="J25" s="1323">
        <f>552000000+365932575</f>
        <v>917932575</v>
      </c>
      <c r="K25" s="1272"/>
    </row>
    <row r="26" spans="1:11" s="195" customFormat="1" ht="15.75" thickBot="1">
      <c r="B26" s="219"/>
      <c r="C26" s="224">
        <v>2</v>
      </c>
      <c r="D26" s="1322"/>
      <c r="E26" s="831"/>
      <c r="F26" s="1076"/>
      <c r="G26" s="872"/>
      <c r="H26" s="872"/>
      <c r="I26" s="872"/>
      <c r="J26" s="872"/>
      <c r="K26" s="211"/>
    </row>
    <row r="27" spans="1:11" s="195" customFormat="1" ht="15.75" thickBot="1">
      <c r="B27" s="219"/>
      <c r="C27" s="224">
        <v>3</v>
      </c>
      <c r="D27" s="1052"/>
      <c r="E27" s="831"/>
      <c r="F27" s="211"/>
      <c r="G27" s="211"/>
      <c r="H27" s="211"/>
      <c r="I27" s="211"/>
      <c r="J27" s="211"/>
      <c r="K27" s="211"/>
    </row>
    <row r="28" spans="1:11" s="195" customFormat="1" ht="15.75" thickBot="1">
      <c r="B28" s="219"/>
      <c r="C28" s="224">
        <v>4</v>
      </c>
      <c r="D28" s="831"/>
      <c r="E28" s="30"/>
      <c r="F28" s="211"/>
      <c r="G28" s="211"/>
      <c r="H28" s="211"/>
      <c r="I28" s="211"/>
      <c r="J28" s="211"/>
      <c r="K28" s="211"/>
    </row>
    <row r="29" spans="1:11" s="195" customFormat="1" ht="15.75" thickBot="1">
      <c r="B29" s="219"/>
      <c r="C29" s="224">
        <v>5</v>
      </c>
      <c r="D29" s="831"/>
      <c r="E29" s="31"/>
      <c r="F29" s="211"/>
      <c r="G29" s="211"/>
      <c r="H29" s="211"/>
      <c r="I29" s="211"/>
      <c r="J29" s="211"/>
      <c r="K29" s="211"/>
    </row>
    <row r="30" spans="1:11" s="195" customFormat="1" ht="15.75" thickBot="1">
      <c r="B30" s="219"/>
      <c r="C30" s="224">
        <v>6</v>
      </c>
      <c r="D30" s="31"/>
      <c r="E30" s="31"/>
      <c r="F30" s="211"/>
      <c r="G30" s="211"/>
      <c r="H30" s="211"/>
      <c r="I30" s="211"/>
      <c r="J30" s="211"/>
      <c r="K30" s="211"/>
    </row>
    <row r="31" spans="1:11" s="195" customFormat="1" ht="15.75" thickBot="1">
      <c r="B31" s="219"/>
      <c r="C31" s="224">
        <v>7</v>
      </c>
      <c r="D31" s="31"/>
      <c r="E31" s="31"/>
      <c r="F31" s="211"/>
      <c r="G31" s="211"/>
      <c r="H31" s="211"/>
      <c r="I31" s="211"/>
      <c r="J31" s="211"/>
      <c r="K31" s="211"/>
    </row>
    <row r="32" spans="1:11" s="195" customFormat="1" ht="15.75" thickBot="1">
      <c r="B32" s="219"/>
      <c r="C32" s="224">
        <v>8</v>
      </c>
      <c r="D32" s="31"/>
      <c r="E32" s="31"/>
      <c r="F32" s="211"/>
      <c r="G32" s="211"/>
      <c r="H32" s="211"/>
      <c r="I32" s="211"/>
      <c r="J32" s="211"/>
      <c r="K32" s="211"/>
    </row>
    <row r="33" spans="1:11" s="195" customFormat="1" ht="15.75" thickBot="1">
      <c r="B33" s="219"/>
      <c r="C33" s="224">
        <v>9</v>
      </c>
      <c r="D33" s="31"/>
      <c r="E33" s="31"/>
      <c r="F33" s="211"/>
      <c r="G33" s="211"/>
      <c r="H33" s="211"/>
      <c r="I33" s="211"/>
      <c r="J33" s="211"/>
      <c r="K33" s="211"/>
    </row>
    <row r="34" spans="1:11" s="195" customFormat="1" ht="15.75" thickBot="1">
      <c r="B34" s="219"/>
      <c r="C34" s="224">
        <v>10</v>
      </c>
      <c r="D34" s="31"/>
      <c r="E34" s="31"/>
      <c r="F34" s="211"/>
      <c r="G34" s="211"/>
      <c r="H34" s="211"/>
      <c r="I34" s="211"/>
      <c r="J34" s="211"/>
      <c r="K34" s="211"/>
    </row>
    <row r="35" spans="1:11" s="195" customFormat="1" ht="15.75" thickBot="1">
      <c r="B35" s="219"/>
      <c r="C35" s="224">
        <v>11</v>
      </c>
      <c r="D35" s="31"/>
      <c r="E35" s="31"/>
      <c r="F35" s="211"/>
      <c r="G35" s="211"/>
      <c r="H35" s="211"/>
      <c r="I35" s="211"/>
      <c r="J35" s="211"/>
      <c r="K35" s="211"/>
    </row>
    <row r="36" spans="1:11" s="195" customFormat="1" ht="15.75" thickBot="1">
      <c r="B36" s="219"/>
      <c r="C36" s="224">
        <v>12</v>
      </c>
      <c r="D36" s="31"/>
      <c r="E36" s="31"/>
      <c r="F36" s="211"/>
      <c r="G36" s="211"/>
      <c r="H36" s="211"/>
      <c r="I36" s="211"/>
      <c r="J36" s="211"/>
      <c r="K36" s="211"/>
    </row>
    <row r="37" spans="1:11" ht="15.75" thickBot="1">
      <c r="A37" s="237"/>
      <c r="B37" s="277"/>
      <c r="C37" s="274"/>
      <c r="D37" s="267" t="s">
        <v>157</v>
      </c>
      <c r="E37" s="267"/>
      <c r="F37" s="342">
        <f>SUM(F25:F36)</f>
        <v>105</v>
      </c>
      <c r="G37" s="342">
        <f>SUM(G25:G36)</f>
        <v>1104000000</v>
      </c>
      <c r="H37" s="342">
        <f>SUM(H25:H36)</f>
        <v>1104000000</v>
      </c>
      <c r="I37" s="342">
        <f>SUM(I25:I36)</f>
        <v>917932575</v>
      </c>
      <c r="J37" s="342">
        <f>SUM(J25:J36)</f>
        <v>917932575</v>
      </c>
      <c r="K37" s="343"/>
    </row>
    <row r="38" spans="1:11" ht="24" customHeight="1" thickBot="1">
      <c r="A38" s="237"/>
      <c r="B38" s="344" t="s">
        <v>39</v>
      </c>
      <c r="C38" s="345"/>
      <c r="D38" s="1621" t="s">
        <v>353</v>
      </c>
      <c r="E38" s="1622"/>
      <c r="F38" s="1622"/>
      <c r="G38" s="1622"/>
      <c r="H38" s="1622"/>
      <c r="I38" s="1622"/>
      <c r="J38" s="1622"/>
      <c r="K38" s="1623"/>
    </row>
    <row r="39" spans="1:11" ht="24" customHeight="1" thickBot="1">
      <c r="A39" s="237"/>
      <c r="B39" s="344" t="s">
        <v>41</v>
      </c>
      <c r="C39" s="345"/>
      <c r="D39" s="1621" t="s">
        <v>354</v>
      </c>
      <c r="E39" s="1622"/>
      <c r="F39" s="1622"/>
      <c r="G39" s="1622"/>
      <c r="H39" s="1622"/>
      <c r="I39" s="1622"/>
      <c r="J39" s="1622"/>
      <c r="K39" s="1623"/>
    </row>
    <row r="40" spans="1:11" ht="15.75" thickBot="1">
      <c r="A40" s="237"/>
      <c r="B40" s="241"/>
      <c r="C40" s="242"/>
      <c r="D40" s="240"/>
      <c r="E40" s="240"/>
      <c r="F40" s="240"/>
      <c r="G40" s="240"/>
      <c r="H40" s="240"/>
      <c r="I40" s="240"/>
      <c r="J40" s="240"/>
      <c r="K40" s="240"/>
    </row>
    <row r="41" spans="1:11" ht="24" customHeight="1" thickBot="1">
      <c r="A41" s="237"/>
      <c r="B41" s="1627" t="s">
        <v>43</v>
      </c>
      <c r="C41" s="1628"/>
      <c r="D41" s="1628"/>
      <c r="E41" s="1629"/>
      <c r="F41" s="240"/>
      <c r="G41" s="240"/>
      <c r="H41" s="240"/>
      <c r="I41" s="240"/>
      <c r="J41" s="240"/>
      <c r="K41" s="240"/>
    </row>
    <row r="42" spans="1:11" ht="15.75" thickBot="1">
      <c r="A42" s="237"/>
      <c r="B42" s="1618">
        <v>1</v>
      </c>
      <c r="C42" s="264"/>
      <c r="D42" s="281" t="s">
        <v>44</v>
      </c>
      <c r="E42" s="31" t="s">
        <v>1616</v>
      </c>
      <c r="F42" s="240"/>
      <c r="G42" s="240"/>
      <c r="H42" s="240"/>
      <c r="I42" s="240"/>
      <c r="J42" s="240"/>
      <c r="K42" s="240"/>
    </row>
    <row r="43" spans="1:11" ht="15.75" thickBot="1">
      <c r="A43" s="237"/>
      <c r="B43" s="1619"/>
      <c r="C43" s="264"/>
      <c r="D43" s="267" t="s">
        <v>45</v>
      </c>
      <c r="E43" s="31" t="s">
        <v>1680</v>
      </c>
      <c r="F43" s="240"/>
      <c r="G43" s="240"/>
      <c r="H43" s="240"/>
      <c r="I43" s="240"/>
      <c r="J43" s="240"/>
      <c r="K43" s="240"/>
    </row>
    <row r="44" spans="1:11" ht="15.75" thickBot="1">
      <c r="A44" s="237"/>
      <c r="B44" s="1619"/>
      <c r="C44" s="264"/>
      <c r="D44" s="267" t="s">
        <v>46</v>
      </c>
      <c r="E44" s="31" t="s">
        <v>2032</v>
      </c>
      <c r="F44" s="240"/>
      <c r="G44" s="240"/>
      <c r="H44" s="240"/>
      <c r="I44" s="240"/>
      <c r="J44" s="240"/>
      <c r="K44" s="240"/>
    </row>
    <row r="45" spans="1:11" ht="15.75" thickBot="1">
      <c r="A45" s="237"/>
      <c r="B45" s="1619"/>
      <c r="C45" s="264"/>
      <c r="D45" s="267" t="s">
        <v>47</v>
      </c>
      <c r="E45" s="31" t="s">
        <v>1619</v>
      </c>
      <c r="F45" s="240"/>
      <c r="G45" s="240"/>
      <c r="H45" s="240"/>
      <c r="I45" s="240"/>
      <c r="J45" s="240"/>
      <c r="K45" s="240"/>
    </row>
    <row r="46" spans="1:11" ht="15.75" thickBot="1">
      <c r="A46" s="237"/>
      <c r="B46" s="1619"/>
      <c r="C46" s="264"/>
      <c r="D46" s="267" t="s">
        <v>48</v>
      </c>
      <c r="E46" s="31" t="s">
        <v>2013</v>
      </c>
      <c r="F46" s="240"/>
      <c r="G46" s="240"/>
      <c r="H46" s="240"/>
      <c r="I46" s="240"/>
      <c r="J46" s="240"/>
      <c r="K46" s="240"/>
    </row>
    <row r="47" spans="1:11" ht="15.75" thickBot="1">
      <c r="A47" s="237"/>
      <c r="B47" s="1619"/>
      <c r="C47" s="264"/>
      <c r="D47" s="267" t="s">
        <v>49</v>
      </c>
      <c r="E47" s="31" t="s">
        <v>1699</v>
      </c>
      <c r="F47" s="240"/>
      <c r="G47" s="240"/>
      <c r="H47" s="240"/>
      <c r="I47" s="240"/>
      <c r="J47" s="240"/>
      <c r="K47" s="240"/>
    </row>
    <row r="48" spans="1:11" ht="15.75" thickBot="1">
      <c r="A48" s="237"/>
      <c r="B48" s="1620"/>
      <c r="C48" s="274"/>
      <c r="D48" s="267" t="s">
        <v>50</v>
      </c>
      <c r="E48" s="31" t="s">
        <v>1682</v>
      </c>
      <c r="F48" s="240"/>
      <c r="G48" s="240"/>
      <c r="H48" s="240"/>
      <c r="I48" s="240"/>
      <c r="J48" s="240"/>
      <c r="K48" s="240"/>
    </row>
    <row r="49" spans="1:11" ht="15.75" thickBot="1">
      <c r="A49" s="237"/>
      <c r="B49" s="241"/>
      <c r="C49" s="242"/>
      <c r="D49" s="240"/>
      <c r="E49" s="240"/>
      <c r="F49" s="240"/>
      <c r="G49" s="240"/>
      <c r="H49" s="240"/>
      <c r="I49" s="240"/>
      <c r="J49" s="240"/>
      <c r="K49" s="240"/>
    </row>
    <row r="50" spans="1:11" ht="15.75" thickBot="1">
      <c r="A50" s="237"/>
      <c r="B50" s="1627" t="s">
        <v>51</v>
      </c>
      <c r="C50" s="1628"/>
      <c r="D50" s="1628"/>
      <c r="E50" s="1629"/>
      <c r="F50" s="240"/>
      <c r="G50" s="240"/>
      <c r="H50" s="240"/>
      <c r="I50" s="240"/>
      <c r="J50" s="240"/>
      <c r="K50" s="240"/>
    </row>
    <row r="51" spans="1:11" ht="15.75" thickBot="1">
      <c r="A51" s="237"/>
      <c r="B51" s="1618">
        <v>1</v>
      </c>
      <c r="C51" s="264"/>
      <c r="D51" s="281" t="s">
        <v>44</v>
      </c>
      <c r="E51" s="432" t="s">
        <v>52</v>
      </c>
      <c r="F51" s="240"/>
      <c r="G51" s="240"/>
      <c r="H51" s="240"/>
      <c r="I51" s="240"/>
      <c r="J51" s="240"/>
      <c r="K51" s="240"/>
    </row>
    <row r="52" spans="1:11" ht="15.75" thickBot="1">
      <c r="A52" s="237"/>
      <c r="B52" s="1619"/>
      <c r="C52" s="264"/>
      <c r="D52" s="267" t="s">
        <v>45</v>
      </c>
      <c r="E52" s="432" t="s">
        <v>166</v>
      </c>
      <c r="F52" s="240"/>
      <c r="G52" s="240"/>
      <c r="H52" s="240"/>
      <c r="I52" s="240"/>
      <c r="J52" s="240"/>
      <c r="K52" s="240"/>
    </row>
    <row r="53" spans="1:11" ht="15.75" thickBot="1">
      <c r="A53" s="237"/>
      <c r="B53" s="1619"/>
      <c r="C53" s="264"/>
      <c r="D53" s="267" t="s">
        <v>46</v>
      </c>
      <c r="E53" s="307"/>
      <c r="F53" s="240"/>
      <c r="G53" s="240"/>
      <c r="H53" s="240"/>
      <c r="I53" s="240"/>
      <c r="J53" s="240"/>
      <c r="K53" s="240"/>
    </row>
    <row r="54" spans="1:11" ht="15.75" thickBot="1">
      <c r="A54" s="237"/>
      <c r="B54" s="1619"/>
      <c r="C54" s="264"/>
      <c r="D54" s="267" t="s">
        <v>47</v>
      </c>
      <c r="E54" s="307"/>
      <c r="F54" s="240"/>
      <c r="G54" s="240"/>
      <c r="H54" s="240"/>
      <c r="I54" s="240"/>
      <c r="J54" s="240"/>
      <c r="K54" s="240"/>
    </row>
    <row r="55" spans="1:11" ht="15.75" thickBot="1">
      <c r="A55" s="237"/>
      <c r="B55" s="1619"/>
      <c r="C55" s="264"/>
      <c r="D55" s="267" t="s">
        <v>48</v>
      </c>
      <c r="E55" s="307"/>
      <c r="F55" s="240"/>
      <c r="G55" s="240"/>
      <c r="H55" s="240"/>
      <c r="I55" s="240"/>
      <c r="J55" s="240"/>
      <c r="K55" s="240"/>
    </row>
    <row r="56" spans="1:11" ht="15.75" thickBot="1">
      <c r="A56" s="237"/>
      <c r="B56" s="1619"/>
      <c r="C56" s="264"/>
      <c r="D56" s="267" t="s">
        <v>49</v>
      </c>
      <c r="E56" s="307"/>
      <c r="F56" s="240"/>
      <c r="G56" s="240"/>
      <c r="H56" s="240"/>
      <c r="I56" s="240"/>
      <c r="J56" s="240"/>
      <c r="K56" s="240"/>
    </row>
    <row r="57" spans="1:11" ht="15.75" thickBot="1">
      <c r="A57" s="237"/>
      <c r="B57" s="1620"/>
      <c r="C57" s="274"/>
      <c r="D57" s="267" t="s">
        <v>50</v>
      </c>
      <c r="E57" s="307"/>
      <c r="F57" s="240"/>
      <c r="G57" s="240"/>
      <c r="H57" s="240"/>
      <c r="I57" s="240"/>
      <c r="J57" s="240"/>
      <c r="K57" s="240"/>
    </row>
    <row r="58" spans="1:11" ht="15.75" thickBot="1">
      <c r="A58" s="237"/>
      <c r="B58" s="241"/>
      <c r="C58" s="242"/>
      <c r="D58" s="240"/>
      <c r="E58" s="240"/>
      <c r="F58" s="240"/>
      <c r="G58" s="240"/>
      <c r="H58" s="240"/>
      <c r="I58" s="240"/>
      <c r="J58" s="240"/>
      <c r="K58" s="240"/>
    </row>
    <row r="59" spans="1:11" ht="15" customHeight="1" thickBot="1">
      <c r="A59" s="237"/>
      <c r="B59" s="283" t="s">
        <v>54</v>
      </c>
      <c r="C59" s="284"/>
      <c r="D59" s="284"/>
      <c r="E59" s="285"/>
      <c r="F59" s="237"/>
      <c r="G59" s="240"/>
      <c r="H59" s="240"/>
      <c r="I59" s="240"/>
      <c r="J59" s="240"/>
      <c r="K59" s="240"/>
    </row>
    <row r="60" spans="1:11" ht="24.75" thickBot="1">
      <c r="A60" s="237"/>
      <c r="B60" s="277" t="s">
        <v>55</v>
      </c>
      <c r="C60" s="267" t="s">
        <v>56</v>
      </c>
      <c r="D60" s="267" t="s">
        <v>57</v>
      </c>
      <c r="E60" s="267" t="s">
        <v>58</v>
      </c>
      <c r="F60" s="240"/>
      <c r="G60" s="240"/>
      <c r="H60" s="240"/>
      <c r="I60" s="240"/>
      <c r="J60" s="240"/>
      <c r="K60" s="237"/>
    </row>
    <row r="61" spans="1:11" ht="72.75" thickBot="1">
      <c r="A61" s="237"/>
      <c r="B61" s="287">
        <v>42401</v>
      </c>
      <c r="C61" s="267">
        <v>0.01</v>
      </c>
      <c r="D61" s="288" t="s">
        <v>355</v>
      </c>
      <c r="E61" s="267"/>
      <c r="F61" s="240"/>
      <c r="G61" s="240"/>
      <c r="H61" s="240"/>
      <c r="I61" s="240"/>
      <c r="J61" s="240"/>
      <c r="K61" s="237"/>
    </row>
    <row r="62" spans="1:11" ht="15.75" thickBot="1">
      <c r="A62" s="237"/>
      <c r="B62" s="300"/>
      <c r="C62" s="301"/>
      <c r="D62" s="240"/>
      <c r="E62" s="240"/>
      <c r="F62" s="240"/>
      <c r="G62" s="240"/>
      <c r="H62" s="240"/>
      <c r="I62" s="240"/>
      <c r="J62" s="240"/>
      <c r="K62" s="240"/>
    </row>
    <row r="63" spans="1:11" ht="15.75" thickBot="1">
      <c r="A63" s="237"/>
      <c r="B63" s="327" t="s">
        <v>60</v>
      </c>
      <c r="C63" s="290"/>
      <c r="D63" s="240"/>
      <c r="E63" s="240"/>
      <c r="F63" s="240"/>
      <c r="G63" s="240"/>
      <c r="H63" s="240"/>
      <c r="I63" s="240"/>
      <c r="J63" s="240"/>
      <c r="K63" s="240"/>
    </row>
    <row r="64" spans="1:11">
      <c r="A64" s="237"/>
      <c r="B64" s="1657"/>
      <c r="C64" s="1658"/>
      <c r="D64" s="1658"/>
      <c r="E64" s="1658"/>
      <c r="F64" s="240"/>
      <c r="G64" s="240"/>
      <c r="H64" s="240"/>
      <c r="I64" s="240"/>
      <c r="J64" s="240"/>
      <c r="K64" s="240"/>
    </row>
    <row r="65" spans="1:11">
      <c r="A65" s="237"/>
      <c r="B65" s="1657"/>
      <c r="C65" s="1658"/>
      <c r="D65" s="1658"/>
      <c r="E65" s="1658"/>
      <c r="F65" s="240"/>
      <c r="G65" s="240"/>
      <c r="H65" s="240"/>
      <c r="I65" s="240"/>
      <c r="J65" s="240"/>
      <c r="K65" s="240"/>
    </row>
    <row r="66" spans="1:11" ht="15.75" thickBot="1">
      <c r="A66" s="237"/>
      <c r="B66" s="240"/>
      <c r="C66" s="257"/>
      <c r="D66" s="240"/>
      <c r="E66" s="240"/>
      <c r="F66" s="240"/>
      <c r="G66" s="240"/>
      <c r="H66" s="240"/>
      <c r="I66" s="240"/>
      <c r="J66" s="240"/>
      <c r="K66" s="240"/>
    </row>
    <row r="67" spans="1:11" ht="24.75" thickBot="1">
      <c r="A67" s="237"/>
      <c r="B67" s="302" t="s">
        <v>61</v>
      </c>
      <c r="C67" s="303"/>
      <c r="D67" s="240"/>
      <c r="E67" s="240"/>
      <c r="F67" s="240"/>
      <c r="G67" s="240"/>
      <c r="H67" s="240"/>
      <c r="I67" s="240"/>
      <c r="J67" s="240"/>
      <c r="K67" s="240"/>
    </row>
    <row r="68" spans="1:11" ht="15.75" thickBot="1">
      <c r="A68" s="237"/>
      <c r="B68" s="310"/>
      <c r="C68" s="296"/>
      <c r="D68" s="240"/>
      <c r="E68" s="240"/>
      <c r="F68" s="240"/>
      <c r="G68" s="240"/>
      <c r="H68" s="240"/>
      <c r="I68" s="240"/>
      <c r="J68" s="240"/>
      <c r="K68" s="240"/>
    </row>
    <row r="69" spans="1:11" ht="60.75" thickBot="1">
      <c r="A69" s="237"/>
      <c r="B69" s="291" t="s">
        <v>62</v>
      </c>
      <c r="C69" s="271"/>
      <c r="D69" s="265" t="s">
        <v>323</v>
      </c>
      <c r="E69" s="240"/>
      <c r="F69" s="240"/>
      <c r="G69" s="240"/>
      <c r="H69" s="240"/>
      <c r="I69" s="240"/>
      <c r="J69" s="240"/>
      <c r="K69" s="240"/>
    </row>
    <row r="70" spans="1:11">
      <c r="A70" s="237"/>
      <c r="B70" s="1618" t="s">
        <v>64</v>
      </c>
      <c r="C70" s="264"/>
      <c r="D70" s="304" t="s">
        <v>65</v>
      </c>
      <c r="E70" s="240"/>
      <c r="F70" s="240"/>
      <c r="G70" s="240"/>
      <c r="H70" s="240"/>
      <c r="I70" s="240"/>
      <c r="J70" s="240"/>
      <c r="K70" s="240"/>
    </row>
    <row r="71" spans="1:11" ht="72">
      <c r="A71" s="237"/>
      <c r="B71" s="1619"/>
      <c r="C71" s="264"/>
      <c r="D71" s="305" t="s">
        <v>324</v>
      </c>
      <c r="E71" s="240"/>
      <c r="F71" s="240"/>
      <c r="G71" s="240"/>
      <c r="H71" s="240"/>
      <c r="I71" s="240"/>
      <c r="J71" s="240"/>
      <c r="K71" s="240"/>
    </row>
    <row r="72" spans="1:11">
      <c r="A72" s="237"/>
      <c r="B72" s="1619"/>
      <c r="C72" s="264"/>
      <c r="D72" s="304" t="s">
        <v>325</v>
      </c>
      <c r="E72" s="240"/>
      <c r="F72" s="240"/>
      <c r="G72" s="240"/>
      <c r="H72" s="240"/>
      <c r="I72" s="240"/>
      <c r="J72" s="240"/>
      <c r="K72" s="240"/>
    </row>
    <row r="73" spans="1:11">
      <c r="A73" s="237"/>
      <c r="B73" s="1619"/>
      <c r="C73" s="264"/>
      <c r="D73" s="305" t="s">
        <v>326</v>
      </c>
      <c r="E73" s="240"/>
      <c r="F73" s="240"/>
      <c r="G73" s="240"/>
      <c r="H73" s="240"/>
      <c r="I73" s="240"/>
      <c r="J73" s="240"/>
      <c r="K73" s="240"/>
    </row>
    <row r="74" spans="1:11" ht="60">
      <c r="A74" s="237"/>
      <c r="B74" s="1619"/>
      <c r="C74" s="264"/>
      <c r="D74" s="305" t="s">
        <v>327</v>
      </c>
      <c r="E74" s="240"/>
      <c r="F74" s="240"/>
      <c r="G74" s="240"/>
      <c r="H74" s="240"/>
      <c r="I74" s="240"/>
      <c r="J74" s="240"/>
      <c r="K74" s="240"/>
    </row>
    <row r="75" spans="1:11" ht="252">
      <c r="A75" s="237"/>
      <c r="B75" s="1619"/>
      <c r="C75" s="264"/>
      <c r="D75" s="305" t="s">
        <v>328</v>
      </c>
      <c r="E75" s="240"/>
      <c r="F75" s="240"/>
      <c r="G75" s="240"/>
      <c r="H75" s="240"/>
      <c r="I75" s="240"/>
      <c r="J75" s="240"/>
      <c r="K75" s="240"/>
    </row>
    <row r="76" spans="1:11">
      <c r="A76" s="237"/>
      <c r="B76" s="1619"/>
      <c r="C76" s="264"/>
      <c r="D76" s="304" t="s">
        <v>296</v>
      </c>
      <c r="E76" s="240"/>
      <c r="F76" s="240"/>
      <c r="G76" s="240"/>
      <c r="H76" s="240"/>
      <c r="I76" s="240"/>
      <c r="J76" s="240"/>
      <c r="K76" s="240"/>
    </row>
    <row r="77" spans="1:11" ht="15.75" thickBot="1">
      <c r="A77" s="237"/>
      <c r="B77" s="1620"/>
      <c r="C77" s="274"/>
      <c r="D77" s="267" t="s">
        <v>329</v>
      </c>
      <c r="E77" s="240"/>
      <c r="F77" s="240"/>
      <c r="G77" s="240"/>
      <c r="H77" s="240"/>
      <c r="I77" s="240"/>
      <c r="J77" s="240"/>
      <c r="K77" s="240"/>
    </row>
    <row r="78" spans="1:11">
      <c r="A78" s="237"/>
      <c r="B78" s="1618" t="s">
        <v>77</v>
      </c>
      <c r="C78" s="340"/>
      <c r="D78" s="1618"/>
      <c r="E78" s="240"/>
      <c r="F78" s="240"/>
      <c r="G78" s="240"/>
      <c r="H78" s="240"/>
      <c r="I78" s="240"/>
      <c r="J78" s="240"/>
      <c r="K78" s="240"/>
    </row>
    <row r="79" spans="1:11" ht="15.75" thickBot="1">
      <c r="A79" s="237"/>
      <c r="B79" s="1620"/>
      <c r="C79" s="346"/>
      <c r="D79" s="1620"/>
      <c r="E79" s="240"/>
      <c r="F79" s="240"/>
      <c r="G79" s="240"/>
      <c r="H79" s="240"/>
      <c r="I79" s="240"/>
      <c r="J79" s="240"/>
      <c r="K79" s="240"/>
    </row>
    <row r="80" spans="1:11" ht="180">
      <c r="A80" s="237"/>
      <c r="B80" s="1618" t="s">
        <v>78</v>
      </c>
      <c r="C80" s="264"/>
      <c r="D80" s="305" t="s">
        <v>330</v>
      </c>
      <c r="E80" s="240"/>
      <c r="F80" s="240"/>
      <c r="G80" s="240"/>
      <c r="H80" s="240"/>
      <c r="I80" s="240"/>
      <c r="J80" s="240"/>
      <c r="K80" s="240"/>
    </row>
    <row r="81" spans="1:11" ht="120">
      <c r="A81" s="237"/>
      <c r="B81" s="1619"/>
      <c r="C81" s="264"/>
      <c r="D81" s="305" t="s">
        <v>331</v>
      </c>
      <c r="E81" s="240"/>
      <c r="F81" s="240"/>
      <c r="G81" s="240"/>
      <c r="H81" s="240"/>
      <c r="I81" s="240"/>
      <c r="J81" s="240"/>
      <c r="K81" s="240"/>
    </row>
    <row r="82" spans="1:11" ht="120">
      <c r="A82" s="237"/>
      <c r="B82" s="1619"/>
      <c r="C82" s="264"/>
      <c r="D82" s="305" t="s">
        <v>332</v>
      </c>
      <c r="E82" s="240"/>
      <c r="F82" s="240"/>
      <c r="G82" s="240"/>
      <c r="H82" s="240"/>
      <c r="I82" s="240"/>
      <c r="J82" s="240"/>
      <c r="K82" s="240"/>
    </row>
    <row r="83" spans="1:11" ht="84">
      <c r="A83" s="237"/>
      <c r="B83" s="1619"/>
      <c r="C83" s="264"/>
      <c r="D83" s="305" t="s">
        <v>333</v>
      </c>
      <c r="E83" s="240"/>
      <c r="F83" s="240"/>
      <c r="G83" s="240"/>
      <c r="H83" s="240"/>
      <c r="I83" s="240"/>
      <c r="J83" s="240"/>
      <c r="K83" s="240"/>
    </row>
    <row r="84" spans="1:11" ht="72">
      <c r="A84" s="237"/>
      <c r="B84" s="1619"/>
      <c r="C84" s="264"/>
      <c r="D84" s="305" t="s">
        <v>334</v>
      </c>
      <c r="E84" s="240"/>
      <c r="F84" s="240"/>
      <c r="G84" s="240"/>
      <c r="H84" s="240"/>
      <c r="I84" s="240"/>
      <c r="J84" s="240"/>
      <c r="K84" s="240"/>
    </row>
    <row r="85" spans="1:11" ht="192">
      <c r="A85" s="237"/>
      <c r="B85" s="1619"/>
      <c r="C85" s="264"/>
      <c r="D85" s="305" t="s">
        <v>335</v>
      </c>
      <c r="E85" s="240"/>
      <c r="F85" s="240"/>
      <c r="G85" s="240"/>
      <c r="H85" s="240"/>
      <c r="I85" s="240"/>
      <c r="J85" s="240"/>
      <c r="K85" s="240"/>
    </row>
    <row r="86" spans="1:11" ht="108.75" thickBot="1">
      <c r="A86" s="237"/>
      <c r="B86" s="1620"/>
      <c r="C86" s="274"/>
      <c r="D86" s="267" t="s">
        <v>336</v>
      </c>
      <c r="E86" s="240"/>
      <c r="F86" s="240"/>
      <c r="G86" s="240"/>
      <c r="H86" s="240"/>
      <c r="I86" s="240"/>
      <c r="J86" s="240"/>
      <c r="K86" s="240"/>
    </row>
    <row r="87" spans="1:11" ht="24">
      <c r="A87" s="237"/>
      <c r="B87" s="1618" t="s">
        <v>95</v>
      </c>
      <c r="C87" s="264"/>
      <c r="D87" s="304" t="s">
        <v>337</v>
      </c>
      <c r="E87" s="240"/>
      <c r="F87" s="240"/>
      <c r="G87" s="240"/>
      <c r="H87" s="240"/>
      <c r="I87" s="240"/>
      <c r="J87" s="240"/>
      <c r="K87" s="240"/>
    </row>
    <row r="88" spans="1:11">
      <c r="A88" s="237"/>
      <c r="B88" s="1619"/>
      <c r="C88" s="264"/>
      <c r="D88" s="306"/>
      <c r="E88" s="240"/>
      <c r="F88" s="240"/>
      <c r="G88" s="240"/>
      <c r="H88" s="240"/>
      <c r="I88" s="240"/>
      <c r="J88" s="240"/>
      <c r="K88" s="240"/>
    </row>
    <row r="89" spans="1:11">
      <c r="A89" s="237"/>
      <c r="B89" s="1619"/>
      <c r="C89" s="264"/>
      <c r="D89" s="305" t="s">
        <v>96</v>
      </c>
      <c r="E89" s="240"/>
      <c r="F89" s="240"/>
      <c r="G89" s="240"/>
      <c r="H89" s="240"/>
      <c r="I89" s="240"/>
      <c r="J89" s="240"/>
      <c r="K89" s="240"/>
    </row>
    <row r="90" spans="1:11" ht="37.5">
      <c r="A90" s="237"/>
      <c r="B90" s="1619"/>
      <c r="C90" s="264"/>
      <c r="D90" s="305" t="s">
        <v>338</v>
      </c>
      <c r="E90" s="240"/>
      <c r="F90" s="240"/>
      <c r="G90" s="240"/>
      <c r="H90" s="240"/>
      <c r="I90" s="240"/>
      <c r="J90" s="240"/>
      <c r="K90" s="240"/>
    </row>
    <row r="91" spans="1:11" ht="37.5">
      <c r="A91" s="237"/>
      <c r="B91" s="1619"/>
      <c r="C91" s="264"/>
      <c r="D91" s="305" t="s">
        <v>339</v>
      </c>
      <c r="E91" s="240"/>
      <c r="F91" s="240"/>
      <c r="G91" s="240"/>
      <c r="H91" s="240"/>
      <c r="I91" s="240"/>
      <c r="J91" s="240"/>
      <c r="K91" s="240"/>
    </row>
    <row r="92" spans="1:11" ht="37.5">
      <c r="A92" s="237"/>
      <c r="B92" s="1619"/>
      <c r="C92" s="264"/>
      <c r="D92" s="305" t="s">
        <v>340</v>
      </c>
      <c r="E92" s="240"/>
      <c r="F92" s="240"/>
      <c r="G92" s="240"/>
      <c r="H92" s="240"/>
      <c r="I92" s="240"/>
      <c r="J92" s="240"/>
      <c r="K92" s="240"/>
    </row>
    <row r="93" spans="1:11" ht="84">
      <c r="A93" s="237"/>
      <c r="B93" s="1619"/>
      <c r="C93" s="264"/>
      <c r="D93" s="347" t="s">
        <v>243</v>
      </c>
      <c r="E93" s="240"/>
      <c r="F93" s="240"/>
      <c r="G93" s="240"/>
      <c r="H93" s="240"/>
      <c r="I93" s="240"/>
      <c r="J93" s="240"/>
      <c r="K93" s="240"/>
    </row>
    <row r="94" spans="1:11">
      <c r="A94" s="237"/>
      <c r="B94" s="1619"/>
      <c r="C94" s="264"/>
      <c r="D94" s="304" t="s">
        <v>254</v>
      </c>
      <c r="E94" s="240"/>
      <c r="F94" s="240"/>
      <c r="G94" s="240"/>
      <c r="H94" s="240"/>
      <c r="I94" s="240"/>
      <c r="J94" s="240"/>
      <c r="K94" s="240"/>
    </row>
    <row r="95" spans="1:11" ht="36">
      <c r="A95" s="237"/>
      <c r="B95" s="1619"/>
      <c r="C95" s="264"/>
      <c r="D95" s="304" t="s">
        <v>341</v>
      </c>
      <c r="E95" s="240"/>
      <c r="F95" s="240"/>
      <c r="G95" s="240"/>
      <c r="H95" s="240"/>
      <c r="I95" s="240"/>
      <c r="J95" s="240"/>
      <c r="K95" s="240"/>
    </row>
    <row r="96" spans="1:11">
      <c r="A96" s="237"/>
      <c r="B96" s="1619"/>
      <c r="C96" s="264"/>
      <c r="D96" s="306"/>
      <c r="E96" s="240"/>
      <c r="F96" s="240"/>
      <c r="G96" s="240"/>
      <c r="H96" s="240"/>
      <c r="I96" s="240"/>
      <c r="J96" s="240"/>
      <c r="K96" s="240"/>
    </row>
    <row r="97" spans="1:11">
      <c r="A97" s="237"/>
      <c r="B97" s="1619"/>
      <c r="C97" s="264"/>
      <c r="D97" s="305" t="s">
        <v>96</v>
      </c>
      <c r="E97" s="240"/>
      <c r="F97" s="240"/>
      <c r="G97" s="240"/>
      <c r="H97" s="240"/>
      <c r="I97" s="240"/>
      <c r="J97" s="240"/>
      <c r="K97" s="240"/>
    </row>
    <row r="98" spans="1:11" ht="37.5">
      <c r="A98" s="237"/>
      <c r="B98" s="1619"/>
      <c r="C98" s="264"/>
      <c r="D98" s="305" t="s">
        <v>342</v>
      </c>
      <c r="E98" s="240"/>
      <c r="F98" s="240"/>
      <c r="G98" s="240"/>
      <c r="H98" s="240"/>
      <c r="I98" s="240"/>
      <c r="J98" s="240"/>
      <c r="K98" s="240"/>
    </row>
    <row r="99" spans="1:11" ht="62.25" thickBot="1">
      <c r="A99" s="237"/>
      <c r="B99" s="1620"/>
      <c r="C99" s="274"/>
      <c r="D99" s="267" t="s">
        <v>343</v>
      </c>
      <c r="E99" s="240"/>
      <c r="F99" s="240"/>
      <c r="G99" s="240"/>
      <c r="H99" s="240"/>
      <c r="I99" s="240"/>
      <c r="J99" s="240"/>
      <c r="K99" s="240"/>
    </row>
  </sheetData>
  <sheetProtection sheet="1" objects="1" scenarios="1"/>
  <mergeCells count="28">
    <mergeCell ref="B10:D10"/>
    <mergeCell ref="F10:S10"/>
    <mergeCell ref="F11:S11"/>
    <mergeCell ref="E12:R12"/>
    <mergeCell ref="E13:R13"/>
    <mergeCell ref="B70:B77"/>
    <mergeCell ref="B78:B79"/>
    <mergeCell ref="D78:D79"/>
    <mergeCell ref="B80:B86"/>
    <mergeCell ref="B87:B99"/>
    <mergeCell ref="B64:E65"/>
    <mergeCell ref="D15:K15"/>
    <mergeCell ref="D20:K20"/>
    <mergeCell ref="D21:K21"/>
    <mergeCell ref="D22:K22"/>
    <mergeCell ref="B15:B19"/>
    <mergeCell ref="B51:B57"/>
    <mergeCell ref="D23:K23"/>
    <mergeCell ref="D38:K38"/>
    <mergeCell ref="D39:K39"/>
    <mergeCell ref="B41:E41"/>
    <mergeCell ref="B42:B48"/>
    <mergeCell ref="B50:E50"/>
    <mergeCell ref="A1:P1"/>
    <mergeCell ref="A2:P2"/>
    <mergeCell ref="A3:P3"/>
    <mergeCell ref="A4:D4"/>
    <mergeCell ref="A5:P5"/>
  </mergeCells>
  <conditionalFormatting sqref="F10">
    <cfRule type="notContainsBlanks" dxfId="100" priority="4">
      <formula>LEN(TRIM(F10))&gt;0</formula>
    </cfRule>
  </conditionalFormatting>
  <conditionalFormatting sqref="F11:S11">
    <cfRule type="expression" dxfId="99" priority="2">
      <formula>E11="NO SE REPORTA"</formula>
    </cfRule>
    <cfRule type="expression" dxfId="98" priority="3">
      <formula>E10="NO APLICA"</formula>
    </cfRule>
  </conditionalFormatting>
  <conditionalFormatting sqref="E12:R12">
    <cfRule type="expression" dxfId="97"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I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topLeftCell="A70" zoomScale="98" zoomScaleNormal="98" workbookViewId="0">
      <selection activeCell="D9" sqref="D9"/>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356</v>
      </c>
      <c r="B5" s="1556"/>
      <c r="C5" s="1556"/>
      <c r="D5" s="1556"/>
      <c r="E5" s="1556"/>
      <c r="F5" s="1556"/>
      <c r="G5" s="1556"/>
      <c r="H5" s="1556"/>
      <c r="I5" s="1556"/>
      <c r="J5" s="1556"/>
      <c r="K5" s="1556"/>
      <c r="L5" s="1556"/>
      <c r="M5" s="1556"/>
      <c r="N5" s="1556"/>
      <c r="O5" s="1556"/>
      <c r="P5" s="1557"/>
    </row>
    <row r="6" spans="1:21">
      <c r="A6" s="237"/>
      <c r="B6" s="238"/>
      <c r="C6" s="239"/>
      <c r="D6" s="240"/>
      <c r="E6" s="240"/>
      <c r="F6" s="240"/>
      <c r="G6" s="240"/>
      <c r="H6" s="240"/>
      <c r="I6" s="240"/>
      <c r="J6" s="240"/>
      <c r="K6" s="240"/>
    </row>
    <row r="7" spans="1:21">
      <c r="A7" s="237"/>
      <c r="B7" s="241" t="s">
        <v>1</v>
      </c>
      <c r="C7" s="242"/>
      <c r="D7" s="240"/>
      <c r="E7" s="251"/>
      <c r="F7" s="240" t="s">
        <v>133</v>
      </c>
      <c r="G7" s="240"/>
      <c r="H7" s="240"/>
      <c r="I7" s="240"/>
      <c r="J7" s="240"/>
      <c r="K7" s="240"/>
    </row>
    <row r="8" spans="1:21" ht="15.75" thickBot="1">
      <c r="A8" s="237"/>
      <c r="B8" s="243"/>
      <c r="C8" s="244"/>
      <c r="D8" s="240"/>
      <c r="E8" s="245"/>
      <c r="F8" s="240" t="s">
        <v>134</v>
      </c>
      <c r="G8" s="240"/>
      <c r="H8" s="240"/>
      <c r="I8" s="240"/>
      <c r="J8" s="240"/>
      <c r="K8" s="240"/>
    </row>
    <row r="9" spans="1:21" ht="15.75" thickBot="1">
      <c r="A9" s="237"/>
      <c r="B9" s="253" t="s">
        <v>1203</v>
      </c>
      <c r="C9" s="254">
        <v>2018</v>
      </c>
      <c r="D9" s="249">
        <f>IF(E11="NO APLICA","NO APLICA",IF(E12="NO SE REPORTA","SIN INFORMACION",+H96))</f>
        <v>0</v>
      </c>
      <c r="E9" s="256"/>
      <c r="F9" s="240" t="s">
        <v>135</v>
      </c>
      <c r="G9" s="240"/>
      <c r="H9" s="240"/>
      <c r="I9" s="240"/>
      <c r="J9" s="240"/>
      <c r="K9" s="240"/>
    </row>
    <row r="10" spans="1:21">
      <c r="A10" s="237"/>
      <c r="B10" s="483" t="s">
        <v>1204</v>
      </c>
      <c r="C10" s="242"/>
      <c r="D10" s="240"/>
      <c r="E10" s="240"/>
      <c r="F10" s="240"/>
      <c r="G10" s="240"/>
      <c r="H10" s="240"/>
      <c r="I10" s="240"/>
      <c r="J10" s="240"/>
      <c r="K10" s="240"/>
    </row>
    <row r="11" spans="1:21" s="403" customFormat="1">
      <c r="A11" s="237"/>
      <c r="B11" s="1588" t="s">
        <v>1263</v>
      </c>
      <c r="C11" s="1588"/>
      <c r="D11" s="1588"/>
      <c r="E11" s="489" t="s">
        <v>1260</v>
      </c>
      <c r="F11" s="1595"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596"/>
      <c r="H11" s="1596"/>
      <c r="I11" s="1596"/>
      <c r="J11" s="1596"/>
      <c r="K11" s="1596"/>
      <c r="L11" s="1596"/>
      <c r="M11" s="1596"/>
      <c r="N11" s="1596"/>
      <c r="O11" s="1596"/>
      <c r="P11" s="1596"/>
      <c r="Q11" s="1596"/>
      <c r="R11" s="1596"/>
      <c r="S11" s="1596"/>
      <c r="T11" s="485"/>
      <c r="U11" s="485"/>
    </row>
    <row r="12" spans="1:21" s="403" customFormat="1" ht="14.45" customHeight="1">
      <c r="A12" s="237"/>
      <c r="B12" s="486"/>
      <c r="C12" s="487"/>
      <c r="D12" s="488" t="str">
        <f>IF(E11="SI APLICA","¿El indicador no se reporta por limitaciones de información disponible? ","")</f>
        <v xml:space="preserve">¿El indicador no se reporta por limitaciones de información disponible? </v>
      </c>
      <c r="E12" s="490" t="s">
        <v>1262</v>
      </c>
      <c r="F12" s="1589" t="s">
        <v>1813</v>
      </c>
      <c r="G12" s="1590"/>
      <c r="H12" s="1590"/>
      <c r="I12" s="1590"/>
      <c r="J12" s="1590"/>
      <c r="K12" s="1590"/>
      <c r="L12" s="1590"/>
      <c r="M12" s="1590"/>
      <c r="N12" s="1590"/>
      <c r="O12" s="1590"/>
      <c r="P12" s="1590"/>
      <c r="Q12" s="1590"/>
      <c r="R12" s="1590"/>
      <c r="S12" s="1590"/>
    </row>
    <row r="13" spans="1:21" s="403" customFormat="1" ht="23.45" customHeight="1">
      <c r="A13" s="237"/>
      <c r="B13" s="483"/>
      <c r="C13" s="296"/>
      <c r="D13" s="488" t="str">
        <f>IF(E12="SI SE REPORTA","¿Qué programas o proyectos del Plan de Acción están asociados al indicador? ","")</f>
        <v xml:space="preserve">¿Qué programas o proyectos del Plan de Acción están asociados al indicador? </v>
      </c>
      <c r="E13" s="1591" t="str">
        <f>'Anexo 1 Matriz Inf Gestión'!E49:H49</f>
        <v>Proyecto No 3.1. Ecosistemas estratégicos continentales y marinos (6).</v>
      </c>
      <c r="F13" s="1591"/>
      <c r="G13" s="1591"/>
      <c r="H13" s="1591"/>
      <c r="I13" s="1591"/>
      <c r="J13" s="1591"/>
      <c r="K13" s="1591"/>
      <c r="L13" s="1591"/>
      <c r="M13" s="1591"/>
      <c r="N13" s="1591"/>
      <c r="O13" s="1591"/>
      <c r="P13" s="1591"/>
      <c r="Q13" s="1591"/>
      <c r="R13" s="1591"/>
    </row>
    <row r="14" spans="1:21" s="403" customFormat="1" ht="21.95" customHeight="1">
      <c r="A14" s="237"/>
      <c r="B14" s="483"/>
      <c r="C14" s="296"/>
      <c r="D14" s="488" t="s">
        <v>1265</v>
      </c>
      <c r="E14" s="1592" t="s">
        <v>2006</v>
      </c>
      <c r="F14" s="1593"/>
      <c r="G14" s="1593"/>
      <c r="H14" s="1593"/>
      <c r="I14" s="1593"/>
      <c r="J14" s="1593"/>
      <c r="K14" s="1593"/>
      <c r="L14" s="1593"/>
      <c r="M14" s="1593"/>
      <c r="N14" s="1593"/>
      <c r="O14" s="1593"/>
      <c r="P14" s="1593"/>
      <c r="Q14" s="1593"/>
      <c r="R14" s="1594"/>
    </row>
    <row r="15" spans="1:21" s="403" customFormat="1" ht="6.95" customHeight="1" thickBot="1">
      <c r="A15" s="237"/>
      <c r="B15" s="483"/>
      <c r="C15" s="242"/>
      <c r="D15" s="240"/>
      <c r="E15" s="240"/>
      <c r="F15" s="240"/>
      <c r="G15" s="240"/>
      <c r="H15" s="240"/>
      <c r="I15" s="240"/>
      <c r="J15" s="240"/>
      <c r="K15" s="240"/>
    </row>
    <row r="16" spans="1:21" ht="15" customHeight="1" thickBot="1">
      <c r="A16" s="237"/>
      <c r="B16" s="1618" t="s">
        <v>2</v>
      </c>
      <c r="C16" s="260"/>
      <c r="D16" s="261" t="s">
        <v>344</v>
      </c>
      <c r="E16" s="262"/>
      <c r="F16" s="262"/>
      <c r="G16" s="262"/>
      <c r="H16" s="262"/>
      <c r="I16" s="262"/>
      <c r="J16" s="263"/>
      <c r="K16" s="240"/>
    </row>
    <row r="17" spans="1:11">
      <c r="A17" s="237"/>
      <c r="B17" s="1619"/>
      <c r="C17" s="1696" t="s">
        <v>24</v>
      </c>
      <c r="D17" s="1691" t="s">
        <v>156</v>
      </c>
      <c r="E17" s="1713" t="s">
        <v>372</v>
      </c>
      <c r="F17" s="1709" t="s">
        <v>1194</v>
      </c>
      <c r="G17" s="1713" t="s">
        <v>157</v>
      </c>
      <c r="H17" s="240"/>
      <c r="I17" s="237"/>
      <c r="J17" s="266"/>
      <c r="K17" s="240"/>
    </row>
    <row r="18" spans="1:11" ht="24.75" customHeight="1" thickBot="1">
      <c r="A18" s="237"/>
      <c r="B18" s="1619"/>
      <c r="C18" s="1697"/>
      <c r="D18" s="1692"/>
      <c r="E18" s="1714"/>
      <c r="F18" s="1710"/>
      <c r="G18" s="1714"/>
      <c r="H18" s="240"/>
      <c r="I18" s="237"/>
      <c r="J18" s="266"/>
      <c r="K18" s="240"/>
    </row>
    <row r="19" spans="1:11" ht="24.75" thickBot="1">
      <c r="A19" s="237"/>
      <c r="B19" s="1619"/>
      <c r="C19" s="336" t="s">
        <v>158</v>
      </c>
      <c r="D19" s="270" t="s">
        <v>2019</v>
      </c>
      <c r="E19" s="825">
        <v>8</v>
      </c>
      <c r="F19" s="825">
        <v>1</v>
      </c>
      <c r="G19" s="1068">
        <f t="shared" ref="G19:G24" si="0">+E19+F19</f>
        <v>9</v>
      </c>
      <c r="H19" s="240"/>
      <c r="I19" s="237"/>
      <c r="J19" s="266"/>
      <c r="K19" s="240"/>
    </row>
    <row r="20" spans="1:11" ht="24.75" thickBot="1">
      <c r="A20" s="237"/>
      <c r="B20" s="1619"/>
      <c r="C20" s="336" t="s">
        <v>160</v>
      </c>
      <c r="D20" s="270" t="s">
        <v>1791</v>
      </c>
      <c r="E20" s="1076">
        <v>94353</v>
      </c>
      <c r="F20" s="1076">
        <v>0</v>
      </c>
      <c r="G20" s="1068">
        <f t="shared" si="0"/>
        <v>94353</v>
      </c>
      <c r="H20" s="240"/>
      <c r="I20" s="237"/>
      <c r="J20" s="266"/>
      <c r="K20" s="240"/>
    </row>
    <row r="21" spans="1:11" ht="36.75" thickBot="1">
      <c r="A21" s="237"/>
      <c r="B21" s="1619"/>
      <c r="C21" s="336" t="s">
        <v>162</v>
      </c>
      <c r="D21" s="270" t="s">
        <v>373</v>
      </c>
      <c r="E21" s="1076">
        <f>9301+2974+14000</f>
        <v>26275</v>
      </c>
      <c r="F21" s="1076">
        <f>40000+67177</f>
        <v>107177</v>
      </c>
      <c r="G21" s="1068">
        <f t="shared" si="0"/>
        <v>133452</v>
      </c>
      <c r="H21" s="240"/>
      <c r="I21" s="237"/>
      <c r="J21" s="266"/>
      <c r="K21" s="240"/>
    </row>
    <row r="22" spans="1:11" ht="36.75" thickBot="1">
      <c r="A22" s="237"/>
      <c r="B22" s="1619"/>
      <c r="C22" s="336" t="s">
        <v>266</v>
      </c>
      <c r="D22" s="462" t="s">
        <v>1224</v>
      </c>
      <c r="E22" s="1076">
        <v>26275</v>
      </c>
      <c r="F22" s="1076">
        <v>107177</v>
      </c>
      <c r="G22" s="1068">
        <f t="shared" si="0"/>
        <v>133452</v>
      </c>
      <c r="H22" s="240"/>
      <c r="I22" s="1075"/>
      <c r="J22" s="266"/>
      <c r="K22" s="240"/>
    </row>
    <row r="23" spans="1:11" ht="48.75" thickBot="1">
      <c r="A23" s="237"/>
      <c r="B23" s="1619"/>
      <c r="C23" s="336" t="s">
        <v>268</v>
      </c>
      <c r="D23" s="270" t="s">
        <v>1217</v>
      </c>
      <c r="E23" s="825">
        <v>11</v>
      </c>
      <c r="F23" s="825">
        <v>2</v>
      </c>
      <c r="G23" s="1068">
        <f t="shared" si="0"/>
        <v>13</v>
      </c>
      <c r="H23" s="240"/>
      <c r="I23" s="237"/>
      <c r="J23" s="266"/>
      <c r="K23" s="240"/>
    </row>
    <row r="24" spans="1:11" ht="48.75" thickBot="1">
      <c r="A24" s="237"/>
      <c r="B24" s="1619"/>
      <c r="C24" s="336" t="s">
        <v>270</v>
      </c>
      <c r="D24" s="270" t="s">
        <v>1218</v>
      </c>
      <c r="E24" s="1068">
        <f>+E22</f>
        <v>26275</v>
      </c>
      <c r="F24" s="1068">
        <f>+F22</f>
        <v>107177</v>
      </c>
      <c r="G24" s="1068">
        <f t="shared" si="0"/>
        <v>133452</v>
      </c>
      <c r="H24" s="240"/>
      <c r="I24" s="237"/>
      <c r="J24" s="266"/>
      <c r="K24" s="240"/>
    </row>
    <row r="25" spans="1:11" ht="24" customHeight="1">
      <c r="A25" s="237"/>
      <c r="B25" s="1619"/>
      <c r="C25" s="268"/>
      <c r="D25" s="1711" t="s">
        <v>374</v>
      </c>
      <c r="E25" s="1712"/>
      <c r="F25" s="1712"/>
      <c r="G25" s="1712"/>
      <c r="H25" s="1712"/>
      <c r="I25" s="1712"/>
      <c r="J25" s="266"/>
      <c r="K25" s="237"/>
    </row>
    <row r="26" spans="1:11">
      <c r="A26" s="237"/>
      <c r="B26" s="1619"/>
      <c r="C26" s="268"/>
      <c r="D26" s="373" t="s">
        <v>375</v>
      </c>
      <c r="E26" s="300"/>
      <c r="F26" s="300"/>
      <c r="G26" s="300"/>
      <c r="H26" s="300"/>
      <c r="I26" s="300"/>
      <c r="J26" s="266"/>
      <c r="K26" s="237"/>
    </row>
    <row r="27" spans="1:11" ht="15.75" thickBot="1">
      <c r="A27" s="237"/>
      <c r="B27" s="1619"/>
      <c r="C27" s="268"/>
      <c r="D27" s="1600" t="s">
        <v>376</v>
      </c>
      <c r="E27" s="1643"/>
      <c r="F27" s="1643"/>
      <c r="G27" s="1643"/>
      <c r="H27" s="1643"/>
      <c r="I27" s="1643"/>
      <c r="J27" s="1602"/>
      <c r="K27" s="237"/>
    </row>
    <row r="28" spans="1:11" ht="15.75" thickBot="1">
      <c r="A28" s="237"/>
      <c r="B28" s="1619"/>
      <c r="C28" s="264"/>
      <c r="D28" s="272" t="s">
        <v>156</v>
      </c>
      <c r="E28" s="272" t="s">
        <v>25</v>
      </c>
      <c r="F28" s="272" t="s">
        <v>26</v>
      </c>
      <c r="G28" s="272" t="s">
        <v>27</v>
      </c>
      <c r="H28" s="272" t="s">
        <v>28</v>
      </c>
      <c r="I28" s="272" t="s">
        <v>157</v>
      </c>
      <c r="J28" s="266"/>
      <c r="K28" s="237"/>
    </row>
    <row r="29" spans="1:11" ht="15.75" thickBot="1">
      <c r="A29" s="237"/>
      <c r="B29" s="1619"/>
      <c r="C29" s="264"/>
      <c r="D29" s="286" t="s">
        <v>377</v>
      </c>
      <c r="E29" s="210">
        <v>1</v>
      </c>
      <c r="F29" s="210">
        <v>0</v>
      </c>
      <c r="G29" s="210">
        <v>1</v>
      </c>
      <c r="H29" s="210">
        <v>4</v>
      </c>
      <c r="I29" s="342">
        <f>SUM(E29:H29)</f>
        <v>6</v>
      </c>
      <c r="J29" s="266"/>
      <c r="K29" s="237"/>
    </row>
    <row r="30" spans="1:11" ht="15.75" thickBot="1">
      <c r="A30" s="237"/>
      <c r="B30" s="1619"/>
      <c r="C30" s="264"/>
      <c r="D30" s="286" t="s">
        <v>378</v>
      </c>
      <c r="E30" s="210">
        <v>0</v>
      </c>
      <c r="F30" s="210">
        <v>0</v>
      </c>
      <c r="G30" s="210"/>
      <c r="H30" s="210"/>
      <c r="I30" s="374"/>
      <c r="J30" s="266"/>
      <c r="K30" s="237"/>
    </row>
    <row r="31" spans="1:11" ht="15.75" thickBot="1">
      <c r="A31" s="237"/>
      <c r="B31" s="1619"/>
      <c r="C31" s="264"/>
      <c r="D31" s="286" t="s">
        <v>379</v>
      </c>
      <c r="E31" s="210">
        <v>0</v>
      </c>
      <c r="F31" s="210">
        <v>0</v>
      </c>
      <c r="G31" s="210"/>
      <c r="H31" s="210"/>
      <c r="I31" s="374"/>
      <c r="J31" s="266"/>
      <c r="K31" s="237"/>
    </row>
    <row r="32" spans="1:11" ht="15.75" thickBot="1">
      <c r="A32" s="237"/>
      <c r="B32" s="1619"/>
      <c r="C32" s="264"/>
      <c r="D32" s="286" t="s">
        <v>380</v>
      </c>
      <c r="E32" s="210">
        <v>0</v>
      </c>
      <c r="F32" s="210">
        <v>0</v>
      </c>
      <c r="G32" s="210">
        <v>0</v>
      </c>
      <c r="H32" s="210"/>
      <c r="I32" s="374"/>
      <c r="J32" s="266"/>
      <c r="K32" s="237"/>
    </row>
    <row r="33" spans="1:12" ht="15.75" thickBot="1">
      <c r="A33" s="237"/>
      <c r="B33" s="1619"/>
      <c r="C33" s="264"/>
      <c r="D33" s="286" t="s">
        <v>381</v>
      </c>
      <c r="E33" s="210">
        <v>0</v>
      </c>
      <c r="F33" s="210"/>
      <c r="G33" s="210"/>
      <c r="H33" s="210"/>
      <c r="I33" s="374"/>
      <c r="J33" s="266"/>
      <c r="K33" s="237"/>
    </row>
    <row r="34" spans="1:12" ht="15.75" thickBot="1">
      <c r="A34" s="237"/>
      <c r="B34" s="1619"/>
      <c r="C34" s="264"/>
      <c r="D34" s="286" t="s">
        <v>1220</v>
      </c>
      <c r="E34" s="370">
        <v>1</v>
      </c>
      <c r="F34" s="370"/>
      <c r="G34" s="370">
        <v>1</v>
      </c>
      <c r="H34" s="370"/>
      <c r="I34" s="374"/>
      <c r="J34" s="266"/>
      <c r="K34" s="237"/>
    </row>
    <row r="35" spans="1:12" ht="15.75" thickBot="1">
      <c r="A35" s="237"/>
      <c r="B35" s="1619"/>
      <c r="C35" s="264"/>
      <c r="D35" s="286" t="s">
        <v>157</v>
      </c>
      <c r="E35" s="342">
        <f>SUM(E30:E34)</f>
        <v>1</v>
      </c>
      <c r="F35" s="342">
        <f>SUM(F30:F34)</f>
        <v>0</v>
      </c>
      <c r="G35" s="342">
        <f>SUM(G30:G34)</f>
        <v>1</v>
      </c>
      <c r="H35" s="342">
        <f>SUM(H30:H34)</f>
        <v>0</v>
      </c>
      <c r="I35" s="374"/>
      <c r="J35" s="266"/>
      <c r="K35" s="237"/>
    </row>
    <row r="36" spans="1:12">
      <c r="A36" s="237"/>
      <c r="B36" s="1619"/>
      <c r="C36" s="268"/>
      <c r="D36" s="1600" t="s">
        <v>382</v>
      </c>
      <c r="E36" s="1643"/>
      <c r="F36" s="1643"/>
      <c r="G36" s="1643"/>
      <c r="H36" s="1643"/>
      <c r="I36" s="1643"/>
      <c r="J36" s="1602"/>
      <c r="K36" s="237"/>
    </row>
    <row r="37" spans="1:12">
      <c r="A37" s="237"/>
      <c r="B37" s="1619"/>
      <c r="C37" s="268"/>
      <c r="D37" s="1600" t="s">
        <v>383</v>
      </c>
      <c r="E37" s="1643"/>
      <c r="F37" s="1643"/>
      <c r="G37" s="1643"/>
      <c r="H37" s="1643"/>
      <c r="I37" s="1643"/>
      <c r="J37" s="1602"/>
      <c r="K37" s="237"/>
    </row>
    <row r="38" spans="1:12" ht="15.75" thickBot="1">
      <c r="A38" s="237"/>
      <c r="B38" s="1619"/>
      <c r="C38" s="268"/>
      <c r="D38" s="1612" t="s">
        <v>384</v>
      </c>
      <c r="E38" s="1647"/>
      <c r="F38" s="1647"/>
      <c r="G38" s="1647"/>
      <c r="H38" s="1647"/>
      <c r="I38" s="1647"/>
      <c r="J38" s="1614"/>
      <c r="K38" s="237"/>
    </row>
    <row r="39" spans="1:12" ht="15.75" thickBot="1">
      <c r="A39" s="237"/>
      <c r="B39" s="1619"/>
      <c r="C39" s="264"/>
      <c r="D39" s="272" t="s">
        <v>156</v>
      </c>
      <c r="E39" s="272" t="s">
        <v>25</v>
      </c>
      <c r="F39" s="272" t="s">
        <v>26</v>
      </c>
      <c r="G39" s="272" t="s">
        <v>27</v>
      </c>
      <c r="H39" s="272" t="s">
        <v>28</v>
      </c>
      <c r="I39" s="272" t="s">
        <v>157</v>
      </c>
      <c r="J39" s="266"/>
      <c r="K39" s="237"/>
    </row>
    <row r="40" spans="1:12" ht="15.75" thickBot="1">
      <c r="A40" s="237"/>
      <c r="B40" s="1619"/>
      <c r="C40" s="264"/>
      <c r="D40" s="286" t="s">
        <v>377</v>
      </c>
      <c r="E40" s="211">
        <v>9301</v>
      </c>
      <c r="F40" s="211"/>
      <c r="G40" s="211">
        <v>67240</v>
      </c>
      <c r="H40" s="211">
        <v>56974</v>
      </c>
      <c r="I40" s="342">
        <f>SUM(E40:H40)</f>
        <v>133515</v>
      </c>
      <c r="J40" s="266"/>
      <c r="K40" s="237"/>
    </row>
    <row r="41" spans="1:12" ht="15.75" thickBot="1">
      <c r="A41" s="237"/>
      <c r="B41" s="1619"/>
      <c r="C41" s="264"/>
      <c r="D41" s="286" t="s">
        <v>378</v>
      </c>
      <c r="E41" s="211"/>
      <c r="F41" s="211"/>
      <c r="G41" s="211"/>
      <c r="H41" s="211"/>
      <c r="I41" s="375"/>
      <c r="J41" s="266"/>
      <c r="K41" s="237"/>
    </row>
    <row r="42" spans="1:12" ht="15.75" thickBot="1">
      <c r="A42" s="237"/>
      <c r="B42" s="1619"/>
      <c r="C42" s="264"/>
      <c r="D42" s="286" t="s">
        <v>379</v>
      </c>
      <c r="E42" s="211"/>
      <c r="F42" s="211"/>
      <c r="G42" s="211"/>
      <c r="H42" s="211"/>
      <c r="I42" s="375"/>
      <c r="J42" s="266"/>
      <c r="K42" s="237"/>
      <c r="L42">
        <f>133515-133214</f>
        <v>301</v>
      </c>
    </row>
    <row r="43" spans="1:12" ht="15.75" thickBot="1">
      <c r="A43" s="237"/>
      <c r="B43" s="1619"/>
      <c r="C43" s="264"/>
      <c r="D43" s="286" t="s">
        <v>380</v>
      </c>
      <c r="E43" s="211"/>
      <c r="F43" s="211"/>
      <c r="G43" s="211"/>
      <c r="H43" s="211"/>
      <c r="I43" s="375"/>
      <c r="J43" s="266"/>
      <c r="K43" s="237"/>
    </row>
    <row r="44" spans="1:12" ht="15.75" thickBot="1">
      <c r="A44" s="237"/>
      <c r="B44" s="1619"/>
      <c r="C44" s="264"/>
      <c r="D44" s="286" t="s">
        <v>381</v>
      </c>
      <c r="E44" s="211"/>
      <c r="F44" s="211"/>
      <c r="G44" s="211"/>
      <c r="H44" s="211"/>
      <c r="I44" s="375"/>
      <c r="J44" s="266"/>
      <c r="K44" s="237"/>
    </row>
    <row r="45" spans="1:12" ht="15.75" thickBot="1">
      <c r="A45" s="237"/>
      <c r="B45" s="1619"/>
      <c r="C45" s="264"/>
      <c r="D45" s="286" t="s">
        <v>1220</v>
      </c>
      <c r="E45" s="211">
        <v>9301</v>
      </c>
      <c r="F45" s="211"/>
      <c r="G45" s="211">
        <v>67177</v>
      </c>
      <c r="H45" s="211"/>
      <c r="I45" s="375"/>
      <c r="J45" s="266"/>
      <c r="K45" s="237"/>
    </row>
    <row r="46" spans="1:12" ht="15.75" thickBot="1">
      <c r="A46" s="237"/>
      <c r="B46" s="1619"/>
      <c r="C46" s="264"/>
      <c r="D46" s="286" t="s">
        <v>157</v>
      </c>
      <c r="E46" s="342">
        <f>SUM(E41:E45)</f>
        <v>9301</v>
      </c>
      <c r="F46" s="342">
        <f>SUM(F41:F45)</f>
        <v>0</v>
      </c>
      <c r="G46" s="342">
        <f>SUM(G41:G45)</f>
        <v>67177</v>
      </c>
      <c r="H46" s="342">
        <f>SUM(H41:H45)</f>
        <v>0</v>
      </c>
      <c r="I46" s="375"/>
      <c r="J46" s="266"/>
      <c r="K46" s="237"/>
    </row>
    <row r="47" spans="1:12">
      <c r="A47" s="237"/>
      <c r="B47" s="1619"/>
      <c r="C47" s="268"/>
      <c r="D47" s="1600" t="s">
        <v>385</v>
      </c>
      <c r="E47" s="1643"/>
      <c r="F47" s="1643"/>
      <c r="G47" s="1643"/>
      <c r="H47" s="1643"/>
      <c r="I47" s="1643"/>
      <c r="J47" s="1602"/>
      <c r="K47" s="237"/>
    </row>
    <row r="48" spans="1:12">
      <c r="A48" s="237"/>
      <c r="B48" s="1619"/>
      <c r="C48" s="268"/>
      <c r="D48" s="1600" t="s">
        <v>386</v>
      </c>
      <c r="E48" s="1643"/>
      <c r="F48" s="1643"/>
      <c r="G48" s="1643"/>
      <c r="H48" s="1643"/>
      <c r="I48" s="1643"/>
      <c r="J48" s="1602"/>
      <c r="K48" s="237"/>
    </row>
    <row r="49" spans="1:12">
      <c r="A49" s="237"/>
      <c r="B49" s="1619"/>
      <c r="C49" s="268"/>
      <c r="D49" s="1612" t="s">
        <v>387</v>
      </c>
      <c r="E49" s="1647"/>
      <c r="F49" s="1647"/>
      <c r="G49" s="1647"/>
      <c r="H49" s="1647"/>
      <c r="I49" s="1647"/>
      <c r="J49" s="1614"/>
      <c r="K49" s="237"/>
    </row>
    <row r="50" spans="1:12" ht="15.75" thickBot="1">
      <c r="A50" s="237"/>
      <c r="B50" s="1619"/>
      <c r="C50" s="268"/>
      <c r="D50" s="1600" t="s">
        <v>376</v>
      </c>
      <c r="E50" s="1643"/>
      <c r="F50" s="1643"/>
      <c r="G50" s="1643"/>
      <c r="H50" s="1643"/>
      <c r="I50" s="1643"/>
      <c r="J50" s="1602"/>
      <c r="K50" s="237"/>
    </row>
    <row r="51" spans="1:12" ht="15.75" thickBot="1">
      <c r="A51" s="237"/>
      <c r="B51" s="1619"/>
      <c r="C51" s="264"/>
      <c r="D51" s="272" t="s">
        <v>156</v>
      </c>
      <c r="E51" s="272" t="s">
        <v>25</v>
      </c>
      <c r="F51" s="272" t="s">
        <v>26</v>
      </c>
      <c r="G51" s="272" t="s">
        <v>27</v>
      </c>
      <c r="H51" s="272" t="s">
        <v>28</v>
      </c>
      <c r="I51" s="272" t="s">
        <v>157</v>
      </c>
      <c r="J51" s="266"/>
      <c r="K51" s="237"/>
    </row>
    <row r="52" spans="1:12" ht="15.75" thickBot="1">
      <c r="A52" s="237"/>
      <c r="B52" s="1619"/>
      <c r="C52" s="264"/>
      <c r="D52" s="286" t="s">
        <v>377</v>
      </c>
      <c r="E52" s="7">
        <v>9000</v>
      </c>
      <c r="F52" s="7"/>
      <c r="G52" s="7">
        <v>67177</v>
      </c>
      <c r="H52" s="7">
        <f>14000+40000+900+2074</f>
        <v>56974</v>
      </c>
      <c r="I52" s="275">
        <f>SUM(E52:H52)</f>
        <v>133151</v>
      </c>
      <c r="J52" s="266"/>
      <c r="K52" s="237"/>
    </row>
    <row r="53" spans="1:12" ht="15.75" thickBot="1">
      <c r="A53" s="237"/>
      <c r="B53" s="1619"/>
      <c r="C53" s="264"/>
      <c r="D53" s="286" t="s">
        <v>378</v>
      </c>
      <c r="E53" s="7"/>
      <c r="F53" s="7"/>
      <c r="G53" s="7"/>
      <c r="H53" s="7"/>
      <c r="I53" s="376"/>
      <c r="J53" s="266"/>
      <c r="K53" s="237"/>
    </row>
    <row r="54" spans="1:12" ht="15.75" thickBot="1">
      <c r="A54" s="237"/>
      <c r="B54" s="1619"/>
      <c r="C54" s="264"/>
      <c r="D54" s="286" t="s">
        <v>379</v>
      </c>
      <c r="E54" s="7"/>
      <c r="F54" s="7"/>
      <c r="G54" s="7"/>
      <c r="H54" s="7"/>
      <c r="I54" s="376"/>
      <c r="J54" s="266"/>
      <c r="K54" s="237"/>
    </row>
    <row r="55" spans="1:12" ht="15.75" thickBot="1">
      <c r="A55" s="237"/>
      <c r="B55" s="1619"/>
      <c r="C55" s="264"/>
      <c r="D55" s="286" t="s">
        <v>380</v>
      </c>
      <c r="E55" s="7"/>
      <c r="F55" s="7"/>
      <c r="G55" s="7"/>
      <c r="H55" s="7"/>
      <c r="I55" s="376"/>
      <c r="J55" s="266"/>
      <c r="K55" s="237"/>
    </row>
    <row r="56" spans="1:12" ht="15.75" thickBot="1">
      <c r="A56" s="237"/>
      <c r="B56" s="1619"/>
      <c r="C56" s="264"/>
      <c r="D56" s="286" t="s">
        <v>381</v>
      </c>
      <c r="E56" s="7"/>
      <c r="F56" s="7"/>
      <c r="G56" s="7">
        <v>67177</v>
      </c>
      <c r="H56" s="7">
        <f>14000+40000+900+2074</f>
        <v>56974</v>
      </c>
      <c r="I56" s="376"/>
      <c r="J56" s="266"/>
      <c r="K56" s="237"/>
    </row>
    <row r="57" spans="1:12" ht="15.75" thickBot="1">
      <c r="A57" s="237"/>
      <c r="B57" s="1619"/>
      <c r="C57" s="264"/>
      <c r="D57" s="286" t="s">
        <v>1220</v>
      </c>
      <c r="E57" s="371">
        <v>9301</v>
      </c>
      <c r="F57" s="371"/>
      <c r="G57" s="371"/>
      <c r="H57" s="371"/>
      <c r="I57" s="376"/>
      <c r="J57" s="266"/>
      <c r="K57" s="237"/>
      <c r="L57">
        <f>57725-56974</f>
        <v>751</v>
      </c>
    </row>
    <row r="58" spans="1:12" ht="15.75" thickBot="1">
      <c r="A58" s="237"/>
      <c r="B58" s="1619"/>
      <c r="C58" s="264"/>
      <c r="D58" s="286" t="s">
        <v>157</v>
      </c>
      <c r="E58" s="342">
        <f>SUM(E53:E57)</f>
        <v>9301</v>
      </c>
      <c r="F58" s="342">
        <f>SUM(F53:F57)</f>
        <v>0</v>
      </c>
      <c r="G58" s="342">
        <f>SUM(G53:G57)</f>
        <v>67177</v>
      </c>
      <c r="H58" s="342">
        <f>SUM(H53:H57)</f>
        <v>56974</v>
      </c>
      <c r="I58" s="376"/>
      <c r="J58" s="266"/>
      <c r="K58" s="237"/>
    </row>
    <row r="59" spans="1:12">
      <c r="A59" s="237"/>
      <c r="B59" s="1619"/>
      <c r="C59" s="268"/>
      <c r="D59" s="1600" t="s">
        <v>382</v>
      </c>
      <c r="E59" s="1643"/>
      <c r="F59" s="1643"/>
      <c r="G59" s="1643"/>
      <c r="H59" s="1643"/>
      <c r="I59" s="1643"/>
      <c r="J59" s="1602"/>
      <c r="K59" s="237"/>
    </row>
    <row r="60" spans="1:12">
      <c r="A60" s="237"/>
      <c r="B60" s="1619"/>
      <c r="C60" s="268"/>
      <c r="D60" s="1600" t="s">
        <v>383</v>
      </c>
      <c r="E60" s="1643"/>
      <c r="F60" s="1643"/>
      <c r="G60" s="1643"/>
      <c r="H60" s="1643"/>
      <c r="I60" s="1643"/>
      <c r="J60" s="1602"/>
      <c r="K60" s="237"/>
    </row>
    <row r="61" spans="1:12" ht="15.75" thickBot="1">
      <c r="A61" s="237"/>
      <c r="B61" s="1619"/>
      <c r="C61" s="268"/>
      <c r="D61" s="1612" t="s">
        <v>384</v>
      </c>
      <c r="E61" s="1647"/>
      <c r="F61" s="1647"/>
      <c r="G61" s="1647"/>
      <c r="H61" s="1647"/>
      <c r="I61" s="1647"/>
      <c r="J61" s="1614"/>
      <c r="K61" s="237"/>
    </row>
    <row r="62" spans="1:12" ht="15.75" thickBot="1">
      <c r="A62" s="237"/>
      <c r="B62" s="1619"/>
      <c r="C62" s="264"/>
      <c r="D62" s="272" t="s">
        <v>156</v>
      </c>
      <c r="E62" s="272" t="s">
        <v>25</v>
      </c>
      <c r="F62" s="272" t="s">
        <v>26</v>
      </c>
      <c r="G62" s="272" t="s">
        <v>27</v>
      </c>
      <c r="H62" s="272" t="s">
        <v>28</v>
      </c>
      <c r="I62" s="272" t="s">
        <v>157</v>
      </c>
      <c r="J62" s="266"/>
      <c r="K62" s="237"/>
    </row>
    <row r="63" spans="1:12" ht="15.75" thickBot="1">
      <c r="A63" s="237"/>
      <c r="B63" s="1619"/>
      <c r="C63" s="264"/>
      <c r="D63" s="286" t="s">
        <v>377</v>
      </c>
      <c r="E63" s="193">
        <v>9000</v>
      </c>
      <c r="F63" s="193"/>
      <c r="G63" s="193">
        <v>67177</v>
      </c>
      <c r="H63" s="7">
        <f>14000+40000+900+2074</f>
        <v>56974</v>
      </c>
      <c r="I63" s="342">
        <f>SUM(E63:H63)</f>
        <v>133151</v>
      </c>
      <c r="J63" s="266"/>
      <c r="K63" s="237"/>
    </row>
    <row r="64" spans="1:12" ht="15.75" thickBot="1">
      <c r="A64" s="237"/>
      <c r="B64" s="1619"/>
      <c r="C64" s="264"/>
      <c r="D64" s="286" t="s">
        <v>378</v>
      </c>
      <c r="E64" s="193"/>
      <c r="F64" s="193"/>
      <c r="G64" s="193"/>
      <c r="H64" s="193"/>
      <c r="I64" s="376"/>
      <c r="J64" s="266"/>
      <c r="K64" s="237"/>
    </row>
    <row r="65" spans="1:12" ht="15.75" thickBot="1">
      <c r="A65" s="237"/>
      <c r="B65" s="1619"/>
      <c r="C65" s="264"/>
      <c r="D65" s="286" t="s">
        <v>379</v>
      </c>
      <c r="E65" s="193"/>
      <c r="F65" s="193"/>
      <c r="G65" s="193"/>
      <c r="H65" s="193"/>
      <c r="I65" s="376"/>
      <c r="J65" s="266"/>
      <c r="K65" s="237"/>
    </row>
    <row r="66" spans="1:12" ht="15.75" thickBot="1">
      <c r="A66" s="237"/>
      <c r="B66" s="1619"/>
      <c r="C66" s="264"/>
      <c r="D66" s="286" t="s">
        <v>380</v>
      </c>
      <c r="E66" s="193"/>
      <c r="F66" s="193"/>
      <c r="G66" s="193"/>
      <c r="H66" s="193"/>
      <c r="I66" s="376"/>
      <c r="J66" s="266"/>
      <c r="K66" s="237"/>
    </row>
    <row r="67" spans="1:12" ht="15.75" thickBot="1">
      <c r="A67" s="237"/>
      <c r="B67" s="1619"/>
      <c r="C67" s="264"/>
      <c r="D67" s="286" t="s">
        <v>381</v>
      </c>
      <c r="E67" s="193"/>
      <c r="F67" s="193"/>
      <c r="G67" s="193"/>
      <c r="H67" s="193"/>
      <c r="I67" s="376"/>
      <c r="J67" s="266"/>
      <c r="K67" s="237"/>
    </row>
    <row r="68" spans="1:12" ht="15.75" thickBot="1">
      <c r="A68" s="237"/>
      <c r="B68" s="1619"/>
      <c r="C68" s="264"/>
      <c r="D68" s="286" t="s">
        <v>1219</v>
      </c>
      <c r="E68" s="193">
        <v>9301</v>
      </c>
      <c r="F68" s="193"/>
      <c r="G68" s="193">
        <v>67177</v>
      </c>
      <c r="H68" s="193"/>
      <c r="I68" s="376"/>
      <c r="J68" s="266"/>
      <c r="K68" s="237"/>
    </row>
    <row r="69" spans="1:12" ht="15.75" thickBot="1">
      <c r="A69" s="237"/>
      <c r="B69" s="1619"/>
      <c r="C69" s="264"/>
      <c r="D69" s="286" t="s">
        <v>157</v>
      </c>
      <c r="E69" s="342">
        <f>SUM(E64:E68)</f>
        <v>9301</v>
      </c>
      <c r="F69" s="342">
        <f>SUM(F64:F68)</f>
        <v>0</v>
      </c>
      <c r="G69" s="342">
        <f>SUM(G64:G68)</f>
        <v>67177</v>
      </c>
      <c r="H69" s="342">
        <f>SUM(H64:H68)</f>
        <v>0</v>
      </c>
      <c r="I69" s="376"/>
      <c r="J69" s="266"/>
      <c r="K69" s="237"/>
    </row>
    <row r="70" spans="1:12">
      <c r="A70" s="237"/>
      <c r="B70" s="1619"/>
      <c r="C70" s="268"/>
      <c r="D70" s="1600" t="s">
        <v>385</v>
      </c>
      <c r="E70" s="1643"/>
      <c r="F70" s="1643"/>
      <c r="G70" s="1643"/>
      <c r="H70" s="1643"/>
      <c r="I70" s="1643"/>
      <c r="J70" s="1602"/>
      <c r="K70" s="237"/>
    </row>
    <row r="71" spans="1:12">
      <c r="A71" s="237"/>
      <c r="B71" s="1619"/>
      <c r="C71" s="268"/>
      <c r="D71" s="1600" t="s">
        <v>386</v>
      </c>
      <c r="E71" s="1643"/>
      <c r="F71" s="1643"/>
      <c r="G71" s="1643"/>
      <c r="H71" s="1643"/>
      <c r="I71" s="1643"/>
      <c r="J71" s="1602"/>
      <c r="K71" s="237"/>
    </row>
    <row r="72" spans="1:12" ht="15.75" thickBot="1">
      <c r="A72" s="237"/>
      <c r="B72" s="1619"/>
      <c r="C72" s="268"/>
      <c r="D72" s="1603" t="s">
        <v>388</v>
      </c>
      <c r="E72" s="1604"/>
      <c r="F72" s="1604"/>
      <c r="G72" s="1604"/>
      <c r="H72" s="1604"/>
      <c r="I72" s="1604"/>
      <c r="J72" s="1605"/>
      <c r="K72" s="237"/>
    </row>
    <row r="73" spans="1:12" ht="33" customHeight="1">
      <c r="A73" s="237"/>
      <c r="B73" s="1619"/>
      <c r="C73" s="264"/>
      <c r="D73" s="1611" t="s">
        <v>389</v>
      </c>
      <c r="E73" s="1703" t="s">
        <v>390</v>
      </c>
      <c r="F73" s="1703" t="s">
        <v>391</v>
      </c>
      <c r="G73" s="1703" t="s">
        <v>392</v>
      </c>
      <c r="H73" s="1703" t="s">
        <v>393</v>
      </c>
      <c r="I73" s="1703" t="s">
        <v>394</v>
      </c>
      <c r="J73" s="1703" t="s">
        <v>1805</v>
      </c>
      <c r="K73" s="240"/>
    </row>
    <row r="74" spans="1:12" ht="15.75" thickBot="1">
      <c r="A74" s="237"/>
      <c r="B74" s="1619"/>
      <c r="C74" s="264"/>
      <c r="D74" s="1626"/>
      <c r="E74" s="1704"/>
      <c r="F74" s="1704"/>
      <c r="G74" s="1704"/>
      <c r="H74" s="1704"/>
      <c r="I74" s="1704"/>
      <c r="J74" s="1704"/>
      <c r="K74" s="240"/>
    </row>
    <row r="75" spans="1:12" ht="36" customHeight="1" thickBot="1">
      <c r="A75" s="237"/>
      <c r="B75" s="1619"/>
      <c r="C75" s="264"/>
      <c r="D75" s="30" t="s">
        <v>1723</v>
      </c>
      <c r="E75" s="30" t="s">
        <v>1668</v>
      </c>
      <c r="F75" s="30" t="s">
        <v>1722</v>
      </c>
      <c r="G75" s="193">
        <v>9000</v>
      </c>
      <c r="H75" s="193">
        <v>9301</v>
      </c>
      <c r="I75" s="30" t="s">
        <v>1728</v>
      </c>
      <c r="J75" s="982" t="s">
        <v>1997</v>
      </c>
      <c r="K75" s="1040"/>
    </row>
    <row r="76" spans="1:12" ht="24.75" thickBot="1">
      <c r="A76" s="237"/>
      <c r="B76" s="1619"/>
      <c r="C76" s="264"/>
      <c r="D76" s="30" t="s">
        <v>1807</v>
      </c>
      <c r="E76" s="30" t="s">
        <v>1668</v>
      </c>
      <c r="F76" s="30" t="s">
        <v>1687</v>
      </c>
      <c r="G76" s="193">
        <v>16000</v>
      </c>
      <c r="H76" s="193"/>
      <c r="I76" s="30" t="s">
        <v>2058</v>
      </c>
      <c r="J76" s="30"/>
      <c r="K76" s="1040"/>
    </row>
    <row r="77" spans="1:12" ht="45.75" thickBot="1">
      <c r="A77" s="237"/>
      <c r="B77" s="1619"/>
      <c r="C77" s="264"/>
      <c r="D77" s="30" t="s">
        <v>1729</v>
      </c>
      <c r="E77" s="30" t="s">
        <v>1669</v>
      </c>
      <c r="F77" s="30" t="s">
        <v>1687</v>
      </c>
      <c r="G77" s="193">
        <v>67177</v>
      </c>
      <c r="H77" s="193">
        <v>67177</v>
      </c>
      <c r="I77" s="30" t="s">
        <v>1995</v>
      </c>
      <c r="J77" s="982" t="s">
        <v>1996</v>
      </c>
      <c r="K77" s="1040"/>
      <c r="L77" s="1332"/>
    </row>
    <row r="78" spans="1:12" ht="24.75" thickBot="1">
      <c r="A78" s="237"/>
      <c r="B78" s="1619"/>
      <c r="C78" s="264"/>
      <c r="D78" s="30" t="s">
        <v>1730</v>
      </c>
      <c r="E78" s="30" t="s">
        <v>1806</v>
      </c>
      <c r="F78" s="30" t="s">
        <v>1687</v>
      </c>
      <c r="G78" s="193">
        <v>40000</v>
      </c>
      <c r="H78" s="193"/>
      <c r="I78" s="30" t="s">
        <v>2058</v>
      </c>
      <c r="J78" s="30"/>
      <c r="K78" s="1040"/>
    </row>
    <row r="79" spans="1:12" ht="24.75" thickBot="1">
      <c r="A79" s="237"/>
      <c r="B79" s="1619"/>
      <c r="C79" s="264"/>
      <c r="D79" s="30" t="s">
        <v>2004</v>
      </c>
      <c r="E79" s="30" t="s">
        <v>1668</v>
      </c>
      <c r="F79" s="30" t="s">
        <v>1687</v>
      </c>
      <c r="G79" s="193">
        <v>900</v>
      </c>
      <c r="H79" s="193"/>
      <c r="I79" s="30" t="s">
        <v>2058</v>
      </c>
      <c r="J79" s="30"/>
      <c r="K79" s="240"/>
    </row>
    <row r="80" spans="1:12" ht="24.75" thickBot="1">
      <c r="A80" s="237"/>
      <c r="B80" s="1619"/>
      <c r="C80" s="264"/>
      <c r="D80" s="30" t="s">
        <v>2005</v>
      </c>
      <c r="E80" s="30" t="s">
        <v>1668</v>
      </c>
      <c r="F80" s="30" t="s">
        <v>1687</v>
      </c>
      <c r="G80" s="193">
        <v>2074</v>
      </c>
      <c r="H80" s="193"/>
      <c r="I80" s="30" t="s">
        <v>2058</v>
      </c>
      <c r="J80" s="30"/>
      <c r="K80" s="240"/>
    </row>
    <row r="81" spans="1:11" ht="15.75" thickBot="1">
      <c r="A81" s="237"/>
      <c r="B81" s="1619"/>
      <c r="C81" s="264"/>
      <c r="D81" s="30"/>
      <c r="E81" s="30"/>
      <c r="F81" s="30"/>
      <c r="G81" s="193"/>
      <c r="H81" s="193"/>
      <c r="I81" s="30"/>
      <c r="J81" s="30"/>
      <c r="K81" s="240"/>
    </row>
    <row r="82" spans="1:11" ht="15.75" thickBot="1">
      <c r="A82" s="237"/>
      <c r="B82" s="1619"/>
      <c r="C82" s="264"/>
      <c r="D82" s="30"/>
      <c r="E82" s="30"/>
      <c r="F82" s="30"/>
      <c r="G82" s="193"/>
      <c r="H82" s="193"/>
      <c r="I82" s="30"/>
      <c r="J82" s="30"/>
      <c r="K82" s="240"/>
    </row>
    <row r="83" spans="1:11" ht="15.75" thickBot="1">
      <c r="A83" s="237"/>
      <c r="B83" s="1619"/>
      <c r="C83" s="264"/>
      <c r="D83" s="30"/>
      <c r="E83" s="30"/>
      <c r="F83" s="30"/>
      <c r="G83" s="193"/>
      <c r="H83" s="193"/>
      <c r="I83" s="30"/>
      <c r="J83" s="30"/>
      <c r="K83" s="240"/>
    </row>
    <row r="84" spans="1:11" ht="15.75" thickBot="1">
      <c r="A84" s="237"/>
      <c r="B84" s="1619"/>
      <c r="C84" s="264"/>
      <c r="D84" s="30"/>
      <c r="E84" s="30"/>
      <c r="F84" s="30"/>
      <c r="G84" s="193"/>
      <c r="H84" s="193"/>
      <c r="I84" s="30"/>
      <c r="J84" s="30"/>
      <c r="K84" s="240"/>
    </row>
    <row r="85" spans="1:11" ht="15.75" thickBot="1">
      <c r="A85" s="237"/>
      <c r="B85" s="1619"/>
      <c r="C85" s="264"/>
      <c r="D85" s="30"/>
      <c r="E85" s="30"/>
      <c r="F85" s="30"/>
      <c r="G85" s="193"/>
      <c r="H85" s="193"/>
      <c r="I85" s="30"/>
      <c r="J85" s="30"/>
      <c r="K85" s="240"/>
    </row>
    <row r="86" spans="1:11" ht="15.75" thickBot="1">
      <c r="A86" s="237"/>
      <c r="B86" s="1619"/>
      <c r="C86" s="264"/>
      <c r="D86" s="30"/>
      <c r="E86" s="30"/>
      <c r="F86" s="30"/>
      <c r="G86" s="193"/>
      <c r="H86" s="193"/>
      <c r="I86" s="30"/>
      <c r="J86" s="30"/>
      <c r="K86" s="240"/>
    </row>
    <row r="87" spans="1:11" ht="15.75" thickBot="1">
      <c r="A87" s="237"/>
      <c r="B87" s="1619"/>
      <c r="C87" s="264"/>
      <c r="D87" s="30"/>
      <c r="E87" s="30"/>
      <c r="F87" s="30"/>
      <c r="G87" s="193"/>
      <c r="H87" s="193"/>
      <c r="I87" s="30"/>
      <c r="J87" s="30"/>
      <c r="K87" s="240"/>
    </row>
    <row r="88" spans="1:11" ht="15.75" thickBot="1">
      <c r="A88" s="237"/>
      <c r="B88" s="1619"/>
      <c r="C88" s="264"/>
      <c r="D88" s="30"/>
      <c r="E88" s="30"/>
      <c r="F88" s="30"/>
      <c r="G88" s="193"/>
      <c r="H88" s="193"/>
      <c r="I88" s="30"/>
      <c r="J88" s="30"/>
      <c r="K88" s="240"/>
    </row>
    <row r="89" spans="1:11">
      <c r="A89" s="237"/>
      <c r="B89" s="1619"/>
      <c r="C89" s="268"/>
      <c r="D89" s="1609" t="s">
        <v>396</v>
      </c>
      <c r="E89" s="1610"/>
      <c r="F89" s="1610"/>
      <c r="G89" s="1610"/>
      <c r="H89" s="1610"/>
      <c r="I89" s="1610"/>
      <c r="J89" s="1611"/>
      <c r="K89" s="240"/>
    </row>
    <row r="90" spans="1:11" ht="15.75" thickBot="1">
      <c r="A90" s="237"/>
      <c r="B90" s="1619"/>
      <c r="C90" s="268"/>
      <c r="D90" s="1624" t="s">
        <v>397</v>
      </c>
      <c r="E90" s="1625"/>
      <c r="F90" s="1625"/>
      <c r="G90" s="1625"/>
      <c r="H90" s="1625"/>
      <c r="I90" s="1625"/>
      <c r="J90" s="1626"/>
      <c r="K90" s="240"/>
    </row>
    <row r="91" spans="1:11">
      <c r="A91" s="237"/>
      <c r="B91" s="1619"/>
      <c r="C91" s="268"/>
      <c r="D91" s="293"/>
      <c r="E91" s="368"/>
      <c r="F91" s="368"/>
      <c r="G91" s="368"/>
      <c r="H91" s="368"/>
      <c r="I91" s="368"/>
      <c r="J91" s="305"/>
      <c r="K91" s="240"/>
    </row>
    <row r="92" spans="1:11" ht="15.75" thickBot="1">
      <c r="A92" s="237"/>
      <c r="B92" s="1619"/>
      <c r="C92" s="268"/>
      <c r="D92" s="293" t="s">
        <v>1221</v>
      </c>
      <c r="E92" s="368"/>
      <c r="F92" s="368"/>
      <c r="G92" s="368"/>
      <c r="H92" s="368"/>
      <c r="I92" s="368"/>
      <c r="J92" s="305"/>
      <c r="K92" s="240"/>
    </row>
    <row r="93" spans="1:11">
      <c r="A93" s="237"/>
      <c r="B93" s="1619"/>
      <c r="C93" s="268"/>
      <c r="D93" s="377" t="s">
        <v>156</v>
      </c>
      <c r="E93" s="378" t="s">
        <v>25</v>
      </c>
      <c r="F93" s="378" t="s">
        <v>26</v>
      </c>
      <c r="G93" s="378" t="s">
        <v>27</v>
      </c>
      <c r="H93" s="378" t="s">
        <v>28</v>
      </c>
      <c r="I93" s="379" t="s">
        <v>157</v>
      </c>
      <c r="J93" s="305"/>
      <c r="K93" s="240"/>
    </row>
    <row r="94" spans="1:11">
      <c r="A94" s="237"/>
      <c r="B94" s="1619"/>
      <c r="C94" s="268"/>
      <c r="D94" s="380" t="s">
        <v>1222</v>
      </c>
      <c r="E94" s="381">
        <f>+E40</f>
        <v>9301</v>
      </c>
      <c r="F94" s="381">
        <f>+F63+F40</f>
        <v>0</v>
      </c>
      <c r="G94" s="381">
        <f>+G40</f>
        <v>67240</v>
      </c>
      <c r="H94" s="381">
        <f>+H40</f>
        <v>56974</v>
      </c>
      <c r="I94" s="382">
        <f>SUM(E94:H94)</f>
        <v>133515</v>
      </c>
      <c r="J94" s="305"/>
      <c r="K94" s="240"/>
    </row>
    <row r="95" spans="1:11" ht="36">
      <c r="A95" s="237"/>
      <c r="B95" s="1619"/>
      <c r="C95" s="268"/>
      <c r="D95" s="383" t="s">
        <v>1223</v>
      </c>
      <c r="E95" s="381">
        <f>+E45</f>
        <v>9301</v>
      </c>
      <c r="F95" s="381">
        <f>+F68+F45</f>
        <v>0</v>
      </c>
      <c r="G95" s="381">
        <f>+G68</f>
        <v>67177</v>
      </c>
      <c r="H95" s="381">
        <f>+H68+H45</f>
        <v>0</v>
      </c>
      <c r="I95" s="382">
        <f>SUM(E95:H95)</f>
        <v>76478</v>
      </c>
      <c r="J95" s="305"/>
      <c r="K95" s="240"/>
    </row>
    <row r="96" spans="1:11" ht="48.75" thickBot="1">
      <c r="A96" s="237"/>
      <c r="B96" s="1619"/>
      <c r="C96" s="268"/>
      <c r="D96" s="383" t="s">
        <v>356</v>
      </c>
      <c r="E96" s="384">
        <f>IFERROR(E95/E94,"N.A.")</f>
        <v>1</v>
      </c>
      <c r="F96" s="384" t="str">
        <f>IFERROR(F95/F94,"N.A.")</f>
        <v>N.A.</v>
      </c>
      <c r="G96" s="384">
        <f>IFERROR(G95/G94,"N.A.")</f>
        <v>1</v>
      </c>
      <c r="H96" s="384">
        <f>IFERROR(H95/H94,"N.A.")</f>
        <v>0</v>
      </c>
      <c r="I96" s="384">
        <f>IFERROR(I95/I94,"N.A.")</f>
        <v>0.56999999999999995</v>
      </c>
      <c r="J96" s="305"/>
      <c r="K96" s="240"/>
    </row>
    <row r="97" spans="1:11" ht="24" customHeight="1" thickBot="1">
      <c r="A97" s="237"/>
      <c r="B97" s="1620"/>
      <c r="C97" s="278"/>
      <c r="D97" s="237"/>
      <c r="E97" s="237"/>
      <c r="F97" s="237"/>
      <c r="G97" s="237"/>
      <c r="H97" s="237"/>
      <c r="I97" s="237"/>
      <c r="J97" s="305"/>
      <c r="K97" s="240"/>
    </row>
    <row r="98" spans="1:11" ht="24" customHeight="1" thickBot="1">
      <c r="A98" s="237"/>
      <c r="B98" s="277" t="s">
        <v>39</v>
      </c>
      <c r="C98" s="278"/>
      <c r="D98" s="1621" t="s">
        <v>398</v>
      </c>
      <c r="E98" s="1622"/>
      <c r="F98" s="1622"/>
      <c r="G98" s="1622"/>
      <c r="H98" s="1622"/>
      <c r="I98" s="1622"/>
      <c r="J98" s="1623"/>
      <c r="K98" s="240"/>
    </row>
    <row r="99" spans="1:11" ht="24" customHeight="1">
      <c r="A99" s="237"/>
      <c r="B99" s="1618" t="s">
        <v>41</v>
      </c>
      <c r="C99" s="260"/>
      <c r="D99" s="1609" t="s">
        <v>354</v>
      </c>
      <c r="E99" s="1610"/>
      <c r="F99" s="1610"/>
      <c r="G99" s="1610"/>
      <c r="H99" s="1610"/>
      <c r="I99" s="1610"/>
      <c r="J99" s="1611"/>
      <c r="K99" s="240"/>
    </row>
    <row r="100" spans="1:11" ht="48" customHeight="1">
      <c r="A100" s="237"/>
      <c r="B100" s="1619"/>
      <c r="C100" s="268"/>
      <c r="D100" s="1600" t="s">
        <v>399</v>
      </c>
      <c r="E100" s="1643"/>
      <c r="F100" s="1643"/>
      <c r="G100" s="1643"/>
      <c r="H100" s="1643"/>
      <c r="I100" s="1643"/>
      <c r="J100" s="1602"/>
      <c r="K100" s="240"/>
    </row>
    <row r="101" spans="1:11" ht="60" customHeight="1" thickBot="1">
      <c r="A101" s="237"/>
      <c r="B101" s="1620"/>
      <c r="C101" s="278"/>
      <c r="D101" s="1624" t="s">
        <v>400</v>
      </c>
      <c r="E101" s="1625"/>
      <c r="F101" s="1625"/>
      <c r="G101" s="1625"/>
      <c r="H101" s="1625"/>
      <c r="I101" s="1625"/>
      <c r="J101" s="1626"/>
      <c r="K101" s="240"/>
    </row>
    <row r="102" spans="1:11" ht="15.75" thickBot="1">
      <c r="A102" s="237"/>
      <c r="B102" s="241"/>
      <c r="C102" s="242"/>
      <c r="D102" s="240"/>
      <c r="E102" s="240"/>
      <c r="F102" s="240"/>
      <c r="G102" s="240"/>
      <c r="H102" s="240"/>
      <c r="I102" s="240"/>
      <c r="J102" s="240"/>
      <c r="K102" s="240"/>
    </row>
    <row r="103" spans="1:11" ht="24" customHeight="1" thickBot="1">
      <c r="A103" s="237"/>
      <c r="B103" s="1627" t="s">
        <v>43</v>
      </c>
      <c r="C103" s="1628"/>
      <c r="D103" s="1628"/>
      <c r="E103" s="1629"/>
      <c r="F103" s="240"/>
      <c r="G103" s="240"/>
      <c r="H103" s="240"/>
      <c r="I103" s="240"/>
      <c r="J103" s="240"/>
      <c r="K103" s="240"/>
    </row>
    <row r="104" spans="1:11" ht="15.75" thickBot="1">
      <c r="A104" s="237"/>
      <c r="B104" s="1618">
        <v>1</v>
      </c>
      <c r="C104" s="264"/>
      <c r="D104" s="281" t="s">
        <v>44</v>
      </c>
      <c r="E104" s="31" t="s">
        <v>1616</v>
      </c>
      <c r="F104" s="240"/>
      <c r="G104" s="240"/>
      <c r="H104" s="240"/>
      <c r="I104" s="240"/>
      <c r="J104" s="240"/>
      <c r="K104" s="240"/>
    </row>
    <row r="105" spans="1:11" ht="15.75" thickBot="1">
      <c r="A105" s="237"/>
      <c r="B105" s="1619"/>
      <c r="C105" s="264"/>
      <c r="D105" s="270" t="s">
        <v>45</v>
      </c>
      <c r="E105" s="31" t="s">
        <v>1680</v>
      </c>
      <c r="F105" s="240"/>
      <c r="G105" s="240"/>
      <c r="H105" s="240"/>
      <c r="I105" s="240"/>
      <c r="J105" s="240"/>
      <c r="K105" s="240"/>
    </row>
    <row r="106" spans="1:11" ht="15.75" thickBot="1">
      <c r="A106" s="237"/>
      <c r="B106" s="1619"/>
      <c r="C106" s="264"/>
      <c r="D106" s="270" t="s">
        <v>46</v>
      </c>
      <c r="E106" s="31" t="s">
        <v>2032</v>
      </c>
      <c r="F106" s="240"/>
      <c r="G106" s="240"/>
      <c r="H106" s="240"/>
      <c r="I106" s="240"/>
      <c r="J106" s="240"/>
      <c r="K106" s="240"/>
    </row>
    <row r="107" spans="1:11" ht="15.75" thickBot="1">
      <c r="A107" s="237"/>
      <c r="B107" s="1619"/>
      <c r="C107" s="264"/>
      <c r="D107" s="270" t="s">
        <v>47</v>
      </c>
      <c r="E107" s="31" t="s">
        <v>1626</v>
      </c>
      <c r="F107" s="240"/>
      <c r="G107" s="240"/>
      <c r="H107" s="240"/>
      <c r="I107" s="240"/>
      <c r="J107" s="240"/>
      <c r="K107" s="240"/>
    </row>
    <row r="108" spans="1:11" ht="15.75" thickBot="1">
      <c r="A108" s="237"/>
      <c r="B108" s="1619"/>
      <c r="C108" s="264"/>
      <c r="D108" s="270" t="s">
        <v>48</v>
      </c>
      <c r="E108" s="819" t="s">
        <v>2013</v>
      </c>
      <c r="F108" s="240"/>
      <c r="G108" s="240"/>
      <c r="H108" s="240"/>
      <c r="I108" s="240"/>
      <c r="J108" s="240"/>
      <c r="K108" s="240"/>
    </row>
    <row r="109" spans="1:11" ht="15.75" thickBot="1">
      <c r="A109" s="237"/>
      <c r="B109" s="1619"/>
      <c r="C109" s="264"/>
      <c r="D109" s="270" t="s">
        <v>49</v>
      </c>
      <c r="E109" s="31" t="s">
        <v>1681</v>
      </c>
      <c r="F109" s="240"/>
      <c r="G109" s="240"/>
      <c r="H109" s="240"/>
      <c r="I109" s="240"/>
      <c r="J109" s="240"/>
      <c r="K109" s="240"/>
    </row>
    <row r="110" spans="1:11" ht="15.75" thickBot="1">
      <c r="A110" s="237"/>
      <c r="B110" s="1620"/>
      <c r="C110" s="336"/>
      <c r="D110" s="270" t="s">
        <v>50</v>
      </c>
      <c r="E110" s="31" t="s">
        <v>1682</v>
      </c>
      <c r="F110" s="240"/>
      <c r="G110" s="240"/>
      <c r="H110" s="240"/>
      <c r="I110" s="240"/>
      <c r="J110" s="240"/>
      <c r="K110" s="240"/>
    </row>
    <row r="111" spans="1:11" ht="15.75" thickBot="1">
      <c r="A111" s="237"/>
      <c r="B111" s="241"/>
      <c r="C111" s="242"/>
      <c r="D111" s="240"/>
      <c r="E111" s="240"/>
      <c r="F111" s="240"/>
      <c r="G111" s="240"/>
      <c r="H111" s="240"/>
      <c r="I111" s="240"/>
      <c r="J111" s="240"/>
      <c r="K111" s="240"/>
    </row>
    <row r="112" spans="1:11" ht="15.75" thickBot="1">
      <c r="A112" s="237"/>
      <c r="B112" s="1627" t="s">
        <v>51</v>
      </c>
      <c r="C112" s="1628"/>
      <c r="D112" s="1628"/>
      <c r="E112" s="1629"/>
      <c r="F112" s="240"/>
      <c r="G112" s="240"/>
      <c r="H112" s="240"/>
      <c r="I112" s="240"/>
      <c r="J112" s="240"/>
      <c r="K112" s="240"/>
    </row>
    <row r="113" spans="1:11" ht="15.75" thickBot="1">
      <c r="A113" s="237"/>
      <c r="B113" s="1618">
        <v>1</v>
      </c>
      <c r="C113" s="264"/>
      <c r="D113" s="281" t="s">
        <v>44</v>
      </c>
      <c r="E113" s="230" t="s">
        <v>52</v>
      </c>
      <c r="F113" s="240"/>
      <c r="G113" s="240"/>
      <c r="H113" s="240"/>
      <c r="I113" s="240"/>
      <c r="J113" s="240"/>
      <c r="K113" s="240"/>
    </row>
    <row r="114" spans="1:11" ht="15.75" thickBot="1">
      <c r="A114" s="237"/>
      <c r="B114" s="1619"/>
      <c r="C114" s="264"/>
      <c r="D114" s="270" t="s">
        <v>45</v>
      </c>
      <c r="E114" s="230" t="s">
        <v>166</v>
      </c>
      <c r="F114" s="240"/>
      <c r="G114" s="240"/>
      <c r="H114" s="240"/>
      <c r="I114" s="240"/>
      <c r="J114" s="240"/>
      <c r="K114" s="240"/>
    </row>
    <row r="115" spans="1:11" ht="15.75" thickBot="1">
      <c r="A115" s="237"/>
      <c r="B115" s="1619"/>
      <c r="C115" s="264"/>
      <c r="D115" s="270" t="s">
        <v>46</v>
      </c>
      <c r="E115" s="307"/>
      <c r="F115" s="240"/>
      <c r="G115" s="240"/>
      <c r="H115" s="240"/>
      <c r="I115" s="240"/>
      <c r="J115" s="240"/>
      <c r="K115" s="240"/>
    </row>
    <row r="116" spans="1:11" ht="15.75" thickBot="1">
      <c r="A116" s="237"/>
      <c r="B116" s="1619"/>
      <c r="C116" s="264"/>
      <c r="D116" s="270" t="s">
        <v>47</v>
      </c>
      <c r="E116" s="307"/>
      <c r="F116" s="240"/>
      <c r="G116" s="240"/>
      <c r="H116" s="240"/>
      <c r="I116" s="240"/>
      <c r="J116" s="240"/>
      <c r="K116" s="240"/>
    </row>
    <row r="117" spans="1:11" ht="15.75" thickBot="1">
      <c r="A117" s="237"/>
      <c r="B117" s="1619"/>
      <c r="C117" s="264"/>
      <c r="D117" s="270" t="s">
        <v>48</v>
      </c>
      <c r="E117" s="307"/>
      <c r="F117" s="240"/>
      <c r="G117" s="240"/>
      <c r="H117" s="240"/>
      <c r="I117" s="240"/>
      <c r="J117" s="240"/>
      <c r="K117" s="240"/>
    </row>
    <row r="118" spans="1:11" ht="15.75" thickBot="1">
      <c r="A118" s="237"/>
      <c r="B118" s="1619"/>
      <c r="C118" s="264"/>
      <c r="D118" s="270" t="s">
        <v>49</v>
      </c>
      <c r="E118" s="307"/>
      <c r="F118" s="240"/>
      <c r="G118" s="240"/>
      <c r="H118" s="240"/>
      <c r="I118" s="240"/>
      <c r="J118" s="240"/>
      <c r="K118" s="240"/>
    </row>
    <row r="119" spans="1:11" ht="15.75" thickBot="1">
      <c r="A119" s="237"/>
      <c r="B119" s="1620"/>
      <c r="C119" s="336"/>
      <c r="D119" s="270" t="s">
        <v>50</v>
      </c>
      <c r="E119" s="307"/>
      <c r="F119" s="240"/>
      <c r="G119" s="240"/>
      <c r="H119" s="240"/>
      <c r="I119" s="240"/>
      <c r="J119" s="240"/>
      <c r="K119" s="240"/>
    </row>
    <row r="120" spans="1:11" ht="15.75" thickBot="1">
      <c r="A120" s="237"/>
      <c r="B120" s="241"/>
      <c r="C120" s="242"/>
      <c r="D120" s="240"/>
      <c r="E120" s="240"/>
      <c r="F120" s="240"/>
      <c r="G120" s="240"/>
      <c r="H120" s="240"/>
      <c r="I120" s="240"/>
      <c r="J120" s="240"/>
      <c r="K120" s="240"/>
    </row>
    <row r="121" spans="1:11" ht="15" customHeight="1" thickBot="1">
      <c r="A121" s="237"/>
      <c r="B121" s="283" t="s">
        <v>54</v>
      </c>
      <c r="C121" s="284"/>
      <c r="D121" s="284"/>
      <c r="E121" s="285"/>
      <c r="F121" s="237"/>
      <c r="G121" s="240"/>
      <c r="H121" s="240"/>
      <c r="I121" s="240"/>
      <c r="J121" s="240"/>
      <c r="K121" s="240"/>
    </row>
    <row r="122" spans="1:11" ht="24.75" thickBot="1">
      <c r="A122" s="237"/>
      <c r="B122" s="277" t="s">
        <v>55</v>
      </c>
      <c r="C122" s="270" t="s">
        <v>56</v>
      </c>
      <c r="D122" s="270" t="s">
        <v>57</v>
      </c>
      <c r="E122" s="270" t="s">
        <v>58</v>
      </c>
      <c r="F122" s="240"/>
      <c r="G122" s="240"/>
      <c r="H122" s="240"/>
      <c r="I122" s="240"/>
      <c r="J122" s="240"/>
      <c r="K122" s="237"/>
    </row>
    <row r="123" spans="1:11" ht="96.75" thickBot="1">
      <c r="A123" s="237"/>
      <c r="B123" s="287">
        <v>42401</v>
      </c>
      <c r="C123" s="270">
        <v>0.01</v>
      </c>
      <c r="D123" s="288" t="s">
        <v>401</v>
      </c>
      <c r="E123" s="270"/>
      <c r="F123" s="240"/>
      <c r="G123" s="240"/>
      <c r="H123" s="240"/>
      <c r="I123" s="240"/>
      <c r="J123" s="240"/>
      <c r="K123" s="237"/>
    </row>
    <row r="124" spans="1:11" ht="15.75" thickBot="1">
      <c r="A124" s="237"/>
      <c r="B124" s="241"/>
      <c r="C124" s="242"/>
      <c r="D124" s="240"/>
      <c r="E124" s="240"/>
      <c r="F124" s="240"/>
      <c r="G124" s="240"/>
      <c r="H124" s="240"/>
      <c r="I124" s="240"/>
      <c r="J124" s="240"/>
      <c r="K124" s="240"/>
    </row>
    <row r="125" spans="1:11" ht="15.75" thickBot="1">
      <c r="A125" s="237"/>
      <c r="B125" s="327" t="s">
        <v>60</v>
      </c>
      <c r="C125" s="290"/>
      <c r="D125" s="240"/>
      <c r="E125" s="240"/>
      <c r="F125" s="240"/>
      <c r="G125" s="240"/>
      <c r="H125" s="240"/>
      <c r="I125" s="240"/>
      <c r="J125" s="240"/>
      <c r="K125" s="240"/>
    </row>
    <row r="126" spans="1:11">
      <c r="A126" s="237"/>
      <c r="B126" s="1705" t="s">
        <v>402</v>
      </c>
      <c r="C126" s="1706"/>
      <c r="D126" s="1706"/>
      <c r="E126" s="1706"/>
      <c r="F126" s="1706"/>
      <c r="G126" s="1706"/>
      <c r="H126" s="1706"/>
      <c r="I126" s="1706"/>
      <c r="J126" s="1706"/>
      <c r="K126" s="240"/>
    </row>
    <row r="127" spans="1:11" ht="24" customHeight="1">
      <c r="A127" s="237"/>
      <c r="B127" s="1705"/>
      <c r="C127" s="1706"/>
      <c r="D127" s="1706"/>
      <c r="E127" s="1706"/>
      <c r="F127" s="1706"/>
      <c r="G127" s="1706"/>
      <c r="H127" s="1706"/>
      <c r="I127" s="1706"/>
      <c r="J127" s="1706"/>
      <c r="K127" s="240"/>
    </row>
    <row r="128" spans="1:11">
      <c r="A128" s="237"/>
      <c r="B128" s="1707"/>
      <c r="C128" s="1708"/>
      <c r="D128" s="1708"/>
      <c r="E128" s="1708"/>
      <c r="F128" s="1708"/>
      <c r="G128" s="1708"/>
      <c r="H128" s="1708"/>
      <c r="I128" s="1708"/>
      <c r="J128" s="1708"/>
      <c r="K128" s="240"/>
    </row>
    <row r="129" spans="1:11" ht="15.75" thickBot="1">
      <c r="A129" s="237"/>
      <c r="B129" s="240"/>
      <c r="C129" s="257"/>
      <c r="D129" s="240"/>
      <c r="E129" s="240"/>
      <c r="F129" s="240"/>
      <c r="G129" s="240"/>
      <c r="H129" s="240"/>
      <c r="I129" s="240"/>
      <c r="J129" s="240"/>
      <c r="K129" s="240"/>
    </row>
    <row r="130" spans="1:11" ht="15.75" thickBot="1">
      <c r="A130" s="237"/>
      <c r="B130" s="1627" t="s">
        <v>61</v>
      </c>
      <c r="C130" s="1628"/>
      <c r="D130" s="1629"/>
      <c r="E130" s="240"/>
      <c r="F130" s="240"/>
      <c r="G130" s="240"/>
      <c r="H130" s="240"/>
      <c r="I130" s="240"/>
      <c r="J130" s="240"/>
      <c r="K130" s="240"/>
    </row>
    <row r="131" spans="1:11" ht="108.75" thickBot="1">
      <c r="A131" s="237"/>
      <c r="B131" s="277" t="s">
        <v>62</v>
      </c>
      <c r="C131" s="336"/>
      <c r="D131" s="270" t="s">
        <v>357</v>
      </c>
      <c r="E131" s="240"/>
      <c r="F131" s="240"/>
      <c r="G131" s="240"/>
      <c r="H131" s="240"/>
      <c r="I131" s="240"/>
      <c r="J131" s="240"/>
      <c r="K131" s="240"/>
    </row>
    <row r="132" spans="1:11">
      <c r="A132" s="237"/>
      <c r="B132" s="1618" t="s">
        <v>64</v>
      </c>
      <c r="C132" s="264"/>
      <c r="D132" s="304" t="s">
        <v>65</v>
      </c>
      <c r="E132" s="240"/>
      <c r="F132" s="240"/>
      <c r="G132" s="240"/>
      <c r="H132" s="240"/>
      <c r="I132" s="240"/>
      <c r="J132" s="240"/>
      <c r="K132" s="240"/>
    </row>
    <row r="133" spans="1:11" ht="84">
      <c r="A133" s="237"/>
      <c r="B133" s="1619"/>
      <c r="C133" s="264"/>
      <c r="D133" s="305" t="s">
        <v>358</v>
      </c>
      <c r="E133" s="240"/>
      <c r="F133" s="240"/>
      <c r="G133" s="240"/>
      <c r="H133" s="240"/>
      <c r="I133" s="240"/>
      <c r="J133" s="240"/>
      <c r="K133" s="240"/>
    </row>
    <row r="134" spans="1:11" ht="36">
      <c r="A134" s="237"/>
      <c r="B134" s="1619"/>
      <c r="C134" s="264"/>
      <c r="D134" s="305" t="s">
        <v>359</v>
      </c>
      <c r="E134" s="240"/>
      <c r="F134" s="240"/>
      <c r="G134" s="240"/>
      <c r="H134" s="240"/>
      <c r="I134" s="240"/>
      <c r="J134" s="240"/>
      <c r="K134" s="240"/>
    </row>
    <row r="135" spans="1:11">
      <c r="A135" s="237"/>
      <c r="B135" s="1619"/>
      <c r="C135" s="264"/>
      <c r="D135" s="304" t="s">
        <v>68</v>
      </c>
      <c r="E135" s="240"/>
      <c r="F135" s="240"/>
      <c r="G135" s="240"/>
      <c r="H135" s="240"/>
      <c r="I135" s="240"/>
      <c r="J135" s="240"/>
      <c r="K135" s="240"/>
    </row>
    <row r="136" spans="1:11">
      <c r="A136" s="237"/>
      <c r="B136" s="1619"/>
      <c r="C136" s="264"/>
      <c r="D136" s="305" t="s">
        <v>70</v>
      </c>
      <c r="E136" s="240"/>
      <c r="F136" s="240"/>
      <c r="G136" s="240"/>
      <c r="H136" s="240"/>
      <c r="I136" s="240"/>
      <c r="J136" s="240"/>
      <c r="K136" s="240"/>
    </row>
    <row r="137" spans="1:11">
      <c r="A137" s="237"/>
      <c r="B137" s="1619"/>
      <c r="C137" s="264"/>
      <c r="D137" s="305" t="s">
        <v>360</v>
      </c>
      <c r="E137" s="240"/>
      <c r="F137" s="240"/>
      <c r="G137" s="240"/>
      <c r="H137" s="240"/>
      <c r="I137" s="240"/>
      <c r="J137" s="240"/>
      <c r="K137" s="240"/>
    </row>
    <row r="138" spans="1:11">
      <c r="A138" s="237"/>
      <c r="B138" s="1619"/>
      <c r="C138" s="264"/>
      <c r="D138" s="304" t="s">
        <v>296</v>
      </c>
      <c r="E138" s="240"/>
      <c r="F138" s="240"/>
      <c r="G138" s="240"/>
      <c r="H138" s="240"/>
      <c r="I138" s="240"/>
      <c r="J138" s="240"/>
      <c r="K138" s="240"/>
    </row>
    <row r="139" spans="1:11" ht="36">
      <c r="A139" s="237"/>
      <c r="B139" s="1619"/>
      <c r="C139" s="264"/>
      <c r="D139" s="305" t="s">
        <v>361</v>
      </c>
      <c r="E139" s="240"/>
      <c r="F139" s="240"/>
      <c r="G139" s="240"/>
      <c r="H139" s="240"/>
      <c r="I139" s="240"/>
      <c r="J139" s="240"/>
      <c r="K139" s="240"/>
    </row>
    <row r="140" spans="1:11" ht="36">
      <c r="A140" s="237"/>
      <c r="B140" s="1619"/>
      <c r="C140" s="264"/>
      <c r="D140" s="305" t="s">
        <v>362</v>
      </c>
      <c r="E140" s="240"/>
      <c r="F140" s="240"/>
      <c r="G140" s="240"/>
      <c r="H140" s="240"/>
      <c r="I140" s="240"/>
      <c r="J140" s="240"/>
      <c r="K140" s="240"/>
    </row>
    <row r="141" spans="1:11" ht="15.75" thickBot="1">
      <c r="A141" s="237"/>
      <c r="B141" s="1620"/>
      <c r="C141" s="336"/>
      <c r="D141" s="270" t="s">
        <v>363</v>
      </c>
      <c r="E141" s="240"/>
      <c r="F141" s="240"/>
      <c r="G141" s="240"/>
      <c r="H141" s="240"/>
      <c r="I141" s="240"/>
      <c r="J141" s="240"/>
      <c r="K141" s="240"/>
    </row>
    <row r="142" spans="1:11" ht="24.75" thickBot="1">
      <c r="A142" s="237"/>
      <c r="B142" s="277" t="s">
        <v>77</v>
      </c>
      <c r="C142" s="336"/>
      <c r="D142" s="270"/>
      <c r="E142" s="240"/>
      <c r="F142" s="240"/>
      <c r="G142" s="240"/>
      <c r="H142" s="240"/>
      <c r="I142" s="240"/>
      <c r="J142" s="240"/>
      <c r="K142" s="240"/>
    </row>
    <row r="143" spans="1:11" ht="15.75" thickBot="1">
      <c r="A143" s="237"/>
      <c r="B143" s="310"/>
      <c r="C143" s="296"/>
      <c r="D143" s="240"/>
      <c r="E143" s="240"/>
      <c r="F143" s="240"/>
      <c r="G143" s="240"/>
      <c r="H143" s="240"/>
      <c r="I143" s="240"/>
      <c r="J143" s="240"/>
      <c r="K143" s="240"/>
    </row>
    <row r="144" spans="1:11" ht="108">
      <c r="A144" s="237"/>
      <c r="B144" s="1618" t="s">
        <v>78</v>
      </c>
      <c r="C144" s="335"/>
      <c r="D144" s="263" t="s">
        <v>364</v>
      </c>
      <c r="E144" s="240"/>
      <c r="F144" s="240"/>
      <c r="G144" s="240"/>
      <c r="H144" s="240"/>
      <c r="I144" s="240"/>
      <c r="J144" s="240"/>
      <c r="K144" s="240"/>
    </row>
    <row r="145" spans="1:11" ht="144">
      <c r="A145" s="237"/>
      <c r="B145" s="1619"/>
      <c r="C145" s="264"/>
      <c r="D145" s="305" t="s">
        <v>365</v>
      </c>
      <c r="E145" s="240"/>
      <c r="F145" s="240"/>
      <c r="G145" s="240"/>
      <c r="H145" s="240"/>
      <c r="I145" s="240"/>
      <c r="J145" s="240"/>
      <c r="K145" s="240"/>
    </row>
    <row r="146" spans="1:11" ht="192">
      <c r="A146" s="237"/>
      <c r="B146" s="1619"/>
      <c r="C146" s="264"/>
      <c r="D146" s="305" t="s">
        <v>366</v>
      </c>
      <c r="E146" s="240"/>
      <c r="F146" s="240"/>
      <c r="G146" s="240"/>
      <c r="H146" s="240"/>
      <c r="I146" s="240"/>
      <c r="J146" s="240"/>
      <c r="K146" s="240"/>
    </row>
    <row r="147" spans="1:11" ht="72">
      <c r="A147" s="237"/>
      <c r="B147" s="1619"/>
      <c r="C147" s="264"/>
      <c r="D147" s="305" t="s">
        <v>367</v>
      </c>
      <c r="E147" s="240"/>
      <c r="F147" s="240"/>
      <c r="G147" s="240"/>
      <c r="H147" s="240"/>
      <c r="I147" s="240"/>
      <c r="J147" s="240"/>
      <c r="K147" s="240"/>
    </row>
    <row r="148" spans="1:11" ht="120.75" thickBot="1">
      <c r="A148" s="237"/>
      <c r="B148" s="1620"/>
      <c r="C148" s="336"/>
      <c r="D148" s="270" t="s">
        <v>368</v>
      </c>
      <c r="E148" s="240"/>
      <c r="F148" s="240"/>
      <c r="G148" s="240"/>
      <c r="H148" s="240"/>
      <c r="I148" s="240"/>
      <c r="J148" s="240"/>
      <c r="K148" s="240"/>
    </row>
    <row r="149" spans="1:11">
      <c r="A149" s="237"/>
      <c r="B149" s="1618" t="s">
        <v>95</v>
      </c>
      <c r="C149" s="264"/>
      <c r="D149" s="304"/>
      <c r="E149" s="240"/>
      <c r="F149" s="240"/>
      <c r="G149" s="240"/>
      <c r="H149" s="240"/>
      <c r="I149" s="240"/>
      <c r="J149" s="240"/>
      <c r="K149" s="240"/>
    </row>
    <row r="150" spans="1:11" ht="36">
      <c r="A150" s="237"/>
      <c r="B150" s="1619"/>
      <c r="C150" s="264"/>
      <c r="D150" s="304" t="s">
        <v>356</v>
      </c>
      <c r="E150" s="240"/>
      <c r="F150" s="240"/>
      <c r="G150" s="240"/>
      <c r="H150" s="240"/>
      <c r="I150" s="240"/>
      <c r="J150" s="240"/>
      <c r="K150" s="240"/>
    </row>
    <row r="151" spans="1:11">
      <c r="A151" s="237"/>
      <c r="B151" s="1619"/>
      <c r="C151" s="264"/>
      <c r="D151" s="306"/>
      <c r="E151" s="240"/>
      <c r="F151" s="240"/>
      <c r="G151" s="240"/>
      <c r="H151" s="240"/>
      <c r="I151" s="240"/>
      <c r="J151" s="240"/>
      <c r="K151" s="240"/>
    </row>
    <row r="152" spans="1:11">
      <c r="A152" s="237"/>
      <c r="B152" s="1619"/>
      <c r="C152" s="264"/>
      <c r="D152" s="305" t="s">
        <v>96</v>
      </c>
      <c r="E152" s="240"/>
      <c r="F152" s="240"/>
      <c r="G152" s="240"/>
      <c r="H152" s="240"/>
      <c r="I152" s="240"/>
      <c r="J152" s="240"/>
      <c r="K152" s="240"/>
    </row>
    <row r="153" spans="1:11" ht="49.5">
      <c r="A153" s="237"/>
      <c r="B153" s="1619"/>
      <c r="C153" s="264"/>
      <c r="D153" s="305" t="s">
        <v>369</v>
      </c>
      <c r="E153" s="240"/>
      <c r="F153" s="240"/>
      <c r="G153" s="240"/>
      <c r="H153" s="240"/>
      <c r="I153" s="240"/>
      <c r="J153" s="240"/>
      <c r="K153" s="240"/>
    </row>
    <row r="154" spans="1:11" ht="49.5">
      <c r="A154" s="237"/>
      <c r="B154" s="1619"/>
      <c r="C154" s="264"/>
      <c r="D154" s="305" t="s">
        <v>370</v>
      </c>
      <c r="E154" s="240"/>
      <c r="F154" s="240"/>
      <c r="G154" s="240"/>
      <c r="H154" s="240"/>
      <c r="I154" s="240"/>
      <c r="J154" s="240"/>
      <c r="K154" s="240"/>
    </row>
    <row r="155" spans="1:11" ht="50.25" thickBot="1">
      <c r="A155" s="237"/>
      <c r="B155" s="1620"/>
      <c r="C155" s="336"/>
      <c r="D155" s="270" t="s">
        <v>371</v>
      </c>
      <c r="E155" s="240"/>
      <c r="F155" s="240"/>
      <c r="G155" s="240"/>
      <c r="H155" s="240"/>
      <c r="I155" s="240"/>
      <c r="J155" s="240"/>
      <c r="K155" s="240"/>
    </row>
  </sheetData>
  <sheetProtection sheet="1" objects="1" scenarios="1" insertRows="0"/>
  <mergeCells count="55">
    <mergeCell ref="J73:J74"/>
    <mergeCell ref="B11:D11"/>
    <mergeCell ref="F11:S11"/>
    <mergeCell ref="F12:S12"/>
    <mergeCell ref="E13:R13"/>
    <mergeCell ref="E14:R14"/>
    <mergeCell ref="D50:J50"/>
    <mergeCell ref="D38:J38"/>
    <mergeCell ref="D47:J47"/>
    <mergeCell ref="F17:F18"/>
    <mergeCell ref="D25:I25"/>
    <mergeCell ref="E17:E18"/>
    <mergeCell ref="G17:G18"/>
    <mergeCell ref="B126:J127"/>
    <mergeCell ref="B128:J128"/>
    <mergeCell ref="B130:D130"/>
    <mergeCell ref="B132:B141"/>
    <mergeCell ref="B144:B14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A1:P1"/>
    <mergeCell ref="A2:P2"/>
    <mergeCell ref="A3:P3"/>
    <mergeCell ref="A4:D4"/>
    <mergeCell ref="A5:P5"/>
  </mergeCells>
  <conditionalFormatting sqref="F11">
    <cfRule type="notContainsBlanks" dxfId="96" priority="4">
      <formula>LEN(TRIM(F11))&gt;0</formula>
    </cfRule>
  </conditionalFormatting>
  <conditionalFormatting sqref="F12:S12">
    <cfRule type="expression" dxfId="95" priority="2">
      <formula>E12="NO SE REPORTA"</formula>
    </cfRule>
    <cfRule type="expression" dxfId="94" priority="3">
      <formula>E11="NO APLICA"</formula>
    </cfRule>
  </conditionalFormatting>
  <conditionalFormatting sqref="E13:R13">
    <cfRule type="expression" dxfId="93"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H63">
      <formula1>0</formula1>
    </dataValidation>
    <dataValidation type="whole" operator="greaterThanOrEqual" allowBlank="1" showInputMessage="1" showErrorMessage="1" errorTitle="ERROR" error="Valor en HECTAREAS (sin decimales)_x000a_" sqref="E20:F22 E40:H45 G75:H88 E63:G68 H64: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 ref="E108" r:id="rId1"/>
  </hyperlinks>
  <pageMargins left="0.25" right="0.25" top="0.75" bottom="0.75" header="0.3" footer="0.3"/>
  <pageSetup paperSize="178"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topLeftCell="B10" zoomScale="98" zoomScaleNormal="98" workbookViewId="0">
      <selection activeCell="D12" sqref="D12"/>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403</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44"/>
      <c r="D7" s="240"/>
      <c r="E7" s="245"/>
      <c r="F7" s="240" t="s">
        <v>134</v>
      </c>
      <c r="G7" s="240"/>
      <c r="H7" s="240"/>
      <c r="I7" s="240"/>
      <c r="J7" s="240"/>
      <c r="K7" s="240"/>
    </row>
    <row r="8" spans="1:21" ht="15.75" thickBot="1">
      <c r="A8" s="237"/>
      <c r="B8" s="253" t="s">
        <v>1203</v>
      </c>
      <c r="C8" s="254">
        <v>2018</v>
      </c>
      <c r="D8" s="249" t="str">
        <f>IF(E10="NO APLICA","NO APLICA",IF(E11="NO SE REPORTA","SIN INFORMACION",+F20))</f>
        <v>SIN INFORMACION</v>
      </c>
      <c r="E8" s="256"/>
      <c r="F8" s="240" t="s">
        <v>135</v>
      </c>
      <c r="G8" s="240"/>
      <c r="H8" s="240"/>
      <c r="I8" s="240"/>
      <c r="J8" s="240"/>
      <c r="K8" s="240"/>
    </row>
    <row r="9" spans="1:21">
      <c r="A9" s="237"/>
      <c r="B9" s="483" t="s">
        <v>1204</v>
      </c>
      <c r="C9" s="257"/>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1261</v>
      </c>
      <c r="F11" s="1589" t="s">
        <v>1804</v>
      </c>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c>
      <c r="E12" s="1591" t="str">
        <f>'Anexo 1 Matriz Inf Gestión'!E9:H9</f>
        <v>Proyecto No 1.1.Planificación, Ordenamiento e Información Ambiental Territorial (1)</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1808</v>
      </c>
      <c r="F13" s="1593"/>
      <c r="G13" s="1593"/>
      <c r="H13" s="1593"/>
      <c r="I13" s="1593"/>
      <c r="J13" s="1593"/>
      <c r="K13" s="1593"/>
      <c r="L13" s="1593"/>
      <c r="M13" s="1593"/>
      <c r="N13" s="1593"/>
      <c r="O13" s="1593"/>
      <c r="P13" s="1593"/>
      <c r="Q13" s="1593"/>
      <c r="R13" s="1594"/>
    </row>
    <row r="14" spans="1:21" s="403" customFormat="1" ht="6.95" customHeight="1" thickBot="1">
      <c r="A14" s="237"/>
      <c r="B14" s="483"/>
      <c r="C14" s="257"/>
      <c r="D14" s="240"/>
      <c r="E14" s="240"/>
      <c r="F14" s="240"/>
      <c r="G14" s="240"/>
      <c r="H14" s="240"/>
      <c r="I14" s="240"/>
      <c r="J14" s="240"/>
      <c r="K14" s="240"/>
    </row>
    <row r="15" spans="1:21" ht="15.75" thickTop="1">
      <c r="A15" s="237"/>
      <c r="B15" s="1715" t="s">
        <v>2</v>
      </c>
      <c r="C15" s="260"/>
      <c r="D15" s="1609" t="s">
        <v>344</v>
      </c>
      <c r="E15" s="1610"/>
      <c r="F15" s="1610"/>
      <c r="G15" s="1610"/>
      <c r="H15" s="1610"/>
      <c r="I15" s="1610"/>
      <c r="J15" s="1611"/>
      <c r="K15" s="240"/>
    </row>
    <row r="16" spans="1:21" ht="15.75" thickBot="1">
      <c r="A16" s="237"/>
      <c r="B16" s="1619"/>
      <c r="C16" s="268"/>
      <c r="D16" s="1603" t="s">
        <v>418</v>
      </c>
      <c r="E16" s="1604"/>
      <c r="F16" s="1604"/>
      <c r="G16" s="1604"/>
      <c r="H16" s="1604"/>
      <c r="I16" s="1604"/>
      <c r="J16" s="1605"/>
      <c r="K16" s="240"/>
    </row>
    <row r="17" spans="1:11" ht="24.75" thickBot="1">
      <c r="A17" s="237"/>
      <c r="B17" s="1619"/>
      <c r="C17" s="264"/>
      <c r="D17" s="272" t="s">
        <v>419</v>
      </c>
      <c r="E17" s="279" t="s">
        <v>420</v>
      </c>
      <c r="F17" s="272" t="s">
        <v>25</v>
      </c>
      <c r="G17" s="272" t="s">
        <v>26</v>
      </c>
      <c r="H17" s="272" t="s">
        <v>27</v>
      </c>
      <c r="I17" s="272" t="s">
        <v>28</v>
      </c>
      <c r="J17" s="272" t="s">
        <v>157</v>
      </c>
      <c r="K17" s="240"/>
    </row>
    <row r="18" spans="1:11" ht="36.75" thickBot="1">
      <c r="A18" s="237"/>
      <c r="B18" s="1619"/>
      <c r="C18" s="264"/>
      <c r="D18" s="270" t="s">
        <v>421</v>
      </c>
      <c r="E18" s="516">
        <v>0</v>
      </c>
      <c r="F18" s="210">
        <v>0</v>
      </c>
      <c r="G18" s="210">
        <v>0</v>
      </c>
      <c r="H18" s="210">
        <v>0</v>
      </c>
      <c r="I18" s="210">
        <v>1</v>
      </c>
      <c r="J18" s="275">
        <f>SUM(F18:I18)</f>
        <v>1</v>
      </c>
      <c r="K18" s="19"/>
    </row>
    <row r="19" spans="1:11" ht="36.75" thickBot="1">
      <c r="A19" s="237"/>
      <c r="B19" s="1619"/>
      <c r="C19" s="264"/>
      <c r="D19" s="270" t="s">
        <v>422</v>
      </c>
      <c r="E19" s="210">
        <v>0</v>
      </c>
      <c r="F19" s="210">
        <v>0</v>
      </c>
      <c r="G19" s="210">
        <v>0</v>
      </c>
      <c r="H19" s="210">
        <v>0</v>
      </c>
      <c r="I19" s="210">
        <v>1</v>
      </c>
      <c r="J19" s="275">
        <f>SUM(F19:I19)</f>
        <v>1</v>
      </c>
      <c r="K19" s="19"/>
    </row>
    <row r="20" spans="1:11" ht="36.75" thickBot="1">
      <c r="A20" s="237"/>
      <c r="B20" s="1619"/>
      <c r="C20" s="336"/>
      <c r="D20" s="270" t="s">
        <v>403</v>
      </c>
      <c r="E20" s="192" t="str">
        <f t="shared" ref="E20:J20" si="0">IFERROR(E19/E18,"N.A.")</f>
        <v>N.A.</v>
      </c>
      <c r="F20" s="192" t="str">
        <f t="shared" si="0"/>
        <v>N.A.</v>
      </c>
      <c r="G20" s="192" t="str">
        <f t="shared" si="0"/>
        <v>N.A.</v>
      </c>
      <c r="H20" s="192" t="str">
        <f t="shared" si="0"/>
        <v>N.A.</v>
      </c>
      <c r="I20" s="192">
        <f t="shared" si="0"/>
        <v>1</v>
      </c>
      <c r="J20" s="192">
        <f t="shared" si="0"/>
        <v>1</v>
      </c>
      <c r="K20" s="19"/>
    </row>
    <row r="21" spans="1:11" ht="11.1" customHeight="1" thickBot="1">
      <c r="A21" s="237"/>
      <c r="B21" s="329"/>
      <c r="C21" s="260"/>
      <c r="D21" s="1603" t="s">
        <v>1207</v>
      </c>
      <c r="E21" s="1604"/>
      <c r="F21" s="1604"/>
      <c r="G21" s="1604"/>
      <c r="H21" s="1604"/>
      <c r="I21" s="1604"/>
      <c r="J21" s="1605"/>
      <c r="K21" s="240"/>
    </row>
    <row r="22" spans="1:11" ht="36.75" thickBot="1">
      <c r="A22" s="237"/>
      <c r="B22" s="329"/>
      <c r="C22" s="268"/>
      <c r="D22" s="291" t="s">
        <v>1208</v>
      </c>
      <c r="E22" s="259" t="s">
        <v>1209</v>
      </c>
      <c r="F22" s="263" t="s">
        <v>395</v>
      </c>
      <c r="G22" s="392"/>
      <c r="H22" s="393"/>
      <c r="I22" s="393"/>
      <c r="J22" s="394"/>
      <c r="K22" s="240"/>
    </row>
    <row r="23" spans="1:11" s="195" customFormat="1" ht="15.75" thickBot="1">
      <c r="B23" s="228"/>
      <c r="C23" s="231"/>
      <c r="D23" s="385" t="s">
        <v>1643</v>
      </c>
      <c r="E23" s="328"/>
      <c r="F23" s="328"/>
      <c r="G23" s="386"/>
      <c r="H23" s="387"/>
      <c r="I23" s="387"/>
      <c r="J23" s="388"/>
      <c r="K23" s="19"/>
    </row>
    <row r="24" spans="1:11" s="195" customFormat="1" ht="15.75" thickBot="1">
      <c r="B24" s="228"/>
      <c r="C24" s="231"/>
      <c r="D24" s="385"/>
      <c r="E24" s="328"/>
      <c r="F24" s="328"/>
      <c r="G24" s="386"/>
      <c r="H24" s="387"/>
      <c r="I24" s="387"/>
      <c r="J24" s="388"/>
      <c r="K24" s="19"/>
    </row>
    <row r="25" spans="1:11" s="195" customFormat="1" ht="15.75" thickBot="1">
      <c r="B25" s="228"/>
      <c r="C25" s="231"/>
      <c r="D25" s="385"/>
      <c r="E25" s="328"/>
      <c r="F25" s="328"/>
      <c r="G25" s="386"/>
      <c r="H25" s="387"/>
      <c r="I25" s="387"/>
      <c r="J25" s="388"/>
      <c r="K25" s="19"/>
    </row>
    <row r="26" spans="1:11" s="195" customFormat="1" ht="15.75" thickBot="1">
      <c r="B26" s="228"/>
      <c r="C26" s="231"/>
      <c r="D26" s="385"/>
      <c r="E26" s="328"/>
      <c r="F26" s="328"/>
      <c r="G26" s="386"/>
      <c r="H26" s="387"/>
      <c r="I26" s="387"/>
      <c r="J26" s="388"/>
      <c r="K26" s="19"/>
    </row>
    <row r="27" spans="1:11" s="195" customFormat="1" ht="15.75" thickBot="1">
      <c r="B27" s="228"/>
      <c r="C27" s="231"/>
      <c r="D27" s="385"/>
      <c r="E27" s="328"/>
      <c r="F27" s="328"/>
      <c r="G27" s="386"/>
      <c r="H27" s="387"/>
      <c r="I27" s="387"/>
      <c r="J27" s="388"/>
      <c r="K27" s="19"/>
    </row>
    <row r="28" spans="1:11" s="195" customFormat="1" ht="15.75" thickBot="1">
      <c r="B28" s="228"/>
      <c r="C28" s="231"/>
      <c r="D28" s="385"/>
      <c r="E28" s="328"/>
      <c r="F28" s="328"/>
      <c r="G28" s="386"/>
      <c r="H28" s="387"/>
      <c r="I28" s="387"/>
      <c r="J28" s="388"/>
      <c r="K28" s="19"/>
    </row>
    <row r="29" spans="1:11" s="195" customFormat="1" ht="15.75" thickBot="1">
      <c r="B29" s="228"/>
      <c r="C29" s="231"/>
      <c r="D29" s="385"/>
      <c r="E29" s="328"/>
      <c r="F29" s="328"/>
      <c r="G29" s="386"/>
      <c r="H29" s="387"/>
      <c r="I29" s="387"/>
      <c r="J29" s="388"/>
      <c r="K29" s="19"/>
    </row>
    <row r="30" spans="1:11" s="195" customFormat="1" ht="15.75" thickBot="1">
      <c r="B30" s="228"/>
      <c r="C30" s="231"/>
      <c r="D30" s="385"/>
      <c r="E30" s="328"/>
      <c r="F30" s="328"/>
      <c r="G30" s="386"/>
      <c r="H30" s="387"/>
      <c r="I30" s="387"/>
      <c r="J30" s="388"/>
      <c r="K30" s="19"/>
    </row>
    <row r="31" spans="1:11" s="195" customFormat="1" ht="15.75" thickBot="1">
      <c r="B31" s="228"/>
      <c r="C31" s="231"/>
      <c r="D31" s="385"/>
      <c r="E31" s="328"/>
      <c r="F31" s="328"/>
      <c r="G31" s="386"/>
      <c r="H31" s="387"/>
      <c r="I31" s="387"/>
      <c r="J31" s="388"/>
      <c r="K31" s="19"/>
    </row>
    <row r="32" spans="1:11" s="195" customFormat="1" ht="15.75" thickBot="1">
      <c r="B32" s="228"/>
      <c r="C32" s="231"/>
      <c r="D32" s="385"/>
      <c r="E32" s="328"/>
      <c r="F32" s="328"/>
      <c r="G32" s="386"/>
      <c r="H32" s="387"/>
      <c r="I32" s="387"/>
      <c r="J32" s="388"/>
      <c r="K32" s="19"/>
    </row>
    <row r="33" spans="1:11" s="195" customFormat="1" ht="15.75" thickBot="1">
      <c r="B33" s="228"/>
      <c r="C33" s="231"/>
      <c r="D33" s="31"/>
      <c r="E33" s="31"/>
      <c r="F33" s="31"/>
      <c r="G33" s="386"/>
      <c r="H33" s="387"/>
      <c r="I33" s="387"/>
      <c r="J33" s="388"/>
    </row>
    <row r="34" spans="1:11" s="195" customFormat="1" ht="15.75" thickBot="1">
      <c r="B34" s="228"/>
      <c r="C34" s="231"/>
      <c r="D34" s="31"/>
      <c r="E34" s="31"/>
      <c r="F34" s="31"/>
      <c r="G34" s="386"/>
      <c r="H34" s="387"/>
      <c r="I34" s="387"/>
      <c r="J34" s="388"/>
    </row>
    <row r="35" spans="1:11" s="195" customFormat="1" ht="15.75" thickBot="1">
      <c r="B35" s="229"/>
      <c r="C35" s="232"/>
      <c r="D35" s="31"/>
      <c r="E35" s="31"/>
      <c r="F35" s="31"/>
      <c r="G35" s="389"/>
      <c r="H35" s="390"/>
      <c r="I35" s="390"/>
      <c r="J35" s="391"/>
    </row>
    <row r="36" spans="1:11" ht="15.75" thickBot="1">
      <c r="A36" s="237"/>
      <c r="B36" s="277" t="s">
        <v>39</v>
      </c>
      <c r="C36" s="278"/>
      <c r="D36" s="1621" t="s">
        <v>423</v>
      </c>
      <c r="E36" s="1622"/>
      <c r="F36" s="1622"/>
      <c r="G36" s="1622"/>
      <c r="H36" s="1622"/>
      <c r="I36" s="1622"/>
      <c r="J36" s="1623"/>
      <c r="K36" s="237"/>
    </row>
    <row r="37" spans="1:11" ht="24.75" thickBot="1">
      <c r="A37" s="237"/>
      <c r="B37" s="277" t="s">
        <v>41</v>
      </c>
      <c r="C37" s="278"/>
      <c r="D37" s="1621" t="s">
        <v>354</v>
      </c>
      <c r="E37" s="1622"/>
      <c r="F37" s="1622"/>
      <c r="G37" s="1622"/>
      <c r="H37" s="1622"/>
      <c r="I37" s="1622"/>
      <c r="J37" s="1623"/>
      <c r="K37" s="237"/>
    </row>
    <row r="38" spans="1:11" ht="15.75" thickBot="1">
      <c r="A38" s="237"/>
      <c r="B38" s="368"/>
      <c r="C38" s="395"/>
      <c r="D38" s="368"/>
      <c r="E38" s="368"/>
      <c r="F38" s="368"/>
      <c r="G38" s="368"/>
      <c r="H38" s="368"/>
      <c r="I38" s="368"/>
      <c r="J38" s="368"/>
      <c r="K38" s="240"/>
    </row>
    <row r="39" spans="1:11" ht="24" customHeight="1" thickBot="1">
      <c r="A39" s="237"/>
      <c r="B39" s="1627" t="s">
        <v>43</v>
      </c>
      <c r="C39" s="1628"/>
      <c r="D39" s="1628"/>
      <c r="E39" s="1629"/>
      <c r="F39" s="240"/>
      <c r="G39" s="240"/>
      <c r="H39" s="240"/>
      <c r="I39" s="240"/>
      <c r="J39" s="240"/>
      <c r="K39" s="240"/>
    </row>
    <row r="40" spans="1:11" ht="15.75" thickBot="1">
      <c r="A40" s="237"/>
      <c r="B40" s="1618">
        <v>1</v>
      </c>
      <c r="C40" s="264"/>
      <c r="D40" s="281" t="s">
        <v>44</v>
      </c>
      <c r="E40" s="31" t="s">
        <v>1616</v>
      </c>
      <c r="F40" s="240"/>
      <c r="G40" s="240"/>
      <c r="H40" s="240"/>
      <c r="I40" s="240"/>
      <c r="J40" s="240"/>
      <c r="K40" s="240"/>
    </row>
    <row r="41" spans="1:11" ht="15.75" thickBot="1">
      <c r="A41" s="237"/>
      <c r="B41" s="1619"/>
      <c r="C41" s="264"/>
      <c r="D41" s="270" t="s">
        <v>45</v>
      </c>
      <c r="E41" s="31" t="s">
        <v>1814</v>
      </c>
      <c r="F41" s="240"/>
      <c r="G41" s="240"/>
      <c r="H41" s="240"/>
      <c r="I41" s="240"/>
      <c r="J41" s="240"/>
      <c r="K41" s="240"/>
    </row>
    <row r="42" spans="1:11" ht="15.75" thickBot="1">
      <c r="A42" s="237"/>
      <c r="B42" s="1619"/>
      <c r="C42" s="264"/>
      <c r="D42" s="270" t="s">
        <v>46</v>
      </c>
      <c r="E42" s="31" t="s">
        <v>1639</v>
      </c>
      <c r="F42" s="240"/>
      <c r="G42" s="240"/>
      <c r="H42" s="240"/>
      <c r="I42" s="240"/>
      <c r="J42" s="240"/>
      <c r="K42" s="240"/>
    </row>
    <row r="43" spans="1:11" ht="15.75" thickBot="1">
      <c r="A43" s="237"/>
      <c r="B43" s="1619"/>
      <c r="C43" s="264"/>
      <c r="D43" s="270" t="s">
        <v>47</v>
      </c>
      <c r="E43" s="31" t="s">
        <v>1619</v>
      </c>
      <c r="F43" s="240"/>
      <c r="G43" s="240"/>
      <c r="H43" s="240"/>
      <c r="I43" s="240"/>
      <c r="J43" s="240"/>
      <c r="K43" s="240"/>
    </row>
    <row r="44" spans="1:11" ht="15.75" thickBot="1">
      <c r="A44" s="237"/>
      <c r="B44" s="1619"/>
      <c r="C44" s="264"/>
      <c r="D44" s="270" t="s">
        <v>48</v>
      </c>
      <c r="E44" s="819" t="s">
        <v>1815</v>
      </c>
      <c r="F44" s="240"/>
      <c r="G44" s="240"/>
      <c r="H44" s="240"/>
      <c r="I44" s="240"/>
      <c r="J44" s="240"/>
      <c r="K44" s="240"/>
    </row>
    <row r="45" spans="1:11" ht="15.75" thickBot="1">
      <c r="A45" s="237"/>
      <c r="B45" s="1619"/>
      <c r="C45" s="264"/>
      <c r="D45" s="270" t="s">
        <v>49</v>
      </c>
      <c r="E45" s="31" t="s">
        <v>1641</v>
      </c>
      <c r="F45" s="240"/>
      <c r="G45" s="240"/>
      <c r="H45" s="240"/>
      <c r="I45" s="240"/>
      <c r="J45" s="240"/>
      <c r="K45" s="240"/>
    </row>
    <row r="46" spans="1:11" ht="15.75" thickBot="1">
      <c r="A46" s="237"/>
      <c r="B46" s="1620"/>
      <c r="C46" s="336"/>
      <c r="D46" s="270" t="s">
        <v>50</v>
      </c>
      <c r="E46" s="31" t="s">
        <v>1642</v>
      </c>
      <c r="F46" s="240"/>
      <c r="G46" s="240"/>
      <c r="H46" s="240"/>
      <c r="I46" s="240"/>
      <c r="J46" s="240"/>
      <c r="K46" s="240"/>
    </row>
    <row r="47" spans="1:11" ht="15.75" thickBot="1">
      <c r="A47" s="237"/>
      <c r="B47" s="241"/>
      <c r="C47" s="242"/>
      <c r="D47" s="240"/>
      <c r="E47" s="240"/>
      <c r="F47" s="240"/>
      <c r="G47" s="240"/>
      <c r="H47" s="240"/>
      <c r="I47" s="240"/>
      <c r="J47" s="240"/>
      <c r="K47" s="240"/>
    </row>
    <row r="48" spans="1:11" ht="15.75" thickBot="1">
      <c r="A48" s="237"/>
      <c r="B48" s="1627" t="s">
        <v>51</v>
      </c>
      <c r="C48" s="1628"/>
      <c r="D48" s="1628"/>
      <c r="E48" s="1629"/>
      <c r="F48" s="240"/>
      <c r="G48" s="240"/>
      <c r="H48" s="240"/>
      <c r="I48" s="240"/>
      <c r="J48" s="240"/>
      <c r="K48" s="240"/>
    </row>
    <row r="49" spans="1:11" ht="15.75" thickBot="1">
      <c r="A49" s="237"/>
      <c r="B49" s="1618">
        <v>1</v>
      </c>
      <c r="C49" s="264"/>
      <c r="D49" s="281" t="s">
        <v>44</v>
      </c>
      <c r="E49" s="230" t="s">
        <v>52</v>
      </c>
      <c r="F49" s="240"/>
      <c r="G49" s="240"/>
      <c r="H49" s="240"/>
      <c r="I49" s="240"/>
      <c r="J49" s="240"/>
      <c r="K49" s="240"/>
    </row>
    <row r="50" spans="1:11" ht="15.75" thickBot="1">
      <c r="A50" s="237"/>
      <c r="B50" s="1619"/>
      <c r="C50" s="264"/>
      <c r="D50" s="270" t="s">
        <v>45</v>
      </c>
      <c r="E50" s="230" t="s">
        <v>53</v>
      </c>
      <c r="F50" s="240"/>
      <c r="G50" s="240"/>
      <c r="H50" s="240"/>
      <c r="I50" s="240"/>
      <c r="J50" s="240"/>
      <c r="K50" s="240"/>
    </row>
    <row r="51" spans="1:11" ht="15.75" thickBot="1">
      <c r="A51" s="237"/>
      <c r="B51" s="1619"/>
      <c r="C51" s="264"/>
      <c r="D51" s="270" t="s">
        <v>46</v>
      </c>
      <c r="E51" s="307"/>
      <c r="F51" s="240"/>
      <c r="G51" s="240"/>
      <c r="H51" s="240"/>
      <c r="I51" s="240"/>
      <c r="J51" s="240"/>
      <c r="K51" s="240"/>
    </row>
    <row r="52" spans="1:11" ht="15.75" thickBot="1">
      <c r="A52" s="237"/>
      <c r="B52" s="1619"/>
      <c r="C52" s="264"/>
      <c r="D52" s="270" t="s">
        <v>47</v>
      </c>
      <c r="E52" s="307"/>
      <c r="F52" s="240"/>
      <c r="G52" s="240"/>
      <c r="H52" s="240"/>
      <c r="I52" s="240"/>
      <c r="J52" s="240"/>
      <c r="K52" s="240"/>
    </row>
    <row r="53" spans="1:11" ht="15.75" thickBot="1">
      <c r="A53" s="237"/>
      <c r="B53" s="1619"/>
      <c r="C53" s="264"/>
      <c r="D53" s="270" t="s">
        <v>48</v>
      </c>
      <c r="E53" s="307"/>
      <c r="F53" s="240"/>
      <c r="G53" s="240"/>
      <c r="H53" s="240"/>
      <c r="I53" s="240"/>
      <c r="J53" s="240"/>
      <c r="K53" s="240"/>
    </row>
    <row r="54" spans="1:11" ht="15.75" thickBot="1">
      <c r="A54" s="237"/>
      <c r="B54" s="1619"/>
      <c r="C54" s="264"/>
      <c r="D54" s="270" t="s">
        <v>49</v>
      </c>
      <c r="E54" s="307"/>
      <c r="F54" s="240"/>
      <c r="G54" s="240"/>
      <c r="H54" s="240"/>
      <c r="I54" s="240"/>
      <c r="J54" s="240"/>
      <c r="K54" s="240"/>
    </row>
    <row r="55" spans="1:11" ht="15.75" thickBot="1">
      <c r="A55" s="237"/>
      <c r="B55" s="1620"/>
      <c r="C55" s="336"/>
      <c r="D55" s="270" t="s">
        <v>50</v>
      </c>
      <c r="E55" s="307"/>
      <c r="F55" s="240"/>
      <c r="G55" s="240"/>
      <c r="H55" s="240"/>
      <c r="I55" s="240"/>
      <c r="J55" s="240"/>
      <c r="K55" s="240"/>
    </row>
    <row r="56" spans="1:11" ht="15.75" thickBot="1">
      <c r="A56" s="237"/>
      <c r="B56" s="241"/>
      <c r="C56" s="242"/>
      <c r="D56" s="240"/>
      <c r="E56" s="240"/>
      <c r="F56" s="240"/>
      <c r="G56" s="240"/>
      <c r="H56" s="240"/>
      <c r="I56" s="240"/>
      <c r="J56" s="240"/>
      <c r="K56" s="240"/>
    </row>
    <row r="57" spans="1:11" ht="15" customHeight="1" thickBot="1">
      <c r="A57" s="237"/>
      <c r="B57" s="280" t="s">
        <v>54</v>
      </c>
      <c r="C57" s="312"/>
      <c r="D57" s="312"/>
      <c r="E57" s="313"/>
      <c r="F57" s="237"/>
      <c r="G57" s="240"/>
      <c r="H57" s="240"/>
      <c r="I57" s="240"/>
      <c r="J57" s="240"/>
      <c r="K57" s="240"/>
    </row>
    <row r="58" spans="1:11" ht="24.75" thickBot="1">
      <c r="A58" s="237"/>
      <c r="B58" s="277" t="s">
        <v>55</v>
      </c>
      <c r="C58" s="270" t="s">
        <v>56</v>
      </c>
      <c r="D58" s="270" t="s">
        <v>57</v>
      </c>
      <c r="E58" s="270" t="s">
        <v>58</v>
      </c>
      <c r="F58" s="240"/>
      <c r="G58" s="240"/>
      <c r="H58" s="240"/>
      <c r="I58" s="240"/>
      <c r="J58" s="240"/>
      <c r="K58" s="237"/>
    </row>
    <row r="59" spans="1:11" ht="72.75" thickBot="1">
      <c r="A59" s="237"/>
      <c r="B59" s="287">
        <v>42401</v>
      </c>
      <c r="C59" s="270">
        <v>1</v>
      </c>
      <c r="D59" s="288" t="s">
        <v>424</v>
      </c>
      <c r="E59" s="270"/>
      <c r="F59" s="240"/>
      <c r="G59" s="240"/>
      <c r="H59" s="240"/>
      <c r="I59" s="240"/>
      <c r="J59" s="240"/>
      <c r="K59" s="237"/>
    </row>
    <row r="60" spans="1:11" ht="15.75" thickBot="1">
      <c r="A60" s="237"/>
      <c r="B60" s="241"/>
      <c r="C60" s="242"/>
      <c r="D60" s="240"/>
      <c r="E60" s="240"/>
      <c r="F60" s="240"/>
      <c r="G60" s="240"/>
      <c r="H60" s="240"/>
      <c r="I60" s="240"/>
      <c r="J60" s="240"/>
      <c r="K60" s="240"/>
    </row>
    <row r="61" spans="1:11" ht="15.75" thickBot="1">
      <c r="A61" s="237"/>
      <c r="B61" s="327" t="s">
        <v>425</v>
      </c>
      <c r="C61" s="290"/>
      <c r="D61" s="240"/>
      <c r="E61" s="240"/>
      <c r="F61" s="240"/>
      <c r="G61" s="240"/>
      <c r="H61" s="240"/>
      <c r="I61" s="240"/>
      <c r="J61" s="240"/>
      <c r="K61" s="240"/>
    </row>
    <row r="62" spans="1:11">
      <c r="A62" s="237"/>
      <c r="B62" s="1657"/>
      <c r="C62" s="1658"/>
      <c r="D62" s="1658"/>
      <c r="E62" s="240"/>
      <c r="F62" s="240"/>
      <c r="G62" s="240"/>
      <c r="H62" s="240"/>
      <c r="I62" s="240"/>
      <c r="J62" s="240"/>
      <c r="K62" s="240"/>
    </row>
    <row r="63" spans="1:11">
      <c r="A63" s="237"/>
      <c r="B63" s="1657"/>
      <c r="C63" s="1658"/>
      <c r="D63" s="1658"/>
      <c r="E63" s="240"/>
      <c r="F63" s="240"/>
      <c r="G63" s="240"/>
      <c r="H63" s="240"/>
      <c r="I63" s="240"/>
      <c r="J63" s="240"/>
      <c r="K63" s="240"/>
    </row>
    <row r="64" spans="1:11" ht="15.75" thickBot="1">
      <c r="A64" s="237"/>
      <c r="B64" s="240"/>
      <c r="C64" s="257"/>
      <c r="D64" s="240"/>
      <c r="E64" s="240"/>
      <c r="F64" s="240"/>
      <c r="G64" s="240"/>
      <c r="H64" s="240"/>
      <c r="I64" s="240"/>
      <c r="J64" s="240"/>
      <c r="K64" s="240"/>
    </row>
    <row r="65" spans="1:11" ht="15.75" thickBot="1">
      <c r="A65" s="237"/>
      <c r="B65" s="1627" t="s">
        <v>61</v>
      </c>
      <c r="C65" s="1628"/>
      <c r="D65" s="1629"/>
      <c r="E65" s="240"/>
      <c r="F65" s="240"/>
      <c r="G65" s="240"/>
      <c r="H65" s="240"/>
      <c r="I65" s="240"/>
      <c r="J65" s="240"/>
      <c r="K65" s="240"/>
    </row>
    <row r="66" spans="1:11" ht="60.75" thickBot="1">
      <c r="A66" s="237"/>
      <c r="B66" s="277" t="s">
        <v>62</v>
      </c>
      <c r="C66" s="336"/>
      <c r="D66" s="270" t="s">
        <v>404</v>
      </c>
      <c r="E66" s="240"/>
      <c r="F66" s="240"/>
      <c r="G66" s="240"/>
      <c r="H66" s="240"/>
      <c r="I66" s="240"/>
      <c r="J66" s="240"/>
      <c r="K66" s="240"/>
    </row>
    <row r="67" spans="1:11">
      <c r="A67" s="237"/>
      <c r="B67" s="1618" t="s">
        <v>64</v>
      </c>
      <c r="C67" s="264"/>
      <c r="D67" s="304" t="s">
        <v>65</v>
      </c>
      <c r="E67" s="240"/>
      <c r="F67" s="240"/>
      <c r="G67" s="240"/>
      <c r="H67" s="240"/>
      <c r="I67" s="240"/>
      <c r="J67" s="240"/>
      <c r="K67" s="240"/>
    </row>
    <row r="68" spans="1:11" ht="120">
      <c r="A68" s="237"/>
      <c r="B68" s="1619"/>
      <c r="C68" s="264"/>
      <c r="D68" s="305" t="s">
        <v>405</v>
      </c>
      <c r="E68" s="240"/>
      <c r="F68" s="240"/>
      <c r="G68" s="240"/>
      <c r="H68" s="240"/>
      <c r="I68" s="240"/>
      <c r="J68" s="240"/>
      <c r="K68" s="240"/>
    </row>
    <row r="69" spans="1:11">
      <c r="A69" s="237"/>
      <c r="B69" s="1619"/>
      <c r="C69" s="264"/>
      <c r="D69" s="304" t="s">
        <v>68</v>
      </c>
      <c r="E69" s="240"/>
      <c r="F69" s="240"/>
      <c r="G69" s="240"/>
      <c r="H69" s="240"/>
      <c r="I69" s="240"/>
      <c r="J69" s="240"/>
      <c r="K69" s="240"/>
    </row>
    <row r="70" spans="1:11">
      <c r="A70" s="237"/>
      <c r="B70" s="1619"/>
      <c r="C70" s="264"/>
      <c r="D70" s="305" t="s">
        <v>326</v>
      </c>
      <c r="E70" s="240"/>
      <c r="F70" s="240"/>
      <c r="G70" s="240"/>
      <c r="H70" s="240"/>
      <c r="I70" s="240"/>
      <c r="J70" s="240"/>
      <c r="K70" s="240"/>
    </row>
    <row r="71" spans="1:11">
      <c r="A71" s="237"/>
      <c r="B71" s="1619"/>
      <c r="C71" s="264"/>
      <c r="D71" s="305" t="s">
        <v>406</v>
      </c>
      <c r="E71" s="240"/>
      <c r="F71" s="240"/>
      <c r="G71" s="240"/>
      <c r="H71" s="240"/>
      <c r="I71" s="240"/>
      <c r="J71" s="240"/>
      <c r="K71" s="240"/>
    </row>
    <row r="72" spans="1:11">
      <c r="A72" s="237"/>
      <c r="B72" s="1619"/>
      <c r="C72" s="264"/>
      <c r="D72" s="305" t="s">
        <v>171</v>
      </c>
      <c r="E72" s="240"/>
      <c r="F72" s="240"/>
      <c r="G72" s="240"/>
      <c r="H72" s="240"/>
      <c r="I72" s="240"/>
      <c r="J72" s="240"/>
      <c r="K72" s="240"/>
    </row>
    <row r="73" spans="1:11">
      <c r="A73" s="237"/>
      <c r="B73" s="1619"/>
      <c r="C73" s="264"/>
      <c r="D73" s="305" t="s">
        <v>407</v>
      </c>
      <c r="E73" s="240"/>
      <c r="F73" s="240"/>
      <c r="G73" s="240"/>
      <c r="H73" s="240"/>
      <c r="I73" s="240"/>
      <c r="J73" s="240"/>
      <c r="K73" s="240"/>
    </row>
    <row r="74" spans="1:11">
      <c r="A74" s="237"/>
      <c r="B74" s="1619"/>
      <c r="C74" s="264"/>
      <c r="D74" s="305" t="s">
        <v>408</v>
      </c>
      <c r="E74" s="240"/>
      <c r="F74" s="240"/>
      <c r="G74" s="240"/>
      <c r="H74" s="240"/>
      <c r="I74" s="240"/>
      <c r="J74" s="240"/>
      <c r="K74" s="240"/>
    </row>
    <row r="75" spans="1:11">
      <c r="A75" s="237"/>
      <c r="B75" s="1619"/>
      <c r="C75" s="264"/>
      <c r="D75" s="305" t="s">
        <v>409</v>
      </c>
      <c r="E75" s="240"/>
      <c r="F75" s="240"/>
      <c r="G75" s="240"/>
      <c r="H75" s="240"/>
      <c r="I75" s="240"/>
      <c r="J75" s="240"/>
      <c r="K75" s="240"/>
    </row>
    <row r="76" spans="1:11">
      <c r="A76" s="237"/>
      <c r="B76" s="1619"/>
      <c r="C76" s="264"/>
      <c r="D76" s="305" t="s">
        <v>410</v>
      </c>
      <c r="E76" s="240"/>
      <c r="F76" s="240"/>
      <c r="G76" s="240"/>
      <c r="H76" s="240"/>
      <c r="I76" s="240"/>
      <c r="J76" s="240"/>
      <c r="K76" s="240"/>
    </row>
    <row r="77" spans="1:11">
      <c r="A77" s="237"/>
      <c r="B77" s="1619"/>
      <c r="C77" s="264"/>
      <c r="D77" s="304" t="s">
        <v>296</v>
      </c>
      <c r="E77" s="240"/>
      <c r="F77" s="240"/>
      <c r="G77" s="240"/>
      <c r="H77" s="240"/>
      <c r="I77" s="240"/>
      <c r="J77" s="240"/>
      <c r="K77" s="240"/>
    </row>
    <row r="78" spans="1:11" ht="36.75" thickBot="1">
      <c r="A78" s="237"/>
      <c r="B78" s="1620"/>
      <c r="C78" s="336"/>
      <c r="D78" s="270" t="s">
        <v>361</v>
      </c>
      <c r="E78" s="240"/>
      <c r="F78" s="240"/>
      <c r="G78" s="240"/>
      <c r="H78" s="240"/>
      <c r="I78" s="240"/>
      <c r="J78" s="240"/>
      <c r="K78" s="240"/>
    </row>
    <row r="79" spans="1:11" ht="24.75" thickBot="1">
      <c r="A79" s="237"/>
      <c r="B79" s="277" t="s">
        <v>77</v>
      </c>
      <c r="C79" s="336"/>
      <c r="D79" s="270"/>
      <c r="E79" s="240"/>
      <c r="F79" s="240"/>
      <c r="G79" s="240"/>
      <c r="H79" s="240"/>
      <c r="I79" s="240"/>
      <c r="J79" s="240"/>
      <c r="K79" s="240"/>
    </row>
    <row r="80" spans="1:11" ht="144">
      <c r="A80" s="237"/>
      <c r="B80" s="1618" t="s">
        <v>78</v>
      </c>
      <c r="C80" s="264"/>
      <c r="D80" s="305" t="s">
        <v>411</v>
      </c>
      <c r="E80" s="240"/>
      <c r="F80" s="240"/>
      <c r="G80" s="240"/>
      <c r="H80" s="240"/>
      <c r="I80" s="240"/>
      <c r="J80" s="240"/>
      <c r="K80" s="240"/>
    </row>
    <row r="81" spans="1:11" ht="72">
      <c r="A81" s="237"/>
      <c r="B81" s="1619"/>
      <c r="C81" s="264"/>
      <c r="D81" s="305" t="s">
        <v>412</v>
      </c>
      <c r="E81" s="240"/>
      <c r="F81" s="240"/>
      <c r="G81" s="240"/>
      <c r="H81" s="240"/>
      <c r="I81" s="240"/>
      <c r="J81" s="240"/>
      <c r="K81" s="240"/>
    </row>
    <row r="82" spans="1:11" ht="84">
      <c r="A82" s="237"/>
      <c r="B82" s="1619"/>
      <c r="C82" s="264"/>
      <c r="D82" s="305" t="s">
        <v>413</v>
      </c>
      <c r="E82" s="240"/>
      <c r="F82" s="240"/>
      <c r="G82" s="240"/>
      <c r="H82" s="240"/>
      <c r="I82" s="240"/>
      <c r="J82" s="240"/>
      <c r="K82" s="240"/>
    </row>
    <row r="83" spans="1:11" ht="108.75" thickBot="1">
      <c r="A83" s="237"/>
      <c r="B83" s="1620"/>
      <c r="C83" s="336"/>
      <c r="D83" s="270" t="s">
        <v>414</v>
      </c>
      <c r="E83" s="240"/>
      <c r="F83" s="240"/>
      <c r="G83" s="240"/>
      <c r="H83" s="240"/>
      <c r="I83" s="240"/>
      <c r="J83" s="240"/>
      <c r="K83" s="240"/>
    </row>
    <row r="84" spans="1:11" ht="36">
      <c r="A84" s="237"/>
      <c r="B84" s="1618" t="s">
        <v>95</v>
      </c>
      <c r="C84" s="264"/>
      <c r="D84" s="304" t="s">
        <v>403</v>
      </c>
      <c r="E84" s="240"/>
      <c r="F84" s="240"/>
      <c r="G84" s="240"/>
      <c r="H84" s="240"/>
      <c r="I84" s="240"/>
      <c r="J84" s="240"/>
      <c r="K84" s="240"/>
    </row>
    <row r="85" spans="1:11">
      <c r="A85" s="237"/>
      <c r="B85" s="1619"/>
      <c r="C85" s="264"/>
      <c r="D85" s="306"/>
      <c r="E85" s="240"/>
      <c r="F85" s="240"/>
      <c r="G85" s="240"/>
      <c r="H85" s="240"/>
      <c r="I85" s="240"/>
      <c r="J85" s="240"/>
      <c r="K85" s="240"/>
    </row>
    <row r="86" spans="1:11">
      <c r="A86" s="237"/>
      <c r="B86" s="1619"/>
      <c r="C86" s="264"/>
      <c r="D86" s="305" t="s">
        <v>96</v>
      </c>
      <c r="E86" s="240"/>
      <c r="F86" s="240"/>
      <c r="G86" s="240"/>
      <c r="H86" s="240"/>
      <c r="I86" s="240"/>
      <c r="J86" s="240"/>
      <c r="K86" s="240"/>
    </row>
    <row r="87" spans="1:11" ht="61.5">
      <c r="A87" s="237"/>
      <c r="B87" s="1619"/>
      <c r="C87" s="264"/>
      <c r="D87" s="305" t="s">
        <v>415</v>
      </c>
      <c r="E87" s="240"/>
      <c r="F87" s="240"/>
      <c r="G87" s="240"/>
      <c r="H87" s="240"/>
      <c r="I87" s="240"/>
      <c r="J87" s="240"/>
      <c r="K87" s="240"/>
    </row>
    <row r="88" spans="1:11" ht="61.5">
      <c r="A88" s="237"/>
      <c r="B88" s="1619"/>
      <c r="C88" s="264"/>
      <c r="D88" s="305" t="s">
        <v>416</v>
      </c>
      <c r="E88" s="240"/>
      <c r="F88" s="240"/>
      <c r="G88" s="240"/>
      <c r="H88" s="240"/>
      <c r="I88" s="240"/>
      <c r="J88" s="240"/>
      <c r="K88" s="240"/>
    </row>
    <row r="89" spans="1:11" ht="38.25" thickBot="1">
      <c r="A89" s="237"/>
      <c r="B89" s="1620"/>
      <c r="C89" s="336"/>
      <c r="D89" s="270" t="s">
        <v>417</v>
      </c>
      <c r="E89" s="240"/>
      <c r="F89" s="240"/>
      <c r="G89" s="240"/>
      <c r="H89" s="240"/>
      <c r="I89" s="240"/>
      <c r="J89" s="240"/>
      <c r="K89" s="240"/>
    </row>
  </sheetData>
  <sheetProtection sheet="1" objects="1" scenarios="1"/>
  <mergeCells count="25">
    <mergeCell ref="B10:D10"/>
    <mergeCell ref="F10:S10"/>
    <mergeCell ref="F11:S11"/>
    <mergeCell ref="E12:R12"/>
    <mergeCell ref="E13:R13"/>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A1:P1"/>
    <mergeCell ref="A2:P2"/>
    <mergeCell ref="A3:P3"/>
    <mergeCell ref="A4:D4"/>
    <mergeCell ref="A5:P5"/>
  </mergeCells>
  <conditionalFormatting sqref="F10">
    <cfRule type="notContainsBlanks" dxfId="92" priority="4">
      <formula>LEN(TRIM(F10))&gt;0</formula>
    </cfRule>
  </conditionalFormatting>
  <conditionalFormatting sqref="F11:S11">
    <cfRule type="expression" dxfId="91" priority="2">
      <formula>E11="NO SE REPORTA"</formula>
    </cfRule>
    <cfRule type="expression" dxfId="90" priority="3">
      <formula>E10="NO APLICA"</formula>
    </cfRule>
  </conditionalFormatting>
  <conditionalFormatting sqref="E12:R12">
    <cfRule type="expression" dxfId="89" priority="1">
      <formula>E11="SI SE REPORTA"</formula>
    </cfRule>
  </conditionalFormatting>
  <dataValidations disablePrompts="1"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display="y.delgado@car.corpoguajira.gov.co"/>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topLeftCell="A10" zoomScale="98" zoomScaleNormal="98" workbookViewId="0">
      <selection activeCell="E52" sqref="E52"/>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11" max="11" width="11.5703125" style="402"/>
    <col min="12" max="12" width="23" customWidth="1"/>
    <col min="13" max="13" width="11" customWidth="1"/>
    <col min="14" max="16" width="8.8554687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426</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c r="L6" s="6"/>
    </row>
    <row r="7" spans="1:21" ht="15.75" thickBot="1">
      <c r="B7" s="74"/>
      <c r="C7" s="76"/>
      <c r="D7" s="6"/>
      <c r="E7" s="18"/>
      <c r="F7" s="6" t="s">
        <v>134</v>
      </c>
      <c r="G7" s="6"/>
      <c r="H7" s="6"/>
      <c r="I7" s="6"/>
      <c r="J7" s="6"/>
      <c r="K7" s="6" t="s">
        <v>1228</v>
      </c>
    </row>
    <row r="8" spans="1:21" ht="15.75" thickBot="1">
      <c r="B8" s="174" t="s">
        <v>1203</v>
      </c>
      <c r="C8" s="214">
        <v>2018</v>
      </c>
      <c r="D8" s="218" t="str">
        <f>IF(E10="NO APLICA","NO APLICA",IF(E11="NO SE REPORTA","SIN INFORMACION",+N34))</f>
        <v>SIN INFORMACION</v>
      </c>
      <c r="E8" s="215"/>
      <c r="F8" s="6" t="s">
        <v>135</v>
      </c>
      <c r="G8" s="6"/>
      <c r="H8" s="6"/>
      <c r="I8" s="6"/>
      <c r="J8" s="6"/>
      <c r="K8" s="6"/>
      <c r="L8" s="6"/>
    </row>
    <row r="9" spans="1:21">
      <c r="B9" s="483" t="s">
        <v>1204</v>
      </c>
      <c r="C9" s="87"/>
      <c r="D9" s="6"/>
      <c r="E9" s="6"/>
      <c r="F9" s="6"/>
      <c r="G9" s="6"/>
      <c r="H9" s="6"/>
      <c r="I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1261</v>
      </c>
      <c r="F11" s="1589" t="s">
        <v>1660</v>
      </c>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c>
      <c r="E12" s="1591" t="str">
        <f>'Anexo 1 Matriz Inf Gestión'!E49:H49</f>
        <v>Proyecto No 3.1. Ecosistemas estratégicos continentales y marinos (6).</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c r="F13" s="1593"/>
      <c r="G13" s="1593"/>
      <c r="H13" s="1593"/>
      <c r="I13" s="1593"/>
      <c r="J13" s="1593"/>
      <c r="K13" s="1593"/>
      <c r="L13" s="1593"/>
      <c r="M13" s="1593"/>
      <c r="N13" s="1593"/>
      <c r="O13" s="1593"/>
      <c r="P13" s="1593"/>
      <c r="Q13" s="1593"/>
      <c r="R13" s="1594"/>
    </row>
    <row r="14" spans="1:21" s="403" customFormat="1" ht="6.95" customHeight="1" thickBot="1">
      <c r="B14" s="483"/>
      <c r="C14" s="87"/>
      <c r="D14" s="6"/>
      <c r="E14" s="6"/>
      <c r="F14" s="6"/>
      <c r="G14" s="6"/>
      <c r="H14" s="6"/>
      <c r="I14" s="6"/>
    </row>
    <row r="15" spans="1:21" ht="15.6" customHeight="1" thickBot="1">
      <c r="B15" s="1668" t="s">
        <v>2</v>
      </c>
      <c r="C15" s="88"/>
      <c r="D15" s="1685" t="s">
        <v>344</v>
      </c>
      <c r="E15" s="1686"/>
      <c r="F15" s="1686"/>
      <c r="G15" s="1686"/>
      <c r="H15" s="1686"/>
      <c r="I15" s="1687"/>
      <c r="K15" s="401" t="s">
        <v>419</v>
      </c>
      <c r="L15" s="401" t="s">
        <v>1241</v>
      </c>
      <c r="M15" s="401" t="s">
        <v>1080</v>
      </c>
      <c r="N15" s="401" t="s">
        <v>110</v>
      </c>
      <c r="O15" s="217"/>
    </row>
    <row r="16" spans="1:21" ht="21.6" customHeight="1" thickBot="1">
      <c r="B16" s="1669"/>
      <c r="C16" s="97" t="s">
        <v>24</v>
      </c>
      <c r="D16" s="44" t="s">
        <v>156</v>
      </c>
      <c r="E16" s="39" t="s">
        <v>157</v>
      </c>
      <c r="F16" s="6"/>
      <c r="G16" s="6"/>
      <c r="I16" s="22"/>
      <c r="K16" s="401" t="s">
        <v>1233</v>
      </c>
      <c r="L16" s="423" t="s">
        <v>1242</v>
      </c>
      <c r="M16" s="404">
        <v>0.05</v>
      </c>
      <c r="N16" s="404">
        <v>0.05</v>
      </c>
      <c r="O16" s="217"/>
    </row>
    <row r="17" spans="2:18" ht="34.700000000000003" customHeight="1" thickBot="1">
      <c r="B17" s="1669"/>
      <c r="C17" s="3" t="s">
        <v>158</v>
      </c>
      <c r="D17" s="41" t="s">
        <v>1790</v>
      </c>
      <c r="E17" s="211">
        <v>43480</v>
      </c>
      <c r="F17" s="6"/>
      <c r="G17" s="6"/>
      <c r="I17" s="22"/>
      <c r="K17" s="401" t="s">
        <v>1230</v>
      </c>
      <c r="L17" s="423" t="s">
        <v>1244</v>
      </c>
      <c r="M17" s="404">
        <v>0.15</v>
      </c>
      <c r="N17" s="404">
        <f>+M17+N16</f>
        <v>0.2</v>
      </c>
      <c r="O17" s="217"/>
    </row>
    <row r="18" spans="2:18" ht="34.700000000000003" customHeight="1" thickBot="1">
      <c r="B18" s="1669"/>
      <c r="C18" s="3" t="s">
        <v>160</v>
      </c>
      <c r="D18" s="41" t="s">
        <v>438</v>
      </c>
      <c r="E18" s="211">
        <v>169000</v>
      </c>
      <c r="F18" s="6"/>
      <c r="G18" s="6"/>
      <c r="I18" s="22"/>
      <c r="K18" s="401" t="s">
        <v>1231</v>
      </c>
      <c r="L18" s="423" t="s">
        <v>1245</v>
      </c>
      <c r="M18" s="404">
        <v>0.15</v>
      </c>
      <c r="N18" s="404">
        <f>+M18+N17</f>
        <v>0.35</v>
      </c>
      <c r="O18" s="217"/>
    </row>
    <row r="19" spans="2:18" ht="34.700000000000003" customHeight="1" thickBot="1">
      <c r="B19" s="1669"/>
      <c r="C19" s="3" t="s">
        <v>162</v>
      </c>
      <c r="D19" s="41" t="s">
        <v>439</v>
      </c>
      <c r="E19" s="211"/>
      <c r="F19" s="6"/>
      <c r="G19" s="6"/>
      <c r="I19" s="22"/>
      <c r="K19" s="401" t="s">
        <v>1232</v>
      </c>
      <c r="L19" s="423" t="s">
        <v>1246</v>
      </c>
      <c r="M19" s="404">
        <v>0.2</v>
      </c>
      <c r="N19" s="404">
        <f>+M19+N18</f>
        <v>0.55000000000000004</v>
      </c>
      <c r="O19" s="217"/>
    </row>
    <row r="20" spans="2:18" ht="34.700000000000003" customHeight="1" thickBot="1">
      <c r="B20" s="1669"/>
      <c r="C20" s="3" t="s">
        <v>266</v>
      </c>
      <c r="D20" s="41" t="s">
        <v>440</v>
      </c>
      <c r="E20" s="140">
        <f>+E18+E19</f>
        <v>169000</v>
      </c>
      <c r="F20" s="6"/>
      <c r="G20" s="6"/>
      <c r="I20" s="22"/>
      <c r="K20" s="401" t="s">
        <v>1229</v>
      </c>
      <c r="L20" s="423" t="s">
        <v>1247</v>
      </c>
      <c r="M20" s="404">
        <v>0.2</v>
      </c>
      <c r="N20" s="404">
        <f>+M20+N19</f>
        <v>0.75</v>
      </c>
      <c r="O20" s="217"/>
    </row>
    <row r="21" spans="2:18" ht="34.700000000000003" customHeight="1" thickBot="1">
      <c r="B21" s="1669"/>
      <c r="C21" s="3" t="s">
        <v>268</v>
      </c>
      <c r="D21" s="41" t="s">
        <v>441</v>
      </c>
      <c r="E21" s="211">
        <v>0</v>
      </c>
      <c r="F21" s="6"/>
      <c r="G21" s="6"/>
      <c r="I21" s="22"/>
      <c r="K21" s="401" t="s">
        <v>1249</v>
      </c>
      <c r="L21" s="423" t="s">
        <v>1248</v>
      </c>
      <c r="M21" s="404">
        <v>0.25</v>
      </c>
      <c r="N21" s="404">
        <f>+M21+N20</f>
        <v>1</v>
      </c>
      <c r="R21" t="s">
        <v>1243</v>
      </c>
    </row>
    <row r="22" spans="2:18" ht="15" customHeight="1">
      <c r="B22" s="1669"/>
      <c r="C22" s="91"/>
      <c r="D22" s="1688"/>
      <c r="E22" s="1689"/>
      <c r="F22" s="1689"/>
      <c r="G22" s="1689"/>
      <c r="H22" s="1689"/>
      <c r="I22" s="1690"/>
      <c r="K22" s="401" t="s">
        <v>157</v>
      </c>
      <c r="L22" s="401"/>
      <c r="M22" s="404">
        <f>SUM(M16:M21)</f>
        <v>1</v>
      </c>
    </row>
    <row r="23" spans="2:18" ht="15.75" thickBot="1">
      <c r="B23" s="1669"/>
      <c r="C23" s="91"/>
      <c r="D23" s="1716" t="s">
        <v>442</v>
      </c>
      <c r="E23" s="1717"/>
      <c r="F23" s="1717"/>
      <c r="G23" s="1717"/>
      <c r="H23" s="1717"/>
      <c r="I23" s="1718"/>
      <c r="J23" s="6"/>
      <c r="K23" s="6"/>
      <c r="L23" s="6"/>
    </row>
    <row r="24" spans="2:18" ht="15" customHeight="1" thickBot="1">
      <c r="B24" s="1669"/>
      <c r="C24" s="93"/>
      <c r="D24" s="39" t="s">
        <v>156</v>
      </c>
      <c r="E24" s="39" t="s">
        <v>25</v>
      </c>
      <c r="F24" s="39" t="s">
        <v>26</v>
      </c>
      <c r="G24" s="39" t="s">
        <v>27</v>
      </c>
      <c r="H24" s="39" t="s">
        <v>28</v>
      </c>
      <c r="I24" s="39" t="s">
        <v>157</v>
      </c>
      <c r="J24" s="6"/>
      <c r="K24" s="1719" t="s">
        <v>419</v>
      </c>
      <c r="L24" s="1719" t="s">
        <v>1234</v>
      </c>
      <c r="M24" s="1719" t="s">
        <v>25</v>
      </c>
      <c r="N24" s="1719" t="s">
        <v>26</v>
      </c>
      <c r="O24" s="1719" t="s">
        <v>27</v>
      </c>
      <c r="P24" s="1719" t="s">
        <v>28</v>
      </c>
    </row>
    <row r="25" spans="2:18" ht="15" customHeight="1" thickBot="1">
      <c r="B25" s="1669"/>
      <c r="C25" s="93"/>
      <c r="D25" s="40" t="s">
        <v>443</v>
      </c>
      <c r="E25" s="211"/>
      <c r="F25" s="211"/>
      <c r="G25" s="211"/>
      <c r="H25" s="211"/>
      <c r="I25" s="398" t="str">
        <f>Formulas!$I$15</f>
        <v>ERROR: LA SUMA DE LA COLUMNA DEBE SER IGUAL A LA META ANUAL</v>
      </c>
      <c r="J25" s="6"/>
      <c r="K25" s="1719"/>
      <c r="L25" s="1719"/>
      <c r="M25" s="1719"/>
      <c r="N25" s="1719"/>
      <c r="O25" s="1719"/>
      <c r="P25" s="1719"/>
    </row>
    <row r="26" spans="2:18" ht="15" customHeight="1" thickBot="1">
      <c r="B26" s="1669"/>
      <c r="C26" s="93"/>
      <c r="D26" s="40" t="s">
        <v>378</v>
      </c>
      <c r="E26" s="211"/>
      <c r="F26" s="211"/>
      <c r="G26" s="211"/>
      <c r="H26" s="211"/>
      <c r="I26" s="396"/>
      <c r="J26" s="6"/>
      <c r="K26" s="401" t="str">
        <f>+D26</f>
        <v>Sin iniciar</v>
      </c>
      <c r="L26" s="400"/>
      <c r="M26" s="397">
        <f>+$L26*E26</f>
        <v>0</v>
      </c>
      <c r="N26" s="397"/>
      <c r="O26" s="397"/>
      <c r="P26" s="397"/>
    </row>
    <row r="27" spans="2:18" ht="15" customHeight="1" thickBot="1">
      <c r="B27" s="1669"/>
      <c r="C27" s="93"/>
      <c r="D27" s="40" t="s">
        <v>444</v>
      </c>
      <c r="E27" s="211"/>
      <c r="F27" s="211"/>
      <c r="G27" s="211"/>
      <c r="H27" s="211"/>
      <c r="I27" s="396"/>
      <c r="J27" s="6"/>
      <c r="K27" s="401" t="str">
        <f>+D27</f>
        <v>En formulación</v>
      </c>
      <c r="L27" s="400"/>
      <c r="M27" s="397">
        <f>+$L27*E27</f>
        <v>0</v>
      </c>
      <c r="N27" s="397"/>
      <c r="O27" s="397"/>
      <c r="P27" s="397"/>
    </row>
    <row r="28" spans="2:18" ht="15" customHeight="1" thickBot="1">
      <c r="B28" s="1669"/>
      <c r="C28" s="93"/>
      <c r="D28" s="40" t="s">
        <v>445</v>
      </c>
      <c r="E28" s="211"/>
      <c r="F28" s="211"/>
      <c r="G28" s="211"/>
      <c r="H28" s="211"/>
      <c r="I28" s="396"/>
      <c r="J28" s="6"/>
      <c r="K28" s="401" t="str">
        <f>+D28</f>
        <v>En actualización</v>
      </c>
      <c r="L28" s="400"/>
      <c r="M28" s="397">
        <f>+$L28*E28</f>
        <v>0</v>
      </c>
      <c r="N28" s="397"/>
      <c r="O28" s="397"/>
      <c r="P28" s="397"/>
    </row>
    <row r="29" spans="2:18" ht="15.75" thickBot="1">
      <c r="B29" s="1669"/>
      <c r="C29" s="93"/>
      <c r="D29" s="40" t="s">
        <v>446</v>
      </c>
      <c r="E29" s="211"/>
      <c r="F29" s="211"/>
      <c r="G29" s="211"/>
      <c r="H29" s="211"/>
      <c r="I29" s="396"/>
      <c r="J29" s="6"/>
      <c r="K29" s="401" t="str">
        <f>+D29</f>
        <v>Plan forestal adoptado</v>
      </c>
      <c r="L29" s="400"/>
      <c r="M29" s="397">
        <f>+$L29*E29</f>
        <v>0</v>
      </c>
      <c r="N29" s="397"/>
      <c r="O29" s="397"/>
      <c r="P29" s="397"/>
    </row>
    <row r="30" spans="2:18" ht="15" customHeight="1" thickBot="1">
      <c r="B30" s="1669"/>
      <c r="C30" s="93"/>
      <c r="D30" s="40" t="s">
        <v>157</v>
      </c>
      <c r="E30" s="143" t="str">
        <f>Formulas!D15</f>
        <v>ERROR: LA SUMA DE LA COLUMNA DEBE SER IGUAL A LA META ANUAL</v>
      </c>
      <c r="F30" s="143" t="str">
        <f>Formulas!E15</f>
        <v>ERROR: LA SUMA DE LA COLUMNA DEBE SER IGUAL A LA META ANUAL</v>
      </c>
      <c r="G30" s="143" t="str">
        <f>Formulas!F15</f>
        <v>ERROR: LA SUMA DE LA COLUMNA DEBE SER IGUAL A LA META ANUAL</v>
      </c>
      <c r="H30" s="143" t="str">
        <f>Formulas!G15</f>
        <v>ERROR: LA SUMA DE LA COLUMNA DEBE SER IGUAL A LA META ANUAL</v>
      </c>
      <c r="I30" s="396"/>
      <c r="J30" s="6"/>
      <c r="K30" s="401"/>
      <c r="L30" s="401" t="s">
        <v>1225</v>
      </c>
      <c r="M30" s="397">
        <f>SUM(M26:M29)</f>
        <v>0</v>
      </c>
      <c r="N30" s="397"/>
      <c r="O30" s="397"/>
      <c r="P30" s="397"/>
    </row>
    <row r="31" spans="2:18" ht="14.45" customHeight="1">
      <c r="B31" s="1669"/>
      <c r="C31" s="91"/>
      <c r="D31" s="1685" t="s">
        <v>447</v>
      </c>
      <c r="E31" s="1686"/>
      <c r="F31" s="1686"/>
      <c r="G31" s="1686"/>
      <c r="H31" s="1686"/>
      <c r="I31" s="1687"/>
      <c r="J31" s="6"/>
      <c r="K31" s="401"/>
      <c r="L31" s="401" t="s">
        <v>1226</v>
      </c>
      <c r="M31" s="399" t="e">
        <f>+M30/$I$25</f>
        <v>#VALUE!</v>
      </c>
      <c r="N31" s="399"/>
      <c r="O31" s="399"/>
      <c r="P31" s="399"/>
    </row>
    <row r="32" spans="2:18" ht="24" customHeight="1">
      <c r="B32" s="1669"/>
      <c r="C32" s="91"/>
      <c r="D32" s="1688" t="s">
        <v>448</v>
      </c>
      <c r="E32" s="1689"/>
      <c r="F32" s="1689"/>
      <c r="G32" s="1689"/>
      <c r="H32" s="1689"/>
      <c r="I32" s="1690"/>
      <c r="J32" s="6"/>
      <c r="K32" s="401"/>
      <c r="L32" s="401" t="s">
        <v>1235</v>
      </c>
      <c r="M32" s="399" t="e">
        <f>+M45</f>
        <v>#DIV/0!</v>
      </c>
      <c r="N32" s="399"/>
      <c r="O32" s="399"/>
      <c r="P32" s="399"/>
    </row>
    <row r="33" spans="2:16" ht="15" customHeight="1" thickBot="1">
      <c r="B33" s="1669"/>
      <c r="C33" s="91"/>
      <c r="D33" s="1674" t="s">
        <v>449</v>
      </c>
      <c r="E33" s="1675"/>
      <c r="F33" s="1675"/>
      <c r="G33" s="1675"/>
      <c r="H33" s="1675"/>
      <c r="I33" s="1676"/>
      <c r="J33" s="6"/>
      <c r="K33" s="401"/>
      <c r="L33" s="401" t="s">
        <v>1239</v>
      </c>
      <c r="M33" s="397">
        <f>+M46</f>
        <v>0</v>
      </c>
      <c r="N33" s="397"/>
      <c r="O33" s="397"/>
      <c r="P33" s="397"/>
    </row>
    <row r="34" spans="2:16" ht="48.75" thickBot="1">
      <c r="B34" s="1669"/>
      <c r="C34" s="93"/>
      <c r="D34" s="44" t="s">
        <v>450</v>
      </c>
      <c r="E34" s="44" t="s">
        <v>451</v>
      </c>
      <c r="F34" s="44" t="s">
        <v>452</v>
      </c>
      <c r="G34" s="44" t="s">
        <v>453</v>
      </c>
      <c r="H34" s="44" t="s">
        <v>454</v>
      </c>
      <c r="I34" s="22"/>
      <c r="J34" s="6"/>
      <c r="K34" s="401"/>
      <c r="L34" s="401" t="s">
        <v>426</v>
      </c>
      <c r="M34" s="399" t="e">
        <f>+M30/M33</f>
        <v>#DIV/0!</v>
      </c>
      <c r="N34" s="399"/>
      <c r="O34" s="399"/>
      <c r="P34" s="399"/>
    </row>
    <row r="35" spans="2:16" ht="15" customHeight="1" thickBot="1">
      <c r="B35" s="1669"/>
      <c r="C35" s="93"/>
      <c r="D35" s="31"/>
      <c r="E35" s="31"/>
      <c r="F35" s="211"/>
      <c r="G35" s="31"/>
      <c r="H35" s="31"/>
      <c r="I35" s="22"/>
      <c r="J35" s="6"/>
      <c r="K35" s="6"/>
      <c r="L35" s="6"/>
      <c r="M35" s="6"/>
      <c r="N35" s="6"/>
      <c r="O35" s="6"/>
      <c r="P35" s="6"/>
    </row>
    <row r="36" spans="2:16" ht="15" customHeight="1" thickBot="1">
      <c r="B36" s="1669"/>
      <c r="C36" s="93"/>
      <c r="D36" s="31"/>
      <c r="E36" s="31"/>
      <c r="F36" s="211"/>
      <c r="G36" s="31"/>
      <c r="H36" s="31"/>
      <c r="I36" s="22"/>
      <c r="J36" s="6"/>
      <c r="K36" s="6"/>
      <c r="L36" s="6"/>
    </row>
    <row r="37" spans="2:16" ht="15" customHeight="1" thickBot="1">
      <c r="B37" s="1669"/>
      <c r="C37" s="93"/>
      <c r="D37" s="31"/>
      <c r="E37" s="31"/>
      <c r="F37" s="211"/>
      <c r="G37" s="31"/>
      <c r="H37" s="31"/>
      <c r="I37" s="22"/>
      <c r="J37" s="6"/>
      <c r="K37" s="6"/>
      <c r="L37" s="403" t="s">
        <v>1236</v>
      </c>
    </row>
    <row r="38" spans="2:16" ht="15" customHeight="1" thickBot="1">
      <c r="B38" s="1669"/>
      <c r="C38" s="93"/>
      <c r="D38" s="31"/>
      <c r="E38" s="31"/>
      <c r="F38" s="211"/>
      <c r="G38" s="31"/>
      <c r="H38" s="31"/>
      <c r="I38" s="22"/>
      <c r="J38" s="6"/>
      <c r="K38" s="6"/>
      <c r="L38" s="6"/>
      <c r="N38" s="403"/>
      <c r="O38" s="403"/>
      <c r="P38" s="403"/>
    </row>
    <row r="39" spans="2:16" ht="15" customHeight="1" thickBot="1">
      <c r="B39" s="1669"/>
      <c r="C39" s="93"/>
      <c r="D39" s="31"/>
      <c r="E39" s="31"/>
      <c r="F39" s="211"/>
      <c r="G39" s="31"/>
      <c r="H39" s="31"/>
      <c r="I39" s="22"/>
      <c r="J39" s="6"/>
      <c r="K39" s="1719" t="s">
        <v>1227</v>
      </c>
      <c r="L39" s="1719" t="s">
        <v>1237</v>
      </c>
      <c r="M39" s="1719" t="s">
        <v>1238</v>
      </c>
      <c r="N39" s="403"/>
      <c r="O39" s="403"/>
      <c r="P39" s="403"/>
    </row>
    <row r="40" spans="2:16" ht="15" customHeight="1" thickBot="1">
      <c r="B40" s="1669"/>
      <c r="C40" s="93"/>
      <c r="D40" s="31"/>
      <c r="E40" s="31"/>
      <c r="F40" s="211"/>
      <c r="G40" s="31"/>
      <c r="H40" s="31"/>
      <c r="I40" s="22"/>
      <c r="J40" s="6"/>
      <c r="K40" s="1719"/>
      <c r="L40" s="1719"/>
      <c r="M40" s="1719"/>
      <c r="N40" s="403"/>
      <c r="O40" s="403"/>
      <c r="P40" s="403"/>
    </row>
    <row r="41" spans="2:16" ht="15.75" thickBot="1">
      <c r="B41" s="1669"/>
      <c r="C41" s="93"/>
      <c r="D41" s="31"/>
      <c r="E41" s="31"/>
      <c r="F41" s="211"/>
      <c r="G41" s="31"/>
      <c r="H41" s="31"/>
      <c r="I41" s="22"/>
      <c r="J41" s="6"/>
      <c r="K41" s="401" t="str">
        <f>+K26</f>
        <v>Sin iniciar</v>
      </c>
      <c r="L41" s="461"/>
      <c r="M41" s="399">
        <v>0</v>
      </c>
      <c r="N41" s="403"/>
      <c r="O41" s="403"/>
      <c r="P41" s="403"/>
    </row>
    <row r="42" spans="2:16" ht="15.75" thickBot="1">
      <c r="B42" s="1669"/>
      <c r="C42" s="93"/>
      <c r="D42" s="31"/>
      <c r="E42" s="31"/>
      <c r="F42" s="211"/>
      <c r="G42" s="31"/>
      <c r="H42" s="31"/>
      <c r="I42" s="22"/>
      <c r="J42" s="6"/>
      <c r="K42" s="401" t="str">
        <f>+K27</f>
        <v>En formulación</v>
      </c>
      <c r="L42" s="461"/>
      <c r="M42" s="405"/>
      <c r="N42" s="403"/>
      <c r="O42" s="403"/>
      <c r="P42" s="403"/>
    </row>
    <row r="43" spans="2:16" ht="24" customHeight="1" thickBot="1">
      <c r="B43" s="1670"/>
      <c r="C43" s="92"/>
      <c r="D43" s="1716" t="s">
        <v>455</v>
      </c>
      <c r="E43" s="1717"/>
      <c r="F43" s="1717"/>
      <c r="G43" s="1717"/>
      <c r="H43" s="1717"/>
      <c r="I43" s="1718"/>
      <c r="J43" s="6"/>
      <c r="K43" s="401" t="str">
        <f>+K28</f>
        <v>En actualización</v>
      </c>
      <c r="L43" s="461"/>
      <c r="M43" s="405"/>
      <c r="N43" s="403"/>
      <c r="O43" s="403"/>
      <c r="P43" s="403"/>
    </row>
    <row r="44" spans="2:16" ht="24" customHeight="1" thickBot="1">
      <c r="B44" s="48" t="s">
        <v>39</v>
      </c>
      <c r="C44" s="92"/>
      <c r="D44" s="1680" t="s">
        <v>456</v>
      </c>
      <c r="E44" s="1681"/>
      <c r="F44" s="1681"/>
      <c r="G44" s="1681"/>
      <c r="H44" s="1681"/>
      <c r="I44" s="1682"/>
      <c r="J44" s="6"/>
      <c r="K44" s="401" t="str">
        <f>+K29</f>
        <v>Plan forestal adoptado</v>
      </c>
      <c r="L44" s="461"/>
      <c r="M44" s="405"/>
      <c r="N44" s="403"/>
      <c r="O44" s="403"/>
      <c r="P44" s="403"/>
    </row>
    <row r="45" spans="2:16" ht="24.75" thickBot="1">
      <c r="B45" s="48" t="s">
        <v>41</v>
      </c>
      <c r="C45" s="92"/>
      <c r="D45" s="1680" t="s">
        <v>354</v>
      </c>
      <c r="E45" s="1681"/>
      <c r="F45" s="1681"/>
      <c r="G45" s="1681"/>
      <c r="H45" s="1681"/>
      <c r="I45" s="1682"/>
      <c r="J45" s="6"/>
      <c r="K45" s="401" t="s">
        <v>157</v>
      </c>
      <c r="L45" s="397">
        <f>SUM(L41:L44)</f>
        <v>0</v>
      </c>
      <c r="M45" s="399" t="e">
        <f>+M46/L45</f>
        <v>#DIV/0!</v>
      </c>
      <c r="N45" s="403"/>
      <c r="O45" s="403"/>
      <c r="P45" s="403"/>
    </row>
    <row r="46" spans="2:16" ht="15" customHeight="1" thickBot="1">
      <c r="B46" s="2"/>
      <c r="C46" s="75"/>
      <c r="D46" s="6"/>
      <c r="E46" s="6"/>
      <c r="F46" s="6"/>
      <c r="G46" s="6"/>
      <c r="H46" s="6"/>
      <c r="I46" s="6"/>
      <c r="J46" s="6"/>
      <c r="K46" s="401"/>
      <c r="L46" s="401" t="s">
        <v>1240</v>
      </c>
      <c r="M46" s="397">
        <f>+L41*M41+L42*M42+L43*M43+L44*M44</f>
        <v>0</v>
      </c>
      <c r="N46" s="403"/>
      <c r="O46" s="403"/>
      <c r="P46" s="403"/>
    </row>
    <row r="47" spans="2:16" ht="24" customHeight="1" thickBot="1">
      <c r="B47" s="1671" t="s">
        <v>43</v>
      </c>
      <c r="C47" s="1672"/>
      <c r="D47" s="1672"/>
      <c r="E47" s="1673"/>
      <c r="F47" s="6"/>
      <c r="G47" s="6"/>
      <c r="H47" s="6"/>
      <c r="I47" s="6"/>
      <c r="J47" s="6"/>
      <c r="K47" s="6"/>
      <c r="L47" s="6"/>
      <c r="M47" s="6"/>
      <c r="N47" s="6"/>
      <c r="O47" s="403"/>
      <c r="P47" s="403"/>
    </row>
    <row r="48" spans="2:16" ht="15" customHeight="1" thickBot="1">
      <c r="B48" s="1668">
        <v>1</v>
      </c>
      <c r="C48" s="93"/>
      <c r="D48" s="49" t="s">
        <v>44</v>
      </c>
      <c r="E48" s="31" t="s">
        <v>1616</v>
      </c>
      <c r="F48" s="6"/>
      <c r="G48" s="6"/>
      <c r="H48" s="6"/>
      <c r="I48" s="6"/>
      <c r="J48" s="6"/>
      <c r="K48" s="6"/>
      <c r="L48" s="6"/>
      <c r="M48" s="6"/>
      <c r="N48" s="6"/>
      <c r="O48" s="403"/>
      <c r="P48" s="403"/>
    </row>
    <row r="49" spans="2:16" ht="15" customHeight="1" thickBot="1">
      <c r="B49" s="1669"/>
      <c r="C49" s="93"/>
      <c r="D49" s="41" t="s">
        <v>45</v>
      </c>
      <c r="E49" s="31" t="s">
        <v>1764</v>
      </c>
      <c r="F49" s="6"/>
      <c r="G49" s="6"/>
      <c r="H49" s="6"/>
      <c r="I49" s="6"/>
      <c r="J49" s="6"/>
      <c r="K49" s="6"/>
      <c r="L49" s="6"/>
      <c r="M49" s="6"/>
      <c r="N49" s="6"/>
      <c r="O49" s="403"/>
      <c r="P49" s="403"/>
    </row>
    <row r="50" spans="2:16" ht="15" customHeight="1" thickBot="1">
      <c r="B50" s="1669"/>
      <c r="C50" s="93"/>
      <c r="D50" s="41" t="s">
        <v>46</v>
      </c>
      <c r="E50" s="31" t="s">
        <v>2032</v>
      </c>
      <c r="F50" s="6"/>
      <c r="G50" s="6"/>
      <c r="H50" s="6"/>
      <c r="I50" s="6"/>
      <c r="J50" s="6"/>
      <c r="K50" s="6"/>
      <c r="L50" s="6"/>
      <c r="M50" s="6"/>
      <c r="N50" s="6"/>
      <c r="O50" s="403"/>
      <c r="P50" s="403"/>
    </row>
    <row r="51" spans="2:16" ht="15" customHeight="1" thickBot="1">
      <c r="B51" s="1669"/>
      <c r="C51" s="93"/>
      <c r="D51" s="41" t="s">
        <v>47</v>
      </c>
      <c r="E51" s="31" t="s">
        <v>1626</v>
      </c>
      <c r="F51" s="6"/>
      <c r="G51" s="6"/>
      <c r="H51" s="6"/>
      <c r="I51" s="6"/>
      <c r="J51" s="6"/>
      <c r="K51" s="6"/>
      <c r="L51" s="6"/>
      <c r="M51" s="6"/>
      <c r="N51" s="6"/>
    </row>
    <row r="52" spans="2:16" ht="15" customHeight="1" thickBot="1">
      <c r="B52" s="1669"/>
      <c r="C52" s="93"/>
      <c r="D52" s="41" t="s">
        <v>48</v>
      </c>
      <c r="E52" s="31" t="s">
        <v>2013</v>
      </c>
      <c r="F52" s="6"/>
      <c r="G52" s="6"/>
      <c r="H52" s="6"/>
      <c r="I52" s="6"/>
      <c r="J52" s="6"/>
      <c r="K52" s="6"/>
      <c r="L52" s="6"/>
    </row>
    <row r="53" spans="2:16" ht="15" customHeight="1" thickBot="1">
      <c r="B53" s="1669"/>
      <c r="C53" s="93"/>
      <c r="D53" s="41" t="s">
        <v>49</v>
      </c>
      <c r="E53" s="31" t="s">
        <v>1765</v>
      </c>
      <c r="F53" s="6"/>
      <c r="G53" s="6"/>
      <c r="H53" s="6"/>
      <c r="I53" s="6"/>
      <c r="J53" s="6"/>
      <c r="K53" s="6"/>
      <c r="L53" s="6"/>
    </row>
    <row r="54" spans="2:16" ht="15" customHeight="1" thickBot="1">
      <c r="B54" s="1670"/>
      <c r="C54" s="3"/>
      <c r="D54" s="41" t="s">
        <v>50</v>
      </c>
      <c r="E54" s="31" t="s">
        <v>1607</v>
      </c>
      <c r="F54" s="6"/>
      <c r="G54" s="6"/>
      <c r="H54" s="6"/>
      <c r="I54" s="6"/>
      <c r="J54" s="6"/>
      <c r="K54" s="6"/>
      <c r="L54" s="6"/>
    </row>
    <row r="55" spans="2:16" ht="15" customHeight="1" thickBot="1">
      <c r="B55" s="2"/>
      <c r="C55" s="75"/>
      <c r="D55" s="6"/>
      <c r="E55" s="6"/>
      <c r="F55" s="6"/>
      <c r="G55" s="6"/>
      <c r="H55" s="6"/>
      <c r="I55" s="6"/>
      <c r="J55" s="6"/>
      <c r="K55" s="6"/>
      <c r="L55" s="6"/>
    </row>
    <row r="56" spans="2:16" ht="15" customHeight="1" thickBot="1">
      <c r="B56" s="1671" t="s">
        <v>51</v>
      </c>
      <c r="C56" s="1672"/>
      <c r="D56" s="1672"/>
      <c r="E56" s="1673"/>
      <c r="F56" s="6"/>
      <c r="G56" s="6"/>
      <c r="H56" s="6"/>
      <c r="I56" s="6"/>
      <c r="J56" s="6"/>
      <c r="K56" s="6"/>
      <c r="L56" s="6"/>
    </row>
    <row r="57" spans="2:16" ht="15" customHeight="1" thickBot="1">
      <c r="B57" s="1668">
        <v>1</v>
      </c>
      <c r="C57" s="93"/>
      <c r="D57" s="49" t="s">
        <v>44</v>
      </c>
      <c r="E57" s="432" t="s">
        <v>52</v>
      </c>
      <c r="F57" s="6"/>
      <c r="G57" s="6"/>
      <c r="H57" s="6"/>
      <c r="I57" s="6"/>
      <c r="J57" s="6"/>
      <c r="K57" s="6"/>
      <c r="L57" s="6"/>
    </row>
    <row r="58" spans="2:16" ht="15" customHeight="1" thickBot="1">
      <c r="B58" s="1669"/>
      <c r="C58" s="93"/>
      <c r="D58" s="41" t="s">
        <v>45</v>
      </c>
      <c r="E58" s="432" t="s">
        <v>166</v>
      </c>
      <c r="F58" s="6"/>
      <c r="G58" s="6"/>
      <c r="H58" s="6"/>
      <c r="I58" s="6"/>
      <c r="J58" s="6"/>
      <c r="K58" s="6"/>
      <c r="L58" s="6"/>
    </row>
    <row r="59" spans="2:16" ht="15" customHeight="1" thickBot="1">
      <c r="B59" s="1669"/>
      <c r="C59" s="93"/>
      <c r="D59" s="41" t="s">
        <v>46</v>
      </c>
      <c r="E59" s="307"/>
      <c r="F59" s="6"/>
      <c r="G59" s="6"/>
      <c r="H59" s="6"/>
      <c r="I59" s="6"/>
      <c r="J59" s="6"/>
      <c r="K59" s="6"/>
      <c r="L59" s="6"/>
    </row>
    <row r="60" spans="2:16" ht="15" customHeight="1" thickBot="1">
      <c r="B60" s="1669"/>
      <c r="C60" s="93"/>
      <c r="D60" s="41" t="s">
        <v>47</v>
      </c>
      <c r="E60" s="307"/>
      <c r="F60" s="6"/>
      <c r="G60" s="6"/>
      <c r="H60" s="6"/>
      <c r="I60" s="6"/>
      <c r="J60" s="6"/>
      <c r="K60" s="6"/>
      <c r="L60" s="6"/>
    </row>
    <row r="61" spans="2:16" ht="15.75" thickBot="1">
      <c r="B61" s="1669"/>
      <c r="C61" s="93"/>
      <c r="D61" s="41" t="s">
        <v>48</v>
      </c>
      <c r="E61" s="307"/>
      <c r="F61" s="6"/>
      <c r="G61" s="6"/>
      <c r="H61" s="6"/>
      <c r="I61" s="6"/>
      <c r="J61" s="6"/>
      <c r="K61" s="6"/>
      <c r="L61" s="6"/>
    </row>
    <row r="62" spans="2:16" ht="15.75" thickBot="1">
      <c r="B62" s="1669"/>
      <c r="C62" s="93"/>
      <c r="D62" s="41" t="s">
        <v>49</v>
      </c>
      <c r="E62" s="307"/>
      <c r="F62" s="6"/>
      <c r="G62" s="6"/>
      <c r="H62" s="6"/>
      <c r="I62" s="6"/>
      <c r="J62" s="6"/>
      <c r="K62" s="6"/>
      <c r="L62" s="6"/>
    </row>
    <row r="63" spans="2:16" ht="15" customHeight="1" thickBot="1">
      <c r="B63" s="1670"/>
      <c r="C63" s="3"/>
      <c r="D63" s="41" t="s">
        <v>50</v>
      </c>
      <c r="E63" s="307"/>
      <c r="F63" s="6"/>
      <c r="G63" s="6"/>
      <c r="H63" s="6"/>
      <c r="I63" s="6"/>
      <c r="J63" s="6"/>
      <c r="K63" s="6"/>
      <c r="L63" s="6"/>
    </row>
    <row r="64" spans="2:16" ht="15" customHeight="1" thickBot="1">
      <c r="B64" s="135"/>
      <c r="C64" s="129"/>
      <c r="D64" s="135"/>
      <c r="E64" s="6"/>
      <c r="F64" s="6"/>
      <c r="G64" s="6"/>
      <c r="H64" s="6"/>
      <c r="I64" s="6"/>
      <c r="J64" s="6"/>
      <c r="K64" s="6"/>
      <c r="L64" s="6"/>
    </row>
    <row r="65" spans="2:12" ht="15" customHeight="1">
      <c r="B65" s="134" t="s">
        <v>425</v>
      </c>
      <c r="C65" s="95"/>
      <c r="D65" s="6"/>
      <c r="E65" s="6"/>
      <c r="F65" s="6"/>
      <c r="G65" s="6"/>
      <c r="H65" s="6"/>
      <c r="I65" s="6"/>
      <c r="J65" s="6"/>
      <c r="K65" s="6"/>
      <c r="L65" s="6"/>
    </row>
    <row r="66" spans="2:12">
      <c r="B66" s="1651"/>
      <c r="C66" s="1652"/>
      <c r="D66" s="1653"/>
      <c r="E66" s="6"/>
      <c r="F66" s="6"/>
      <c r="G66" s="6"/>
      <c r="H66" s="6"/>
      <c r="I66" s="6"/>
      <c r="J66" s="6"/>
      <c r="K66" s="6"/>
      <c r="L66" s="6"/>
    </row>
    <row r="67" spans="2:12">
      <c r="B67" s="1654"/>
      <c r="C67" s="1655"/>
      <c r="D67" s="1656"/>
      <c r="E67" s="6"/>
      <c r="F67" s="6"/>
      <c r="G67" s="6"/>
      <c r="H67" s="6"/>
      <c r="I67" s="6"/>
      <c r="J67" s="6"/>
      <c r="K67" s="6"/>
      <c r="L67" s="6"/>
    </row>
    <row r="68" spans="2:12" ht="15.75" thickBot="1">
      <c r="B68" s="135"/>
      <c r="C68" s="129"/>
      <c r="D68" s="135"/>
      <c r="E68" s="6"/>
      <c r="F68" s="6"/>
      <c r="G68" s="6"/>
      <c r="H68" s="6"/>
      <c r="I68" s="6"/>
      <c r="J68" s="6"/>
      <c r="K68" s="6"/>
      <c r="L68" s="6"/>
    </row>
    <row r="69" spans="2:12" ht="15.75" thickBot="1">
      <c r="B69" s="1671" t="s">
        <v>54</v>
      </c>
      <c r="C69" s="1672"/>
      <c r="D69" s="1672"/>
      <c r="E69" s="1672"/>
      <c r="F69" s="1673"/>
      <c r="G69" s="6"/>
      <c r="H69" s="6"/>
      <c r="I69" s="6"/>
      <c r="J69" s="6"/>
      <c r="K69" s="6"/>
      <c r="L69" s="6"/>
    </row>
    <row r="70" spans="2:12" ht="24.75" thickBot="1">
      <c r="B70" s="48" t="s">
        <v>55</v>
      </c>
      <c r="C70" s="41" t="s">
        <v>56</v>
      </c>
      <c r="D70" s="41" t="s">
        <v>57</v>
      </c>
      <c r="E70" s="41" t="s">
        <v>58</v>
      </c>
      <c r="F70" s="6"/>
      <c r="G70" s="6"/>
      <c r="H70" s="6"/>
      <c r="I70" s="6"/>
      <c r="J70" s="6"/>
      <c r="K70" s="6"/>
      <c r="L70" s="6"/>
    </row>
    <row r="71" spans="2:12" ht="72.75" thickBot="1">
      <c r="B71" s="50">
        <v>42401</v>
      </c>
      <c r="C71" s="41">
        <v>0.01</v>
      </c>
      <c r="D71" s="51" t="s">
        <v>457</v>
      </c>
      <c r="E71" s="41"/>
      <c r="F71" s="6"/>
      <c r="G71" s="6"/>
      <c r="H71" s="6"/>
      <c r="I71" s="6"/>
      <c r="J71" s="6"/>
      <c r="K71" s="6"/>
    </row>
    <row r="72" spans="2:12">
      <c r="B72" s="2"/>
      <c r="C72" s="75"/>
      <c r="D72" s="6"/>
      <c r="E72" s="6"/>
      <c r="F72" s="6"/>
      <c r="G72" s="6"/>
      <c r="H72" s="6"/>
      <c r="I72" s="6"/>
      <c r="J72" s="6"/>
      <c r="K72" s="6"/>
    </row>
    <row r="73" spans="2:12" ht="15.75" thickBot="1">
      <c r="B73" s="6"/>
      <c r="D73" s="6"/>
      <c r="E73" s="6"/>
      <c r="F73" s="6"/>
      <c r="G73" s="6"/>
      <c r="H73" s="6"/>
      <c r="I73" s="6"/>
      <c r="J73" s="6"/>
      <c r="K73" s="6"/>
      <c r="L73" s="6"/>
    </row>
    <row r="74" spans="2:12" ht="15.75" thickBot="1">
      <c r="B74" s="1671" t="s">
        <v>61</v>
      </c>
      <c r="C74" s="1672"/>
      <c r="D74" s="1673"/>
      <c r="E74" s="6"/>
      <c r="F74" s="6"/>
      <c r="G74" s="6"/>
      <c r="H74" s="6"/>
      <c r="I74" s="6"/>
      <c r="J74" s="6"/>
      <c r="K74" s="6"/>
      <c r="L74" s="6"/>
    </row>
    <row r="75" spans="2:12" ht="60.75" thickBot="1">
      <c r="B75" s="48" t="s">
        <v>62</v>
      </c>
      <c r="C75" s="3"/>
      <c r="D75" s="41" t="s">
        <v>427</v>
      </c>
      <c r="E75" s="6"/>
      <c r="F75" s="6"/>
      <c r="G75" s="6"/>
      <c r="H75" s="6"/>
      <c r="I75" s="6"/>
      <c r="J75" s="6"/>
      <c r="K75" s="6"/>
      <c r="L75" s="6"/>
    </row>
    <row r="76" spans="2:12">
      <c r="B76" s="1668" t="s">
        <v>64</v>
      </c>
      <c r="C76" s="93"/>
      <c r="D76" s="54" t="s">
        <v>65</v>
      </c>
      <c r="E76" s="6"/>
      <c r="F76" s="6"/>
      <c r="G76" s="6"/>
      <c r="H76" s="6"/>
      <c r="I76" s="6"/>
      <c r="J76" s="6"/>
      <c r="K76" s="6"/>
      <c r="L76" s="6"/>
    </row>
    <row r="77" spans="2:12" ht="132">
      <c r="B77" s="1669"/>
      <c r="C77" s="93"/>
      <c r="D77" s="47" t="s">
        <v>428</v>
      </c>
      <c r="E77" s="6"/>
      <c r="F77" s="6"/>
      <c r="G77" s="6"/>
      <c r="H77" s="6"/>
      <c r="I77" s="6"/>
      <c r="J77" s="6"/>
      <c r="K77" s="6"/>
      <c r="L77" s="6"/>
    </row>
    <row r="78" spans="2:12">
      <c r="B78" s="1669"/>
      <c r="C78" s="93"/>
      <c r="D78" s="54" t="s">
        <v>68</v>
      </c>
      <c r="E78" s="6"/>
      <c r="F78" s="6"/>
      <c r="G78" s="6"/>
      <c r="H78" s="6"/>
      <c r="I78" s="6"/>
      <c r="J78" s="6"/>
      <c r="K78" s="6"/>
      <c r="L78" s="6"/>
    </row>
    <row r="79" spans="2:12">
      <c r="B79" s="1669"/>
      <c r="C79" s="93"/>
      <c r="D79" s="62" t="s">
        <v>429</v>
      </c>
      <c r="E79" s="6"/>
      <c r="F79" s="6"/>
      <c r="G79" s="6"/>
      <c r="H79" s="6"/>
      <c r="I79" s="6"/>
      <c r="J79" s="6"/>
      <c r="K79" s="6"/>
      <c r="L79" s="6"/>
    </row>
    <row r="80" spans="2:12">
      <c r="B80" s="1669"/>
      <c r="C80" s="93"/>
      <c r="D80" s="62" t="s">
        <v>430</v>
      </c>
      <c r="E80" s="6"/>
      <c r="F80" s="6"/>
      <c r="G80" s="6"/>
      <c r="H80" s="6"/>
      <c r="I80" s="6"/>
      <c r="J80" s="6"/>
      <c r="K80" s="6"/>
      <c r="L80" s="6"/>
    </row>
    <row r="81" spans="2:12">
      <c r="B81" s="1669"/>
      <c r="C81" s="93"/>
      <c r="D81" s="62" t="s">
        <v>431</v>
      </c>
      <c r="E81" s="6"/>
      <c r="F81" s="6"/>
      <c r="G81" s="6"/>
      <c r="H81" s="6"/>
      <c r="I81" s="6"/>
      <c r="J81" s="6"/>
      <c r="K81" s="6"/>
      <c r="L81" s="6"/>
    </row>
    <row r="82" spans="2:12">
      <c r="B82" s="1669"/>
      <c r="C82" s="93"/>
      <c r="D82" s="62" t="s">
        <v>432</v>
      </c>
      <c r="E82" s="6"/>
      <c r="F82" s="6"/>
      <c r="G82" s="6"/>
      <c r="H82" s="6"/>
      <c r="I82" s="6"/>
      <c r="J82" s="6"/>
      <c r="K82" s="6"/>
      <c r="L82" s="6"/>
    </row>
    <row r="83" spans="2:12">
      <c r="B83" s="1669"/>
      <c r="C83" s="93"/>
      <c r="D83" s="54" t="s">
        <v>296</v>
      </c>
      <c r="E83" s="6"/>
      <c r="F83" s="6"/>
      <c r="G83" s="6"/>
      <c r="H83" s="6"/>
      <c r="I83" s="6"/>
      <c r="J83" s="6"/>
      <c r="K83" s="6"/>
      <c r="L83" s="6"/>
    </row>
    <row r="84" spans="2:12" ht="36.75" thickBot="1">
      <c r="B84" s="1670"/>
      <c r="C84" s="3"/>
      <c r="D84" s="41" t="s">
        <v>361</v>
      </c>
      <c r="E84" s="6"/>
      <c r="F84" s="6"/>
      <c r="G84" s="6"/>
      <c r="H84" s="6"/>
      <c r="I84" s="6"/>
      <c r="J84" s="6"/>
      <c r="K84" s="6"/>
      <c r="L84" s="6"/>
    </row>
    <row r="85" spans="2:12">
      <c r="B85" s="1668" t="s">
        <v>77</v>
      </c>
      <c r="C85" s="98"/>
      <c r="D85" s="1668"/>
      <c r="E85" s="6"/>
      <c r="F85" s="6"/>
      <c r="G85" s="6"/>
      <c r="H85" s="6"/>
      <c r="I85" s="6"/>
      <c r="J85" s="6"/>
      <c r="K85" s="6"/>
      <c r="L85" s="6"/>
    </row>
    <row r="86" spans="2:12" ht="15.75" thickBot="1">
      <c r="B86" s="1670"/>
      <c r="C86" s="99"/>
      <c r="D86" s="1670"/>
      <c r="E86" s="6"/>
      <c r="F86" s="6"/>
      <c r="G86" s="6"/>
      <c r="H86" s="6"/>
      <c r="I86" s="6"/>
      <c r="J86" s="6"/>
      <c r="K86" s="6"/>
      <c r="L86" s="6"/>
    </row>
    <row r="87" spans="2:12" ht="132">
      <c r="B87" s="1668" t="s">
        <v>78</v>
      </c>
      <c r="C87" s="93"/>
      <c r="D87" s="47" t="s">
        <v>433</v>
      </c>
      <c r="E87" s="6"/>
      <c r="F87" s="6"/>
      <c r="G87" s="6"/>
      <c r="H87" s="6"/>
      <c r="I87" s="6"/>
      <c r="J87" s="6"/>
      <c r="K87" s="6"/>
      <c r="L87" s="6"/>
    </row>
    <row r="88" spans="2:12" ht="120.75" thickBot="1">
      <c r="B88" s="1670"/>
      <c r="C88" s="3"/>
      <c r="D88" s="41" t="s">
        <v>434</v>
      </c>
      <c r="E88" s="6"/>
      <c r="F88" s="6"/>
      <c r="G88" s="6"/>
      <c r="H88" s="6"/>
      <c r="I88" s="6"/>
      <c r="J88" s="6"/>
      <c r="K88" s="6"/>
      <c r="L88" s="6"/>
    </row>
    <row r="89" spans="2:12" ht="24">
      <c r="B89" s="1668" t="s">
        <v>95</v>
      </c>
      <c r="C89" s="93"/>
      <c r="D89" s="54" t="s">
        <v>426</v>
      </c>
      <c r="E89" s="6"/>
      <c r="F89" s="6"/>
      <c r="G89" s="6"/>
      <c r="H89" s="6"/>
      <c r="I89" s="6"/>
      <c r="J89" s="6"/>
      <c r="K89" s="6"/>
      <c r="L89" s="6"/>
    </row>
    <row r="90" spans="2:12">
      <c r="B90" s="1669"/>
      <c r="C90" s="93"/>
      <c r="D90" s="17"/>
      <c r="E90" s="6"/>
      <c r="F90" s="6"/>
      <c r="G90" s="6"/>
      <c r="H90" s="6"/>
      <c r="I90" s="6"/>
      <c r="J90" s="6"/>
      <c r="K90" s="6"/>
      <c r="L90" s="6"/>
    </row>
    <row r="91" spans="2:12">
      <c r="B91" s="1669"/>
      <c r="C91" s="93"/>
      <c r="D91" s="47" t="s">
        <v>96</v>
      </c>
      <c r="E91" s="6"/>
      <c r="F91" s="6"/>
      <c r="G91" s="6"/>
      <c r="H91" s="6"/>
      <c r="I91" s="6"/>
      <c r="J91" s="6"/>
      <c r="K91" s="6"/>
      <c r="L91" s="6"/>
    </row>
    <row r="92" spans="2:12" ht="37.5">
      <c r="B92" s="1669"/>
      <c r="C92" s="93"/>
      <c r="D92" s="47" t="s">
        <v>435</v>
      </c>
      <c r="E92" s="6"/>
      <c r="F92" s="6"/>
      <c r="G92" s="6"/>
      <c r="H92" s="6"/>
      <c r="I92" s="6"/>
      <c r="J92" s="6"/>
      <c r="K92" s="6"/>
      <c r="L92" s="6"/>
    </row>
    <row r="93" spans="2:12" ht="37.5">
      <c r="B93" s="1669"/>
      <c r="C93" s="93"/>
      <c r="D93" s="47" t="s">
        <v>436</v>
      </c>
      <c r="E93" s="6"/>
      <c r="F93" s="6"/>
      <c r="G93" s="6"/>
      <c r="H93" s="6"/>
      <c r="I93" s="6"/>
      <c r="J93" s="6"/>
      <c r="K93" s="6"/>
      <c r="L93" s="6"/>
    </row>
    <row r="94" spans="2:12" ht="38.25" thickBot="1">
      <c r="B94" s="1670"/>
      <c r="C94" s="3"/>
      <c r="D94" s="41" t="s">
        <v>437</v>
      </c>
      <c r="E94" s="6"/>
      <c r="F94" s="6"/>
      <c r="G94" s="6"/>
      <c r="H94" s="6"/>
      <c r="I94" s="6"/>
      <c r="J94" s="6"/>
      <c r="K94" s="6"/>
      <c r="L94" s="6"/>
    </row>
    <row r="95" spans="2:12">
      <c r="B95" s="6"/>
      <c r="D95" s="6"/>
      <c r="E95" s="6"/>
      <c r="F95" s="6"/>
      <c r="G95" s="6"/>
      <c r="H95" s="6"/>
      <c r="I95" s="6"/>
      <c r="J95" s="6"/>
      <c r="K95" s="6"/>
      <c r="L95" s="6"/>
    </row>
    <row r="96" spans="2:12">
      <c r="B96" s="6"/>
      <c r="D96" s="6"/>
      <c r="E96" s="6"/>
      <c r="F96" s="6"/>
      <c r="G96" s="6"/>
      <c r="H96" s="6"/>
      <c r="I96" s="6"/>
      <c r="J96" s="6"/>
      <c r="K96" s="6"/>
      <c r="L96" s="6"/>
    </row>
    <row r="97" spans="2:12">
      <c r="B97" s="6"/>
      <c r="D97" s="6"/>
      <c r="E97" s="6"/>
      <c r="F97" s="6"/>
      <c r="G97" s="6"/>
      <c r="H97" s="6"/>
      <c r="I97" s="6"/>
      <c r="J97" s="6"/>
      <c r="K97" s="6"/>
      <c r="L97" s="6"/>
    </row>
    <row r="98" spans="2:12">
      <c r="B98" s="6"/>
      <c r="D98" s="6"/>
      <c r="E98" s="6"/>
      <c r="F98" s="6"/>
      <c r="G98" s="6"/>
      <c r="H98" s="6"/>
      <c r="I98" s="6"/>
      <c r="J98" s="6"/>
      <c r="K98" s="6"/>
      <c r="L98" s="6"/>
    </row>
    <row r="99" spans="2:12">
      <c r="B99" s="6"/>
      <c r="D99" s="6"/>
      <c r="E99" s="6"/>
      <c r="F99" s="6"/>
      <c r="G99" s="6"/>
      <c r="H99" s="6"/>
      <c r="I99" s="6"/>
      <c r="J99" s="6"/>
      <c r="K99" s="6"/>
      <c r="L99" s="6"/>
    </row>
    <row r="100" spans="2:12">
      <c r="B100" s="6"/>
      <c r="D100" s="6"/>
      <c r="E100" s="6"/>
      <c r="F100" s="6"/>
      <c r="G100" s="6"/>
      <c r="H100" s="6"/>
      <c r="I100" s="6"/>
      <c r="J100" s="6"/>
      <c r="K100" s="6"/>
      <c r="L100" s="6"/>
    </row>
    <row r="101" spans="2:12">
      <c r="B101" s="6"/>
      <c r="D101" s="6"/>
      <c r="E101" s="6"/>
      <c r="F101" s="6"/>
      <c r="G101" s="6"/>
      <c r="H101" s="6"/>
      <c r="I101" s="6"/>
      <c r="J101" s="6"/>
      <c r="K101" s="6"/>
      <c r="L101" s="6"/>
    </row>
    <row r="102" spans="2:12">
      <c r="B102" s="6"/>
      <c r="D102" s="6"/>
      <c r="E102" s="6"/>
      <c r="F102" s="6"/>
      <c r="G102" s="6"/>
      <c r="H102" s="6"/>
      <c r="I102" s="6"/>
      <c r="J102" s="6"/>
      <c r="K102" s="6"/>
      <c r="L102" s="6"/>
    </row>
    <row r="103" spans="2:12">
      <c r="B103" s="6"/>
      <c r="D103" s="6"/>
      <c r="E103" s="6"/>
      <c r="F103" s="6"/>
      <c r="G103" s="6"/>
      <c r="H103" s="6"/>
      <c r="I103" s="6"/>
      <c r="J103" s="6"/>
      <c r="K103" s="6"/>
      <c r="L103" s="6"/>
    </row>
    <row r="104" spans="2:12">
      <c r="B104" s="6"/>
      <c r="D104" s="6"/>
      <c r="E104" s="6"/>
      <c r="F104" s="6"/>
      <c r="G104" s="6"/>
      <c r="H104" s="6"/>
      <c r="I104" s="6"/>
      <c r="J104" s="6"/>
      <c r="K104" s="6"/>
      <c r="L104" s="6"/>
    </row>
    <row r="105" spans="2:12">
      <c r="B105" s="6"/>
      <c r="D105" s="6"/>
      <c r="E105" s="6"/>
      <c r="F105" s="6"/>
      <c r="G105" s="6"/>
      <c r="H105" s="6"/>
      <c r="I105" s="6"/>
      <c r="J105" s="6"/>
      <c r="K105" s="6"/>
      <c r="L105" s="6"/>
    </row>
    <row r="106" spans="2:12">
      <c r="B106" s="6"/>
      <c r="D106" s="6"/>
      <c r="E106" s="6"/>
      <c r="F106" s="6"/>
      <c r="G106" s="6"/>
      <c r="H106" s="6"/>
      <c r="I106" s="6"/>
      <c r="J106" s="6"/>
      <c r="K106" s="6"/>
      <c r="L106" s="6"/>
    </row>
    <row r="107" spans="2:12">
      <c r="B107" s="6"/>
      <c r="D107" s="6"/>
      <c r="E107" s="6"/>
      <c r="F107" s="6"/>
      <c r="G107" s="6"/>
      <c r="H107" s="6"/>
      <c r="I107" s="6"/>
      <c r="J107" s="6"/>
      <c r="K107" s="6"/>
      <c r="L107" s="6"/>
    </row>
    <row r="108" spans="2:12">
      <c r="B108" s="6"/>
      <c r="D108" s="6"/>
      <c r="E108" s="6"/>
      <c r="F108" s="6"/>
      <c r="G108" s="6"/>
      <c r="H108" s="6"/>
      <c r="I108" s="6"/>
      <c r="J108" s="6"/>
      <c r="K108" s="6"/>
      <c r="L108" s="6"/>
    </row>
    <row r="109" spans="2:12">
      <c r="B109" s="6"/>
      <c r="D109" s="6"/>
      <c r="E109" s="6"/>
      <c r="F109" s="6"/>
      <c r="G109" s="6"/>
      <c r="H109" s="6"/>
      <c r="I109" s="6"/>
      <c r="J109" s="6"/>
      <c r="K109" s="6"/>
      <c r="L109" s="6"/>
    </row>
    <row r="110" spans="2:12">
      <c r="B110" s="6"/>
      <c r="D110" s="6"/>
      <c r="E110" s="6"/>
      <c r="F110" s="6"/>
      <c r="G110" s="6"/>
      <c r="H110" s="6"/>
      <c r="I110" s="6"/>
      <c r="J110" s="6"/>
      <c r="K110" s="6"/>
      <c r="L110" s="6"/>
    </row>
    <row r="111" spans="2:12">
      <c r="B111" s="6"/>
      <c r="D111" s="6"/>
      <c r="E111" s="6"/>
      <c r="F111" s="6"/>
      <c r="G111" s="6"/>
      <c r="H111" s="6"/>
      <c r="I111" s="6"/>
      <c r="J111" s="6"/>
      <c r="K111" s="6"/>
      <c r="L111" s="6"/>
    </row>
    <row r="112" spans="2:12">
      <c r="B112" s="6"/>
      <c r="D112" s="6"/>
      <c r="E112" s="6"/>
      <c r="F112" s="6"/>
      <c r="G112" s="6"/>
      <c r="H112" s="6"/>
      <c r="I112" s="6"/>
      <c r="J112" s="6"/>
      <c r="K112" s="6"/>
      <c r="L112" s="6"/>
    </row>
    <row r="113" spans="2:12">
      <c r="B113" s="6"/>
      <c r="D113" s="6"/>
      <c r="E113" s="6"/>
      <c r="F113" s="6"/>
      <c r="G113" s="6"/>
      <c r="H113" s="6"/>
      <c r="I113" s="6"/>
      <c r="J113" s="6"/>
      <c r="K113" s="6"/>
      <c r="L113" s="6"/>
    </row>
    <row r="114" spans="2:12">
      <c r="B114" s="6"/>
      <c r="D114" s="6"/>
      <c r="E114" s="6"/>
      <c r="F114" s="6"/>
      <c r="G114" s="6"/>
      <c r="H114" s="6"/>
      <c r="I114" s="6"/>
      <c r="J114" s="6"/>
      <c r="K114" s="6"/>
      <c r="L114" s="6"/>
    </row>
    <row r="115" spans="2:12">
      <c r="B115" s="6"/>
      <c r="D115" s="6"/>
      <c r="E115" s="6"/>
      <c r="F115" s="6"/>
      <c r="G115" s="6"/>
      <c r="H115" s="6"/>
      <c r="I115" s="6"/>
      <c r="J115" s="6"/>
      <c r="K115" s="6"/>
      <c r="L115" s="6"/>
    </row>
    <row r="116" spans="2:12">
      <c r="B116" s="6"/>
      <c r="D116" s="6"/>
      <c r="E116" s="6"/>
      <c r="F116" s="6"/>
      <c r="G116" s="6"/>
      <c r="H116" s="6"/>
      <c r="I116" s="6"/>
      <c r="J116" s="6"/>
      <c r="K116" s="6"/>
      <c r="L116" s="6"/>
    </row>
    <row r="117" spans="2:12">
      <c r="B117" s="6"/>
      <c r="D117" s="6"/>
      <c r="E117" s="6"/>
      <c r="F117" s="6"/>
      <c r="G117" s="6"/>
      <c r="H117" s="6"/>
      <c r="I117" s="6"/>
      <c r="J117" s="6"/>
      <c r="K117" s="6"/>
      <c r="L117" s="6"/>
    </row>
    <row r="118" spans="2:12">
      <c r="B118" s="6"/>
      <c r="D118" s="6"/>
      <c r="E118" s="6"/>
      <c r="F118" s="6"/>
      <c r="G118" s="6"/>
      <c r="H118" s="6"/>
      <c r="I118" s="6"/>
      <c r="J118" s="6"/>
      <c r="K118" s="6"/>
      <c r="L118" s="6"/>
    </row>
    <row r="119" spans="2:12">
      <c r="B119" s="6"/>
      <c r="D119" s="6"/>
      <c r="E119" s="6"/>
      <c r="F119" s="6"/>
      <c r="G119" s="6"/>
      <c r="H119" s="6"/>
      <c r="I119" s="6"/>
      <c r="J119" s="6"/>
      <c r="K119" s="6"/>
      <c r="L119" s="6"/>
    </row>
    <row r="120" spans="2:12">
      <c r="B120" s="6"/>
      <c r="D120" s="6"/>
      <c r="E120" s="6"/>
      <c r="F120" s="6"/>
      <c r="G120" s="6"/>
      <c r="H120" s="6"/>
      <c r="I120" s="6"/>
      <c r="J120" s="6"/>
      <c r="K120" s="6"/>
      <c r="L120" s="6"/>
    </row>
    <row r="121" spans="2:12">
      <c r="B121" s="6"/>
      <c r="D121" s="6"/>
      <c r="E121" s="6"/>
      <c r="F121" s="6"/>
      <c r="G121" s="6"/>
      <c r="H121" s="6"/>
      <c r="I121" s="6"/>
      <c r="J121" s="6"/>
      <c r="K121" s="6"/>
      <c r="L121" s="6"/>
    </row>
    <row r="122" spans="2:12">
      <c r="B122" s="6"/>
      <c r="D122" s="6"/>
      <c r="E122" s="6"/>
      <c r="F122" s="6"/>
      <c r="G122" s="6"/>
      <c r="H122" s="6"/>
      <c r="I122" s="6"/>
      <c r="J122" s="6"/>
      <c r="K122" s="6"/>
      <c r="L122" s="6"/>
    </row>
    <row r="123" spans="2:12">
      <c r="B123" s="6"/>
      <c r="D123" s="6"/>
      <c r="E123" s="6"/>
      <c r="F123" s="6"/>
      <c r="G123" s="6"/>
      <c r="H123" s="6"/>
      <c r="I123" s="6"/>
      <c r="J123" s="6"/>
      <c r="K123" s="6"/>
      <c r="L123" s="6"/>
    </row>
    <row r="124" spans="2:12">
      <c r="B124" s="6"/>
      <c r="D124" s="6"/>
      <c r="E124" s="6"/>
      <c r="F124" s="6"/>
      <c r="G124" s="6"/>
      <c r="H124" s="6"/>
      <c r="I124" s="6"/>
      <c r="J124" s="6"/>
      <c r="K124" s="6"/>
      <c r="L124" s="6"/>
    </row>
    <row r="125" spans="2:12">
      <c r="B125" s="6"/>
      <c r="D125" s="6"/>
      <c r="E125" s="6"/>
      <c r="F125" s="6"/>
      <c r="G125" s="6"/>
      <c r="H125" s="6"/>
      <c r="I125" s="6"/>
      <c r="J125" s="6"/>
      <c r="K125" s="6"/>
      <c r="L125" s="6"/>
    </row>
    <row r="126" spans="2:12">
      <c r="B126" s="6"/>
      <c r="D126" s="6"/>
      <c r="E126" s="6"/>
      <c r="F126" s="6"/>
      <c r="G126" s="6"/>
      <c r="H126" s="6"/>
      <c r="I126" s="6"/>
      <c r="J126" s="6"/>
      <c r="K126" s="6"/>
      <c r="L126" s="6"/>
    </row>
    <row r="127" spans="2:12">
      <c r="B127" s="6"/>
      <c r="D127" s="6"/>
      <c r="E127" s="6"/>
      <c r="F127" s="6"/>
      <c r="G127" s="6"/>
      <c r="H127" s="6"/>
      <c r="I127" s="6"/>
      <c r="J127" s="6"/>
      <c r="K127" s="6"/>
      <c r="L127" s="6"/>
    </row>
    <row r="128" spans="2:12">
      <c r="B128" s="6"/>
      <c r="D128" s="6"/>
      <c r="E128" s="6"/>
      <c r="F128" s="6"/>
      <c r="G128" s="6"/>
      <c r="H128" s="6"/>
      <c r="I128" s="6"/>
      <c r="J128" s="6"/>
      <c r="K128" s="6"/>
      <c r="L128" s="6"/>
    </row>
    <row r="129" spans="2:12">
      <c r="B129" s="6"/>
      <c r="D129" s="6"/>
      <c r="E129" s="6"/>
      <c r="F129" s="6"/>
      <c r="G129" s="6"/>
      <c r="H129" s="6"/>
      <c r="I129" s="6"/>
      <c r="J129" s="6"/>
      <c r="K129" s="6"/>
      <c r="L129" s="6"/>
    </row>
    <row r="130" spans="2:12">
      <c r="B130" s="6"/>
      <c r="D130" s="6"/>
      <c r="E130" s="6"/>
      <c r="F130" s="6"/>
      <c r="G130" s="6"/>
      <c r="H130" s="6"/>
      <c r="I130" s="6"/>
      <c r="J130" s="6"/>
      <c r="K130" s="6"/>
      <c r="L130" s="6"/>
    </row>
    <row r="131" spans="2:12">
      <c r="B131" s="6"/>
      <c r="D131" s="6"/>
      <c r="E131" s="6"/>
      <c r="F131" s="6"/>
      <c r="G131" s="6"/>
      <c r="H131" s="6"/>
      <c r="I131" s="6"/>
      <c r="J131" s="6"/>
      <c r="K131" s="6"/>
      <c r="L131" s="6"/>
    </row>
    <row r="132" spans="2:12">
      <c r="B132" s="6"/>
      <c r="D132" s="6"/>
      <c r="E132" s="6"/>
      <c r="F132" s="6"/>
      <c r="G132" s="6"/>
      <c r="H132" s="6"/>
      <c r="I132" s="6"/>
      <c r="J132" s="6"/>
      <c r="K132" s="6"/>
      <c r="L132" s="6"/>
    </row>
    <row r="133" spans="2:12">
      <c r="B133" s="6"/>
      <c r="D133" s="6"/>
      <c r="E133" s="6"/>
      <c r="F133" s="6"/>
      <c r="G133" s="6"/>
      <c r="H133" s="6"/>
      <c r="I133" s="6"/>
      <c r="J133" s="6"/>
      <c r="K133" s="6"/>
      <c r="L133" s="6"/>
    </row>
    <row r="134" spans="2:12">
      <c r="B134" s="6"/>
      <c r="D134" s="6"/>
      <c r="E134" s="6"/>
      <c r="F134" s="6"/>
      <c r="G134" s="6"/>
      <c r="H134" s="6"/>
      <c r="I134" s="6"/>
      <c r="J134" s="6"/>
      <c r="K134" s="6"/>
      <c r="L134" s="6"/>
    </row>
    <row r="135" spans="2:12">
      <c r="B135" s="6"/>
      <c r="D135" s="6"/>
      <c r="E135" s="6"/>
      <c r="F135" s="6"/>
      <c r="G135" s="6"/>
      <c r="H135" s="6"/>
      <c r="I135" s="6"/>
      <c r="J135" s="6"/>
      <c r="K135" s="6"/>
      <c r="L135" s="6"/>
    </row>
    <row r="136" spans="2:12">
      <c r="B136" s="6"/>
      <c r="D136" s="6"/>
      <c r="E136" s="6"/>
      <c r="F136" s="6"/>
      <c r="G136" s="6"/>
      <c r="H136" s="6"/>
      <c r="I136" s="6"/>
      <c r="J136" s="6"/>
      <c r="K136" s="6"/>
      <c r="L136" s="6"/>
    </row>
    <row r="137" spans="2:12">
      <c r="B137" s="6"/>
      <c r="D137" s="6"/>
      <c r="E137" s="6"/>
      <c r="F137" s="6"/>
      <c r="G137" s="6"/>
      <c r="H137" s="6"/>
      <c r="I137" s="6"/>
      <c r="J137" s="6"/>
      <c r="K137" s="6"/>
      <c r="L137" s="6"/>
    </row>
    <row r="138" spans="2:12">
      <c r="B138" s="6"/>
      <c r="D138" s="6"/>
      <c r="E138" s="6"/>
      <c r="F138" s="6"/>
      <c r="G138" s="6"/>
      <c r="H138" s="6"/>
      <c r="I138" s="6"/>
      <c r="J138" s="6"/>
      <c r="K138" s="6"/>
      <c r="L138" s="6"/>
    </row>
    <row r="139" spans="2:12">
      <c r="B139" s="6"/>
      <c r="D139" s="6"/>
      <c r="E139" s="6"/>
      <c r="F139" s="6"/>
      <c r="G139" s="6"/>
      <c r="H139" s="6"/>
      <c r="I139" s="6"/>
      <c r="J139" s="6"/>
      <c r="K139" s="6"/>
      <c r="L139" s="6"/>
    </row>
    <row r="140" spans="2:12">
      <c r="B140" s="6"/>
      <c r="D140" s="6"/>
      <c r="E140" s="6"/>
      <c r="F140" s="6"/>
      <c r="G140" s="6"/>
      <c r="H140" s="6"/>
      <c r="I140" s="6"/>
      <c r="J140" s="6"/>
      <c r="K140" s="6"/>
      <c r="L140" s="6"/>
    </row>
    <row r="141" spans="2:12">
      <c r="B141" s="6"/>
      <c r="D141" s="6"/>
      <c r="E141" s="6"/>
      <c r="F141" s="6"/>
      <c r="G141" s="6"/>
      <c r="H141" s="6"/>
      <c r="I141" s="6"/>
      <c r="J141" s="6"/>
      <c r="K141" s="6"/>
      <c r="L141" s="6"/>
    </row>
    <row r="142" spans="2:12">
      <c r="B142" s="6"/>
      <c r="D142" s="6"/>
      <c r="E142" s="6"/>
      <c r="F142" s="6"/>
      <c r="G142" s="6"/>
      <c r="H142" s="6"/>
      <c r="I142" s="6"/>
      <c r="J142" s="6"/>
      <c r="K142" s="6"/>
      <c r="L142" s="6"/>
    </row>
    <row r="143" spans="2:12">
      <c r="B143" s="6"/>
      <c r="D143" s="6"/>
      <c r="E143" s="6"/>
      <c r="F143" s="6"/>
      <c r="G143" s="6"/>
      <c r="H143" s="6"/>
      <c r="I143" s="6"/>
      <c r="J143" s="6"/>
      <c r="K143" s="6"/>
      <c r="L143" s="6"/>
    </row>
    <row r="144" spans="2:12">
      <c r="B144" s="6"/>
      <c r="D144" s="6"/>
      <c r="E144" s="6"/>
      <c r="F144" s="6"/>
      <c r="G144" s="6"/>
      <c r="H144" s="6"/>
      <c r="I144" s="6"/>
      <c r="J144" s="6"/>
      <c r="K144" s="6"/>
      <c r="L144" s="6"/>
    </row>
    <row r="145" spans="2:12">
      <c r="B145" s="6"/>
      <c r="D145" s="6"/>
      <c r="E145" s="6"/>
      <c r="F145" s="6"/>
      <c r="G145" s="6"/>
      <c r="H145" s="6"/>
      <c r="I145" s="6"/>
      <c r="J145" s="6"/>
      <c r="K145" s="6"/>
      <c r="L145" s="6"/>
    </row>
    <row r="146" spans="2:12">
      <c r="B146" s="6"/>
      <c r="D146" s="6"/>
      <c r="E146" s="6"/>
      <c r="F146" s="6"/>
      <c r="G146" s="6"/>
      <c r="H146" s="6"/>
      <c r="I146" s="6"/>
      <c r="J146" s="6"/>
      <c r="K146" s="6"/>
      <c r="L146" s="6"/>
    </row>
    <row r="147" spans="2:12">
      <c r="B147" s="6"/>
      <c r="D147" s="6"/>
      <c r="E147" s="6"/>
      <c r="F147" s="6"/>
      <c r="G147" s="6"/>
      <c r="H147" s="6"/>
      <c r="I147" s="6"/>
      <c r="J147" s="6"/>
      <c r="K147" s="6"/>
      <c r="L147" s="6"/>
    </row>
    <row r="148" spans="2:12">
      <c r="B148" s="6"/>
      <c r="D148" s="6"/>
      <c r="E148" s="6"/>
      <c r="F148" s="6"/>
      <c r="G148" s="6"/>
      <c r="H148" s="6"/>
      <c r="I148" s="6"/>
      <c r="J148" s="6"/>
      <c r="K148" s="6"/>
      <c r="L148" s="6"/>
    </row>
    <row r="149" spans="2:12">
      <c r="B149" s="6"/>
      <c r="D149" s="6"/>
      <c r="E149" s="6"/>
      <c r="F149" s="6"/>
      <c r="G149" s="6"/>
      <c r="H149" s="6"/>
      <c r="I149" s="6"/>
      <c r="J149" s="6"/>
      <c r="K149" s="6"/>
      <c r="L149" s="6"/>
    </row>
    <row r="150" spans="2:12">
      <c r="B150" s="6"/>
      <c r="D150" s="6"/>
      <c r="E150" s="6"/>
      <c r="F150" s="6"/>
      <c r="G150" s="6"/>
      <c r="H150" s="6"/>
      <c r="I150" s="6"/>
      <c r="J150" s="6"/>
      <c r="K150" s="6"/>
      <c r="L150" s="6"/>
    </row>
    <row r="151" spans="2:12">
      <c r="B151" s="6"/>
      <c r="D151" s="6"/>
      <c r="E151" s="6"/>
      <c r="F151" s="6"/>
      <c r="G151" s="6"/>
      <c r="H151" s="6"/>
      <c r="I151" s="6"/>
      <c r="J151" s="6"/>
      <c r="K151" s="6"/>
      <c r="L151" s="6"/>
    </row>
    <row r="152" spans="2:12">
      <c r="B152" s="6"/>
      <c r="D152" s="6"/>
      <c r="E152" s="6"/>
      <c r="F152" s="6"/>
      <c r="G152" s="6"/>
      <c r="H152" s="6"/>
      <c r="I152" s="6"/>
      <c r="J152" s="6"/>
      <c r="K152" s="6"/>
      <c r="L152" s="6"/>
    </row>
    <row r="153" spans="2:12">
      <c r="B153" s="6"/>
      <c r="D153" s="6"/>
      <c r="E153" s="6"/>
      <c r="F153" s="6"/>
      <c r="G153" s="6"/>
      <c r="H153" s="6"/>
      <c r="I153" s="6"/>
      <c r="J153" s="6"/>
      <c r="K153" s="6"/>
      <c r="L153" s="6"/>
    </row>
    <row r="154" spans="2:12">
      <c r="B154" s="6"/>
      <c r="D154" s="6"/>
      <c r="E154" s="6"/>
      <c r="F154" s="6"/>
      <c r="G154" s="6"/>
      <c r="H154" s="6"/>
      <c r="I154" s="6"/>
      <c r="J154" s="6"/>
      <c r="K154" s="6"/>
      <c r="L154" s="6"/>
    </row>
    <row r="155" spans="2:12">
      <c r="B155" s="6"/>
      <c r="D155" s="6"/>
      <c r="E155" s="6"/>
      <c r="F155" s="6"/>
      <c r="G155" s="6"/>
      <c r="H155" s="6"/>
      <c r="I155" s="6"/>
      <c r="J155" s="6"/>
      <c r="K155" s="6"/>
      <c r="L155" s="6"/>
    </row>
    <row r="156" spans="2:12">
      <c r="B156" s="6"/>
      <c r="D156" s="6"/>
      <c r="E156" s="6"/>
      <c r="F156" s="6"/>
      <c r="G156" s="6"/>
      <c r="H156" s="6"/>
      <c r="I156" s="6"/>
      <c r="J156" s="6"/>
      <c r="K156" s="6"/>
      <c r="L156" s="6"/>
    </row>
    <row r="157" spans="2:12">
      <c r="B157" s="6"/>
      <c r="D157" s="6"/>
      <c r="E157" s="6"/>
      <c r="F157" s="6"/>
      <c r="G157" s="6"/>
      <c r="H157" s="6"/>
      <c r="I157" s="6"/>
      <c r="J157" s="6"/>
      <c r="K157" s="6"/>
      <c r="L157" s="6"/>
    </row>
    <row r="158" spans="2:12">
      <c r="B158" s="6"/>
      <c r="D158" s="6"/>
      <c r="E158" s="6"/>
      <c r="F158" s="6"/>
      <c r="G158" s="6"/>
      <c r="H158" s="6"/>
      <c r="I158" s="6"/>
      <c r="J158" s="6"/>
      <c r="K158" s="6"/>
      <c r="L158" s="6"/>
    </row>
    <row r="159" spans="2:12">
      <c r="B159" s="6"/>
      <c r="D159" s="6"/>
      <c r="E159" s="6"/>
      <c r="F159" s="6"/>
      <c r="G159" s="6"/>
      <c r="H159" s="6"/>
      <c r="I159" s="6"/>
      <c r="J159" s="6"/>
      <c r="K159" s="6"/>
      <c r="L159" s="6"/>
    </row>
    <row r="160" spans="2:12">
      <c r="B160" s="6"/>
      <c r="D160" s="6"/>
      <c r="E160" s="6"/>
      <c r="F160" s="6"/>
      <c r="G160" s="6"/>
      <c r="H160" s="6"/>
      <c r="I160" s="6"/>
      <c r="J160" s="6"/>
      <c r="K160" s="6"/>
      <c r="L160" s="6"/>
    </row>
    <row r="161" spans="2:12">
      <c r="B161" s="6"/>
      <c r="D161" s="6"/>
      <c r="E161" s="6"/>
      <c r="F161" s="6"/>
      <c r="G161" s="6"/>
      <c r="H161" s="6"/>
      <c r="I161" s="6"/>
      <c r="J161" s="6"/>
      <c r="K161" s="6"/>
      <c r="L161" s="6"/>
    </row>
    <row r="162" spans="2:12">
      <c r="B162" s="6"/>
      <c r="D162" s="6"/>
      <c r="E162" s="6"/>
      <c r="F162" s="6"/>
      <c r="G162" s="6"/>
      <c r="H162" s="6"/>
      <c r="I162" s="6"/>
      <c r="J162" s="6"/>
      <c r="K162" s="6"/>
      <c r="L162" s="6"/>
    </row>
    <row r="163" spans="2:12">
      <c r="B163" s="6"/>
      <c r="D163" s="6"/>
      <c r="E163" s="6"/>
      <c r="F163" s="6"/>
      <c r="G163" s="6"/>
      <c r="H163" s="6"/>
      <c r="I163" s="6"/>
      <c r="J163" s="6"/>
      <c r="K163" s="6"/>
      <c r="L163" s="6"/>
    </row>
    <row r="164" spans="2:12">
      <c r="B164" s="6"/>
      <c r="D164" s="6"/>
      <c r="E164" s="6"/>
      <c r="F164" s="6"/>
      <c r="G164" s="6"/>
      <c r="H164" s="6"/>
      <c r="I164" s="6"/>
      <c r="J164" s="6"/>
      <c r="K164" s="6"/>
      <c r="L164" s="6"/>
    </row>
    <row r="165" spans="2:12">
      <c r="B165" s="6"/>
      <c r="D165" s="6"/>
      <c r="E165" s="6"/>
      <c r="F165" s="6"/>
      <c r="G165" s="6"/>
      <c r="H165" s="6"/>
      <c r="I165" s="6"/>
      <c r="J165" s="6"/>
      <c r="K165" s="6"/>
      <c r="L165" s="6"/>
    </row>
    <row r="166" spans="2:12">
      <c r="B166" s="6"/>
      <c r="D166" s="6"/>
      <c r="E166" s="6"/>
      <c r="F166" s="6"/>
      <c r="G166" s="6"/>
      <c r="H166" s="6"/>
      <c r="I166" s="6"/>
      <c r="J166" s="6"/>
      <c r="K166" s="6"/>
      <c r="L166" s="6"/>
    </row>
    <row r="167" spans="2:12">
      <c r="B167" s="6"/>
      <c r="D167" s="6"/>
      <c r="E167" s="6"/>
      <c r="F167" s="6"/>
      <c r="G167" s="6"/>
      <c r="H167" s="6"/>
      <c r="I167" s="6"/>
      <c r="J167" s="6"/>
      <c r="K167" s="6"/>
      <c r="L167" s="6"/>
    </row>
    <row r="168" spans="2:12">
      <c r="B168" s="6"/>
      <c r="D168" s="6"/>
      <c r="E168" s="6"/>
      <c r="F168" s="6"/>
      <c r="G168" s="6"/>
      <c r="H168" s="6"/>
      <c r="I168" s="6"/>
      <c r="J168" s="6"/>
      <c r="K168" s="6"/>
      <c r="L168" s="6"/>
    </row>
    <row r="169" spans="2:12">
      <c r="B169" s="6"/>
      <c r="D169" s="6"/>
      <c r="E169" s="6"/>
      <c r="F169" s="6"/>
      <c r="G169" s="6"/>
      <c r="H169" s="6"/>
      <c r="I169" s="6"/>
      <c r="J169" s="6"/>
      <c r="K169" s="6"/>
      <c r="L169" s="6"/>
    </row>
    <row r="170" spans="2:12">
      <c r="B170" s="6"/>
      <c r="D170" s="6"/>
      <c r="E170" s="6"/>
      <c r="F170" s="6"/>
      <c r="G170" s="6"/>
      <c r="H170" s="6"/>
      <c r="I170" s="6"/>
      <c r="J170" s="6"/>
      <c r="K170" s="6"/>
      <c r="L170" s="6"/>
    </row>
    <row r="171" spans="2:12">
      <c r="B171" s="6"/>
      <c r="D171" s="6"/>
      <c r="E171" s="6"/>
      <c r="F171" s="6"/>
      <c r="G171" s="6"/>
      <c r="H171" s="6"/>
      <c r="I171" s="6"/>
      <c r="J171" s="6"/>
      <c r="K171" s="6"/>
      <c r="L171" s="6"/>
    </row>
    <row r="172" spans="2:12">
      <c r="B172" s="6"/>
      <c r="D172" s="6"/>
      <c r="E172" s="6"/>
      <c r="F172" s="6"/>
      <c r="G172" s="6"/>
      <c r="H172" s="6"/>
      <c r="I172" s="6"/>
      <c r="J172" s="6"/>
      <c r="K172" s="6"/>
      <c r="L172" s="6"/>
    </row>
    <row r="173" spans="2:12">
      <c r="B173" s="6"/>
      <c r="D173" s="6"/>
      <c r="E173" s="6"/>
      <c r="F173" s="6"/>
      <c r="G173" s="6"/>
      <c r="H173" s="6"/>
      <c r="I173" s="6"/>
      <c r="J173" s="6"/>
      <c r="K173" s="6"/>
      <c r="L173" s="6"/>
    </row>
    <row r="174" spans="2:12">
      <c r="B174" s="6"/>
      <c r="D174" s="6"/>
      <c r="E174" s="6"/>
      <c r="F174" s="6"/>
      <c r="G174" s="6"/>
      <c r="H174" s="6"/>
      <c r="I174" s="6"/>
      <c r="J174" s="6"/>
      <c r="K174" s="6"/>
      <c r="L174" s="6"/>
    </row>
    <row r="175" spans="2:12">
      <c r="B175" s="6"/>
      <c r="D175" s="6"/>
      <c r="E175" s="6"/>
      <c r="F175" s="6"/>
      <c r="G175" s="6"/>
      <c r="H175" s="6"/>
      <c r="I175" s="6"/>
      <c r="J175" s="6"/>
      <c r="K175" s="6"/>
      <c r="L175" s="6"/>
    </row>
    <row r="176" spans="2:12">
      <c r="B176" s="6"/>
      <c r="D176" s="6"/>
      <c r="E176" s="6"/>
      <c r="F176" s="6"/>
      <c r="G176" s="6"/>
      <c r="H176" s="6"/>
      <c r="I176" s="6"/>
      <c r="J176" s="6"/>
      <c r="K176" s="6"/>
      <c r="L176" s="6"/>
    </row>
    <row r="177" spans="2:12">
      <c r="B177" s="6"/>
      <c r="D177" s="6"/>
      <c r="E177" s="6"/>
      <c r="F177" s="6"/>
      <c r="G177" s="6"/>
      <c r="H177" s="6"/>
      <c r="I177" s="6"/>
      <c r="J177" s="6"/>
      <c r="K177" s="6"/>
      <c r="L177" s="6"/>
    </row>
    <row r="178" spans="2:12">
      <c r="B178" s="6"/>
      <c r="D178" s="6"/>
      <c r="E178" s="6"/>
      <c r="F178" s="6"/>
      <c r="G178" s="6"/>
      <c r="H178" s="6"/>
      <c r="I178" s="6"/>
      <c r="J178" s="6"/>
      <c r="K178" s="6"/>
      <c r="L178" s="6"/>
    </row>
    <row r="179" spans="2:12">
      <c r="B179" s="6"/>
      <c r="D179" s="6"/>
      <c r="E179" s="6"/>
      <c r="F179" s="6"/>
      <c r="G179" s="6"/>
      <c r="H179" s="6"/>
      <c r="I179" s="6"/>
      <c r="J179" s="6"/>
      <c r="K179" s="6"/>
      <c r="L179" s="6"/>
    </row>
    <row r="180" spans="2:12">
      <c r="B180" s="6"/>
      <c r="D180" s="6"/>
      <c r="E180" s="6"/>
      <c r="F180" s="6"/>
      <c r="G180" s="6"/>
      <c r="H180" s="6"/>
      <c r="I180" s="6"/>
      <c r="J180" s="6"/>
      <c r="K180" s="6"/>
      <c r="L180" s="6"/>
    </row>
    <row r="181" spans="2:12">
      <c r="B181" s="6"/>
      <c r="D181" s="6"/>
      <c r="E181" s="6"/>
      <c r="F181" s="6"/>
      <c r="G181" s="6"/>
      <c r="H181" s="6"/>
      <c r="I181" s="6"/>
      <c r="J181" s="6"/>
      <c r="K181" s="6"/>
      <c r="L181" s="6"/>
    </row>
    <row r="182" spans="2:12">
      <c r="B182" s="6"/>
      <c r="D182" s="6"/>
      <c r="E182" s="6"/>
      <c r="F182" s="6"/>
      <c r="G182" s="6"/>
      <c r="H182" s="6"/>
      <c r="I182" s="6"/>
      <c r="J182" s="6"/>
      <c r="K182" s="6"/>
      <c r="L182" s="6"/>
    </row>
    <row r="183" spans="2:12">
      <c r="B183" s="6"/>
      <c r="D183" s="6"/>
      <c r="E183" s="6"/>
      <c r="F183" s="6"/>
      <c r="G183" s="6"/>
      <c r="H183" s="6"/>
      <c r="I183" s="6"/>
      <c r="J183" s="6"/>
      <c r="K183" s="6"/>
      <c r="L183" s="6"/>
    </row>
    <row r="184" spans="2:12">
      <c r="K184" s="6"/>
      <c r="L184" s="6"/>
    </row>
  </sheetData>
  <sheetProtection sheet="1" objects="1" scenarios="1"/>
  <mergeCells count="41">
    <mergeCell ref="B10:D10"/>
    <mergeCell ref="F10:S10"/>
    <mergeCell ref="F11:S11"/>
    <mergeCell ref="E12:R12"/>
    <mergeCell ref="E13:R13"/>
    <mergeCell ref="N24:N25"/>
    <mergeCell ref="O24:O25"/>
    <mergeCell ref="P24:P25"/>
    <mergeCell ref="K24:K25"/>
    <mergeCell ref="K39:K40"/>
    <mergeCell ref="L39:L40"/>
    <mergeCell ref="M39:M40"/>
    <mergeCell ref="L24:L25"/>
    <mergeCell ref="M24:M25"/>
    <mergeCell ref="B89:B94"/>
    <mergeCell ref="B74:D74"/>
    <mergeCell ref="B76:B84"/>
    <mergeCell ref="B85:B86"/>
    <mergeCell ref="D85:D86"/>
    <mergeCell ref="B87:B88"/>
    <mergeCell ref="B15:B43"/>
    <mergeCell ref="D15:I15"/>
    <mergeCell ref="D22:I22"/>
    <mergeCell ref="D23:I23"/>
    <mergeCell ref="D31:I31"/>
    <mergeCell ref="D32:I32"/>
    <mergeCell ref="D33:I33"/>
    <mergeCell ref="D43:I43"/>
    <mergeCell ref="B69:F69"/>
    <mergeCell ref="D44:I44"/>
    <mergeCell ref="D45:I45"/>
    <mergeCell ref="B47:E47"/>
    <mergeCell ref="B48:B54"/>
    <mergeCell ref="B56:E56"/>
    <mergeCell ref="B57:B63"/>
    <mergeCell ref="B66:D67"/>
    <mergeCell ref="A1:P1"/>
    <mergeCell ref="A2:P2"/>
    <mergeCell ref="A3:P3"/>
    <mergeCell ref="A4:D4"/>
    <mergeCell ref="A5:P5"/>
  </mergeCells>
  <conditionalFormatting sqref="I20">
    <cfRule type="containsErrors" dxfId="88" priority="6">
      <formula>ISERROR(I20)</formula>
    </cfRule>
  </conditionalFormatting>
  <conditionalFormatting sqref="I25">
    <cfRule type="containsText" dxfId="87" priority="5" operator="containsText" text="debe">
      <formula>NOT(ISERROR(SEARCH("debe",I25)))</formula>
    </cfRule>
  </conditionalFormatting>
  <conditionalFormatting sqref="F10">
    <cfRule type="notContainsBlanks" dxfId="86" priority="4">
      <formula>LEN(TRIM(F10))&gt;0</formula>
    </cfRule>
  </conditionalFormatting>
  <conditionalFormatting sqref="F11:S11">
    <cfRule type="expression" dxfId="85" priority="2">
      <formula>E11="NO SE REPORTA"</formula>
    </cfRule>
    <cfRule type="expression" dxfId="84" priority="3">
      <formula>E10="NO APLICA"</formula>
    </cfRule>
  </conditionalFormatting>
  <conditionalFormatting sqref="E12:R12">
    <cfRule type="expression" dxfId="83" priority="1">
      <formula>E11="SI SE REPORTA"</formula>
    </cfRule>
  </conditionalFormatting>
  <dataValidations count="6">
    <dataValidation type="whole" operator="greaterThanOrEqual" allowBlank="1" showInputMessage="1" showErrorMessage="1" errorTitle="ERROR" error="Valor en HECTAREAS (sin decimales)" sqref="E17:E19 E21 E25:H29 F35:F42 I26:I30 L41:L45">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showGridLines="0" topLeftCell="A10" zoomScale="98" zoomScaleNormal="98" workbookViewId="0">
      <selection activeCell="D22" sqref="D22:L22"/>
    </sheetView>
  </sheetViews>
  <sheetFormatPr baseColWidth="10" defaultRowHeight="15"/>
  <cols>
    <col min="1" max="1" width="1.85546875" customWidth="1"/>
    <col min="2" max="2" width="12.85546875" customWidth="1"/>
    <col min="3" max="3" width="5" style="86" bestFit="1" customWidth="1"/>
    <col min="4" max="4" width="39.7109375" customWidth="1"/>
    <col min="5" max="5" width="13.28515625" customWidth="1"/>
    <col min="8" max="8" width="14.42578125" bestFit="1" customWidth="1"/>
    <col min="9" max="9" width="13.140625" bestFit="1"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458</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3" t="s">
        <v>1203</v>
      </c>
      <c r="C8" s="214">
        <v>2018</v>
      </c>
      <c r="D8" s="218">
        <f>IF(E10="NO APLICA","NO APLICA",IF(E11="NO SE REPORTA","SIN INFORMACION",+G20))</f>
        <v>0.78</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Gestión'!E49:H49</f>
        <v>Proyecto No 3.1. Ecosistemas estratégicos continentales y marinos (6).</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6" customHeight="1" thickTop="1" thickBot="1">
      <c r="B15" s="1727" t="s">
        <v>2</v>
      </c>
      <c r="C15" s="88"/>
      <c r="D15" s="1685" t="s">
        <v>344</v>
      </c>
      <c r="E15" s="1686"/>
      <c r="F15" s="1686"/>
      <c r="G15" s="1686"/>
      <c r="H15" s="1686"/>
      <c r="I15" s="1686"/>
      <c r="J15" s="1686"/>
      <c r="K15" s="1686"/>
      <c r="L15" s="1733"/>
    </row>
    <row r="16" spans="1:21" ht="36.75" thickBot="1">
      <c r="B16" s="1728"/>
      <c r="C16" s="93"/>
      <c r="D16" s="44" t="s">
        <v>472</v>
      </c>
      <c r="E16" s="987" t="s">
        <v>473</v>
      </c>
      <c r="F16" s="987" t="s">
        <v>474</v>
      </c>
      <c r="G16" s="987" t="s">
        <v>475</v>
      </c>
      <c r="H16" s="6"/>
      <c r="I16" s="6"/>
      <c r="J16" s="6"/>
      <c r="K16" s="6"/>
      <c r="L16" s="14"/>
    </row>
    <row r="17" spans="2:12" ht="36.75" thickBot="1">
      <c r="B17" s="1728"/>
      <c r="C17" s="93"/>
      <c r="D17" s="1308" t="s">
        <v>476</v>
      </c>
      <c r="E17" s="210">
        <v>8</v>
      </c>
      <c r="F17" s="210">
        <v>1</v>
      </c>
      <c r="G17" s="147">
        <f>SUM(E17:F17)</f>
        <v>9</v>
      </c>
      <c r="H17" s="6"/>
      <c r="I17" s="6"/>
      <c r="J17" s="6"/>
      <c r="K17" s="6"/>
      <c r="L17" s="14"/>
    </row>
    <row r="18" spans="2:12" ht="24.75" thickBot="1">
      <c r="B18" s="1728"/>
      <c r="C18" s="93"/>
      <c r="D18" s="1308" t="s">
        <v>477</v>
      </c>
      <c r="E18" s="210">
        <v>8</v>
      </c>
      <c r="F18" s="210">
        <v>1</v>
      </c>
      <c r="G18" s="147">
        <f>+E18+F18</f>
        <v>9</v>
      </c>
      <c r="H18" s="6"/>
      <c r="I18" s="6"/>
      <c r="J18" s="6"/>
      <c r="K18" s="6"/>
      <c r="L18" s="14"/>
    </row>
    <row r="19" spans="2:12" ht="24.75" thickBot="1">
      <c r="B19" s="1728"/>
      <c r="C19" s="93"/>
      <c r="D19" s="1308" t="s">
        <v>478</v>
      </c>
      <c r="E19" s="210">
        <v>7</v>
      </c>
      <c r="F19" s="210">
        <v>0</v>
      </c>
      <c r="G19" s="147">
        <f>+E19+F19</f>
        <v>7</v>
      </c>
      <c r="H19" s="6"/>
      <c r="I19" s="6"/>
      <c r="J19" s="6"/>
      <c r="K19" s="6"/>
      <c r="L19" s="14"/>
    </row>
    <row r="20" spans="2:12" ht="24.75" thickBot="1">
      <c r="B20" s="1728"/>
      <c r="C20" s="93"/>
      <c r="D20" s="1308" t="s">
        <v>458</v>
      </c>
      <c r="E20" s="192">
        <f>IFERROR(E19/E18,"N.A.")</f>
        <v>0.88</v>
      </c>
      <c r="F20" s="192">
        <f>IFERROR(F19/F18,"N.A.")</f>
        <v>0</v>
      </c>
      <c r="G20" s="142">
        <f>IFERROR(G19/G18,0)</f>
        <v>0.78</v>
      </c>
      <c r="H20" s="6"/>
      <c r="I20" s="6"/>
      <c r="J20" s="6"/>
      <c r="K20" s="6"/>
      <c r="L20" s="14"/>
    </row>
    <row r="21" spans="2:12">
      <c r="B21" s="1728"/>
      <c r="C21" s="91"/>
      <c r="D21" s="1688"/>
      <c r="E21" s="1689"/>
      <c r="F21" s="1689"/>
      <c r="G21" s="1689"/>
      <c r="H21" s="1689"/>
      <c r="I21" s="1689"/>
      <c r="J21" s="1689"/>
      <c r="K21" s="1689"/>
      <c r="L21" s="1734"/>
    </row>
    <row r="22" spans="2:12">
      <c r="B22" s="1728"/>
      <c r="C22" s="91"/>
      <c r="D22" s="1674" t="s">
        <v>254</v>
      </c>
      <c r="E22" s="1675"/>
      <c r="F22" s="1675"/>
      <c r="G22" s="1675"/>
      <c r="H22" s="1675"/>
      <c r="I22" s="1675"/>
      <c r="J22" s="1675"/>
      <c r="K22" s="1675"/>
      <c r="L22" s="1735"/>
    </row>
    <row r="23" spans="2:12">
      <c r="B23" s="1728"/>
      <c r="C23" s="91"/>
      <c r="D23" s="1674" t="s">
        <v>1685</v>
      </c>
      <c r="E23" s="1675"/>
      <c r="F23" s="1675"/>
      <c r="G23" s="1675"/>
      <c r="H23" s="1675"/>
      <c r="I23" s="1675"/>
      <c r="J23" s="1675"/>
      <c r="K23" s="1675"/>
      <c r="L23" s="1735"/>
    </row>
    <row r="24" spans="2:12" ht="15.75" thickBot="1">
      <c r="B24" s="1728"/>
      <c r="C24" s="91"/>
      <c r="D24" s="1716" t="s">
        <v>348</v>
      </c>
      <c r="E24" s="1717"/>
      <c r="F24" s="1717"/>
      <c r="G24" s="1717"/>
      <c r="H24" s="1717"/>
      <c r="I24" s="1717"/>
      <c r="J24" s="1717"/>
      <c r="K24" s="1717"/>
      <c r="L24" s="1736"/>
    </row>
    <row r="25" spans="2:12" ht="15.6" customHeight="1">
      <c r="B25" s="425"/>
      <c r="C25" s="1731" t="s">
        <v>24</v>
      </c>
      <c r="D25" s="1729" t="s">
        <v>278</v>
      </c>
      <c r="E25" s="1729" t="s">
        <v>479</v>
      </c>
      <c r="F25" s="1729" t="s">
        <v>390</v>
      </c>
      <c r="G25" s="1729" t="s">
        <v>480</v>
      </c>
      <c r="H25" s="205" t="s">
        <v>481</v>
      </c>
      <c r="I25" s="205" t="s">
        <v>483</v>
      </c>
      <c r="J25" s="1729" t="s">
        <v>282</v>
      </c>
      <c r="K25" s="1729" t="s">
        <v>283</v>
      </c>
      <c r="L25" s="1729" t="s">
        <v>60</v>
      </c>
    </row>
    <row r="26" spans="2:12" ht="32.25" customHeight="1" thickBot="1">
      <c r="B26" s="425"/>
      <c r="C26" s="1732"/>
      <c r="D26" s="1730"/>
      <c r="E26" s="1730"/>
      <c r="F26" s="1730"/>
      <c r="G26" s="1730"/>
      <c r="H26" s="206" t="s">
        <v>482</v>
      </c>
      <c r="I26" s="206" t="s">
        <v>484</v>
      </c>
      <c r="J26" s="1730"/>
      <c r="K26" s="1730"/>
      <c r="L26" s="1730"/>
    </row>
    <row r="27" spans="2:12" ht="15.75" thickBot="1">
      <c r="B27" s="425"/>
      <c r="C27" s="1138">
        <v>1</v>
      </c>
      <c r="D27" s="1139" t="s">
        <v>1873</v>
      </c>
      <c r="E27" s="1140" t="s">
        <v>1684</v>
      </c>
      <c r="F27" s="1140" t="s">
        <v>1668</v>
      </c>
      <c r="G27" s="1141" t="s">
        <v>1683</v>
      </c>
      <c r="H27" s="1142"/>
      <c r="I27" s="1142"/>
      <c r="J27" s="1142"/>
      <c r="K27" s="1142"/>
      <c r="L27" s="1142"/>
    </row>
    <row r="28" spans="2:12" s="403" customFormat="1" ht="15.75" thickBot="1">
      <c r="B28" s="425"/>
      <c r="C28" s="1143">
        <v>2</v>
      </c>
      <c r="D28" s="1144" t="s">
        <v>1874</v>
      </c>
      <c r="E28" s="1140" t="s">
        <v>1684</v>
      </c>
      <c r="F28" s="1140" t="s">
        <v>1668</v>
      </c>
      <c r="G28" s="1141" t="s">
        <v>1683</v>
      </c>
      <c r="H28" s="1142"/>
      <c r="I28" s="1142"/>
      <c r="J28" s="1142"/>
      <c r="K28" s="1142"/>
      <c r="L28" s="1142"/>
    </row>
    <row r="29" spans="2:12" s="403" customFormat="1" ht="15.75" thickBot="1">
      <c r="B29" s="425"/>
      <c r="C29" s="1145">
        <v>3</v>
      </c>
      <c r="D29" s="1144" t="s">
        <v>1875</v>
      </c>
      <c r="E29" s="1140" t="s">
        <v>1684</v>
      </c>
      <c r="F29" s="1140" t="s">
        <v>1668</v>
      </c>
      <c r="G29" s="1141" t="s">
        <v>1683</v>
      </c>
      <c r="H29" s="1142"/>
      <c r="I29" s="1142"/>
      <c r="J29" s="1142"/>
      <c r="K29" s="1142"/>
      <c r="L29" s="1142"/>
    </row>
    <row r="30" spans="2:12" s="403" customFormat="1" ht="15.75" thickBot="1">
      <c r="B30" s="425"/>
      <c r="C30" s="1145">
        <v>4</v>
      </c>
      <c r="D30" s="1144" t="s">
        <v>1876</v>
      </c>
      <c r="E30" s="1140" t="s">
        <v>1684</v>
      </c>
      <c r="F30" s="1140" t="s">
        <v>1668</v>
      </c>
      <c r="G30" s="1141" t="s">
        <v>1683</v>
      </c>
      <c r="H30" s="1146"/>
      <c r="I30" s="1146"/>
      <c r="J30" s="1146"/>
      <c r="K30" s="1146"/>
      <c r="L30" s="1142"/>
    </row>
    <row r="31" spans="2:12" s="403" customFormat="1" ht="15.75" thickBot="1">
      <c r="B31" s="1079"/>
      <c r="C31" s="1145">
        <v>5</v>
      </c>
      <c r="D31" s="1144" t="s">
        <v>1877</v>
      </c>
      <c r="E31" s="1140" t="s">
        <v>1684</v>
      </c>
      <c r="F31" s="1140" t="s">
        <v>1668</v>
      </c>
      <c r="G31" s="1141" t="s">
        <v>1683</v>
      </c>
      <c r="H31" s="1146"/>
      <c r="I31" s="1146"/>
      <c r="J31" s="1146"/>
      <c r="K31" s="1146"/>
      <c r="L31" s="1142"/>
    </row>
    <row r="32" spans="2:12" s="403" customFormat="1" ht="15.75" thickBot="1">
      <c r="B32" s="1079"/>
      <c r="C32" s="1145">
        <v>6</v>
      </c>
      <c r="D32" s="1144" t="s">
        <v>1878</v>
      </c>
      <c r="E32" s="1140" t="s">
        <v>1684</v>
      </c>
      <c r="F32" s="1140" t="s">
        <v>1668</v>
      </c>
      <c r="G32" s="1141" t="s">
        <v>1683</v>
      </c>
      <c r="H32" s="1146"/>
      <c r="I32" s="1146"/>
      <c r="J32" s="1146"/>
      <c r="K32" s="1146"/>
      <c r="L32" s="1142"/>
    </row>
    <row r="33" spans="2:12" s="403" customFormat="1" ht="24.75" thickBot="1">
      <c r="B33" s="1079"/>
      <c r="C33" s="1145">
        <v>7</v>
      </c>
      <c r="D33" s="1147" t="s">
        <v>1879</v>
      </c>
      <c r="E33" s="1140" t="s">
        <v>1684</v>
      </c>
      <c r="F33" s="1140" t="s">
        <v>1668</v>
      </c>
      <c r="G33" s="1141" t="s">
        <v>1683</v>
      </c>
      <c r="H33" s="1146"/>
      <c r="I33" s="1146"/>
      <c r="J33" s="1146"/>
      <c r="K33" s="1146"/>
      <c r="L33" s="1142"/>
    </row>
    <row r="34" spans="2:12" s="403" customFormat="1" ht="15.75" thickBot="1">
      <c r="B34" s="1079"/>
      <c r="C34" s="1145">
        <v>8</v>
      </c>
      <c r="D34" s="1144" t="s">
        <v>1880</v>
      </c>
      <c r="E34" s="1140" t="s">
        <v>1684</v>
      </c>
      <c r="F34" s="1140" t="s">
        <v>1668</v>
      </c>
      <c r="G34" s="1141" t="s">
        <v>1683</v>
      </c>
      <c r="H34" s="1146"/>
      <c r="I34" s="1146"/>
      <c r="J34" s="1146"/>
      <c r="K34" s="1146"/>
      <c r="L34" s="1142"/>
    </row>
    <row r="35" spans="2:12" s="403" customFormat="1" ht="24.75" thickBot="1">
      <c r="B35" s="1079"/>
      <c r="C35" s="1145">
        <v>9</v>
      </c>
      <c r="D35" s="1147" t="s">
        <v>1881</v>
      </c>
      <c r="E35" s="1140" t="s">
        <v>1684</v>
      </c>
      <c r="F35" s="1140" t="s">
        <v>1668</v>
      </c>
      <c r="G35" s="1141" t="s">
        <v>1683</v>
      </c>
      <c r="H35" s="1146"/>
      <c r="I35" s="1146"/>
      <c r="J35" s="1146"/>
      <c r="K35" s="1146"/>
      <c r="L35" s="1142"/>
    </row>
    <row r="36" spans="2:12" s="403" customFormat="1" ht="24.75" thickBot="1">
      <c r="B36" s="1079"/>
      <c r="C36" s="1145">
        <v>10</v>
      </c>
      <c r="D36" s="1148" t="s">
        <v>1882</v>
      </c>
      <c r="E36" s="1140" t="s">
        <v>1684</v>
      </c>
      <c r="F36" s="1140" t="s">
        <v>1668</v>
      </c>
      <c r="G36" s="1141" t="s">
        <v>1683</v>
      </c>
      <c r="H36" s="1146"/>
      <c r="I36" s="1146"/>
      <c r="J36" s="1146"/>
      <c r="K36" s="1146"/>
      <c r="L36" s="1142"/>
    </row>
    <row r="37" spans="2:12" s="403" customFormat="1" ht="36.75" thickBot="1">
      <c r="B37" s="1079"/>
      <c r="C37" s="1145">
        <v>11</v>
      </c>
      <c r="D37" s="1148" t="s">
        <v>1883</v>
      </c>
      <c r="E37" s="1140" t="s">
        <v>1684</v>
      </c>
      <c r="F37" s="1140" t="s">
        <v>1668</v>
      </c>
      <c r="G37" s="1141" t="s">
        <v>1683</v>
      </c>
      <c r="H37" s="1146"/>
      <c r="I37" s="1146"/>
      <c r="J37" s="1146"/>
      <c r="K37" s="1146"/>
      <c r="L37" s="1142"/>
    </row>
    <row r="38" spans="2:12" s="403" customFormat="1" ht="15.75" thickBot="1">
      <c r="B38" s="826"/>
      <c r="C38" s="1080">
        <v>1</v>
      </c>
      <c r="D38" s="1081" t="s">
        <v>1884</v>
      </c>
      <c r="E38" s="1082" t="s">
        <v>1723</v>
      </c>
      <c r="F38" s="1082" t="s">
        <v>1668</v>
      </c>
      <c r="G38" s="1086" t="s">
        <v>1722</v>
      </c>
      <c r="H38" s="1083"/>
      <c r="I38" s="1083"/>
      <c r="J38" s="1083"/>
      <c r="K38" s="1083"/>
      <c r="L38" s="1084"/>
    </row>
    <row r="39" spans="2:12" s="403" customFormat="1" ht="15.75" thickBot="1">
      <c r="B39" s="1079"/>
      <c r="C39" s="1080">
        <v>2</v>
      </c>
      <c r="D39" s="1081" t="s">
        <v>1885</v>
      </c>
      <c r="E39" s="1082" t="s">
        <v>1723</v>
      </c>
      <c r="F39" s="1082" t="s">
        <v>1668</v>
      </c>
      <c r="G39" s="1086" t="s">
        <v>1722</v>
      </c>
      <c r="H39" s="1083"/>
      <c r="I39" s="1083"/>
      <c r="J39" s="1083"/>
      <c r="K39" s="1083"/>
      <c r="L39" s="1084"/>
    </row>
    <row r="40" spans="2:12" s="403" customFormat="1" ht="15.75" thickBot="1">
      <c r="B40" s="1079"/>
      <c r="C40" s="1080">
        <v>3</v>
      </c>
      <c r="D40" s="1081" t="s">
        <v>1886</v>
      </c>
      <c r="E40" s="1082" t="s">
        <v>1723</v>
      </c>
      <c r="F40" s="1082" t="s">
        <v>1668</v>
      </c>
      <c r="G40" s="1086" t="s">
        <v>1722</v>
      </c>
      <c r="H40" s="1083"/>
      <c r="I40" s="1083"/>
      <c r="J40" s="1083"/>
      <c r="K40" s="1083"/>
      <c r="L40" s="1084"/>
    </row>
    <row r="41" spans="2:12" s="403" customFormat="1" ht="24.75" thickBot="1">
      <c r="B41" s="1079"/>
      <c r="C41" s="1080">
        <v>4</v>
      </c>
      <c r="D41" s="1085" t="s">
        <v>1887</v>
      </c>
      <c r="E41" s="1082" t="s">
        <v>1723</v>
      </c>
      <c r="F41" s="1082" t="s">
        <v>1668</v>
      </c>
      <c r="G41" s="1086" t="s">
        <v>1722</v>
      </c>
      <c r="H41" s="1083"/>
      <c r="I41" s="1083"/>
      <c r="J41" s="1083"/>
      <c r="K41" s="1083"/>
      <c r="L41" s="1084"/>
    </row>
    <row r="42" spans="2:12" s="403" customFormat="1" ht="36.75" thickBot="1">
      <c r="B42" s="1079"/>
      <c r="C42" s="1080">
        <v>5</v>
      </c>
      <c r="D42" s="1085" t="s">
        <v>1888</v>
      </c>
      <c r="E42" s="1082" t="s">
        <v>1723</v>
      </c>
      <c r="F42" s="1082" t="s">
        <v>1668</v>
      </c>
      <c r="G42" s="1086" t="s">
        <v>1722</v>
      </c>
      <c r="H42" s="1083"/>
      <c r="I42" s="1083"/>
      <c r="J42" s="1083"/>
      <c r="K42" s="1083"/>
      <c r="L42" s="1084"/>
    </row>
    <row r="43" spans="2:12" s="403" customFormat="1" ht="36.75" thickBot="1">
      <c r="B43" s="1079"/>
      <c r="C43" s="1080">
        <v>6</v>
      </c>
      <c r="D43" s="1085" t="s">
        <v>1889</v>
      </c>
      <c r="E43" s="1082" t="s">
        <v>1723</v>
      </c>
      <c r="F43" s="1082" t="s">
        <v>1668</v>
      </c>
      <c r="G43" s="1086" t="s">
        <v>1722</v>
      </c>
      <c r="H43" s="1083"/>
      <c r="I43" s="1083"/>
      <c r="J43" s="1083"/>
      <c r="K43" s="1083"/>
      <c r="L43" s="1084"/>
    </row>
    <row r="44" spans="2:12" s="403" customFormat="1" ht="15.75" thickBot="1">
      <c r="B44" s="1079"/>
      <c r="C44" s="1080">
        <v>7</v>
      </c>
      <c r="D44" s="1081" t="s">
        <v>1890</v>
      </c>
      <c r="E44" s="1082" t="s">
        <v>1723</v>
      </c>
      <c r="F44" s="1082" t="s">
        <v>1668</v>
      </c>
      <c r="G44" s="1086" t="s">
        <v>1722</v>
      </c>
      <c r="H44" s="1083"/>
      <c r="I44" s="1083"/>
      <c r="J44" s="1083"/>
      <c r="K44" s="1083"/>
      <c r="L44" s="1084"/>
    </row>
    <row r="45" spans="2:12" s="403" customFormat="1" ht="15.75" thickBot="1">
      <c r="B45" s="1079"/>
      <c r="C45" s="1080">
        <v>8</v>
      </c>
      <c r="D45" s="1081" t="s">
        <v>1891</v>
      </c>
      <c r="E45" s="1082" t="s">
        <v>1723</v>
      </c>
      <c r="F45" s="1082" t="s">
        <v>1668</v>
      </c>
      <c r="G45" s="1086" t="s">
        <v>1722</v>
      </c>
      <c r="H45" s="1083"/>
      <c r="I45" s="1083"/>
      <c r="J45" s="1083"/>
      <c r="K45" s="1083"/>
      <c r="L45" s="1084"/>
    </row>
    <row r="46" spans="2:12" s="403" customFormat="1" ht="15.75" thickBot="1">
      <c r="B46" s="1079"/>
      <c r="C46" s="1080">
        <v>9</v>
      </c>
      <c r="D46" s="1081" t="s">
        <v>1892</v>
      </c>
      <c r="E46" s="1082" t="s">
        <v>1723</v>
      </c>
      <c r="F46" s="1082" t="s">
        <v>1668</v>
      </c>
      <c r="G46" s="1086" t="s">
        <v>1722</v>
      </c>
      <c r="H46" s="1083"/>
      <c r="I46" s="1083"/>
      <c r="J46" s="1083"/>
      <c r="K46" s="1083"/>
      <c r="L46" s="1084"/>
    </row>
    <row r="47" spans="2:12" s="403" customFormat="1" ht="24.75" thickBot="1">
      <c r="B47" s="1079"/>
      <c r="C47" s="1080">
        <v>10</v>
      </c>
      <c r="D47" s="1085" t="s">
        <v>1893</v>
      </c>
      <c r="E47" s="1082" t="s">
        <v>1723</v>
      </c>
      <c r="F47" s="1082" t="s">
        <v>1668</v>
      </c>
      <c r="G47" s="1086" t="s">
        <v>1722</v>
      </c>
      <c r="H47" s="1083"/>
      <c r="I47" s="1083"/>
      <c r="J47" s="1083"/>
      <c r="K47" s="1083"/>
      <c r="L47" s="1084"/>
    </row>
    <row r="48" spans="2:12" s="403" customFormat="1" ht="15.75" thickBot="1">
      <c r="B48" s="1079"/>
      <c r="C48" s="1080">
        <v>11</v>
      </c>
      <c r="D48" s="1085" t="s">
        <v>1894</v>
      </c>
      <c r="E48" s="1082" t="s">
        <v>1723</v>
      </c>
      <c r="F48" s="1082" t="s">
        <v>1668</v>
      </c>
      <c r="G48" s="1086" t="s">
        <v>1722</v>
      </c>
      <c r="H48" s="1083"/>
      <c r="I48" s="1083"/>
      <c r="J48" s="1083"/>
      <c r="K48" s="1083"/>
      <c r="L48" s="1084"/>
    </row>
    <row r="49" spans="2:12" s="403" customFormat="1" ht="15.75" thickBot="1">
      <c r="B49" s="1079"/>
      <c r="C49" s="1080">
        <v>12</v>
      </c>
      <c r="D49" s="1085" t="s">
        <v>1895</v>
      </c>
      <c r="E49" s="1082" t="s">
        <v>1723</v>
      </c>
      <c r="F49" s="1082" t="s">
        <v>1668</v>
      </c>
      <c r="G49" s="1086" t="s">
        <v>1722</v>
      </c>
      <c r="H49" s="1083"/>
      <c r="I49" s="1083"/>
      <c r="J49" s="1083"/>
      <c r="K49" s="1083"/>
      <c r="L49" s="1084"/>
    </row>
    <row r="50" spans="2:12" s="403" customFormat="1" ht="24.75" thickBot="1">
      <c r="B50" s="1079"/>
      <c r="C50" s="1080">
        <v>13</v>
      </c>
      <c r="D50" s="1085" t="s">
        <v>1896</v>
      </c>
      <c r="E50" s="1082" t="s">
        <v>1723</v>
      </c>
      <c r="F50" s="1082" t="s">
        <v>1668</v>
      </c>
      <c r="G50" s="1086" t="s">
        <v>1722</v>
      </c>
      <c r="H50" s="1083"/>
      <c r="I50" s="1083"/>
      <c r="J50" s="1083"/>
      <c r="K50" s="1083"/>
      <c r="L50" s="1084"/>
    </row>
    <row r="51" spans="2:12" s="403" customFormat="1" ht="24.75" thickBot="1">
      <c r="B51" s="1079"/>
      <c r="C51" s="1080">
        <v>14</v>
      </c>
      <c r="D51" s="1085" t="s">
        <v>1897</v>
      </c>
      <c r="E51" s="1082" t="s">
        <v>1723</v>
      </c>
      <c r="F51" s="1082" t="s">
        <v>1668</v>
      </c>
      <c r="G51" s="1086" t="s">
        <v>1722</v>
      </c>
      <c r="H51" s="1083"/>
      <c r="I51" s="1083"/>
      <c r="J51" s="1083"/>
      <c r="K51" s="1083"/>
      <c r="L51" s="1084"/>
    </row>
    <row r="52" spans="2:12" s="403" customFormat="1" ht="36.75" thickBot="1">
      <c r="B52" s="1079"/>
      <c r="C52" s="1080">
        <v>15</v>
      </c>
      <c r="D52" s="1085" t="s">
        <v>1898</v>
      </c>
      <c r="E52" s="1082" t="s">
        <v>1723</v>
      </c>
      <c r="F52" s="1082" t="s">
        <v>1668</v>
      </c>
      <c r="G52" s="1086" t="s">
        <v>1722</v>
      </c>
      <c r="H52" s="1083"/>
      <c r="I52" s="1083"/>
      <c r="J52" s="1083"/>
      <c r="K52" s="1083"/>
      <c r="L52" s="1084"/>
    </row>
    <row r="53" spans="2:12" s="403" customFormat="1" ht="15.75" thickBot="1">
      <c r="B53" s="1079"/>
      <c r="C53" s="1080">
        <v>16</v>
      </c>
      <c r="D53" s="1085" t="s">
        <v>1899</v>
      </c>
      <c r="E53" s="1082" t="s">
        <v>1723</v>
      </c>
      <c r="F53" s="1082" t="s">
        <v>1668</v>
      </c>
      <c r="G53" s="1086" t="s">
        <v>1722</v>
      </c>
      <c r="H53" s="1083"/>
      <c r="I53" s="1083"/>
      <c r="J53" s="1083"/>
      <c r="K53" s="1083"/>
      <c r="L53" s="1084"/>
    </row>
    <row r="54" spans="2:12" s="403" customFormat="1" ht="24.75" thickBot="1">
      <c r="B54" s="1079"/>
      <c r="C54" s="1080">
        <v>17</v>
      </c>
      <c r="D54" s="1085" t="s">
        <v>1900</v>
      </c>
      <c r="E54" s="1082" t="s">
        <v>1723</v>
      </c>
      <c r="F54" s="1082" t="s">
        <v>1668</v>
      </c>
      <c r="G54" s="1086" t="s">
        <v>1722</v>
      </c>
      <c r="H54" s="1083"/>
      <c r="I54" s="1083"/>
      <c r="J54" s="1083"/>
      <c r="K54" s="1083"/>
      <c r="L54" s="1084"/>
    </row>
    <row r="55" spans="2:12" s="403" customFormat="1" ht="15.75" thickBot="1">
      <c r="B55" s="1079"/>
      <c r="C55" s="1080">
        <v>18</v>
      </c>
      <c r="D55" s="1085" t="s">
        <v>1901</v>
      </c>
      <c r="E55" s="1082" t="s">
        <v>1723</v>
      </c>
      <c r="F55" s="1082" t="s">
        <v>1668</v>
      </c>
      <c r="G55" s="1086" t="s">
        <v>1722</v>
      </c>
      <c r="H55" s="1083"/>
      <c r="I55" s="1083"/>
      <c r="J55" s="1083"/>
      <c r="K55" s="1083"/>
      <c r="L55" s="1084"/>
    </row>
    <row r="56" spans="2:12" s="403" customFormat="1" ht="15.75" thickBot="1">
      <c r="B56" s="1079"/>
      <c r="C56" s="1080">
        <v>19</v>
      </c>
      <c r="D56" s="1085" t="s">
        <v>1902</v>
      </c>
      <c r="E56" s="1082" t="s">
        <v>1723</v>
      </c>
      <c r="F56" s="1082" t="s">
        <v>1668</v>
      </c>
      <c r="G56" s="1086" t="s">
        <v>1722</v>
      </c>
      <c r="H56" s="1083"/>
      <c r="I56" s="1083"/>
      <c r="J56" s="1083"/>
      <c r="K56" s="1083"/>
      <c r="L56" s="1084"/>
    </row>
    <row r="57" spans="2:12" s="403" customFormat="1" ht="15.75" thickBot="1">
      <c r="B57" s="1079"/>
      <c r="C57" s="1087">
        <v>1</v>
      </c>
      <c r="D57" s="1088" t="s">
        <v>1903</v>
      </c>
      <c r="E57" s="1091" t="s">
        <v>1686</v>
      </c>
      <c r="F57" s="1091" t="s">
        <v>1668</v>
      </c>
      <c r="G57" s="1091" t="s">
        <v>1687</v>
      </c>
      <c r="H57" s="1089"/>
      <c r="I57" s="1089"/>
      <c r="J57" s="1089"/>
      <c r="K57" s="1089"/>
      <c r="L57" s="1090"/>
    </row>
    <row r="58" spans="2:12" s="403" customFormat="1" ht="15.75" thickBot="1">
      <c r="B58" s="425"/>
      <c r="C58" s="1087">
        <v>2</v>
      </c>
      <c r="D58" s="1088" t="s">
        <v>1904</v>
      </c>
      <c r="E58" s="1091" t="s">
        <v>1686</v>
      </c>
      <c r="F58" s="1091" t="s">
        <v>1668</v>
      </c>
      <c r="G58" s="1091" t="s">
        <v>1687</v>
      </c>
      <c r="H58" s="1090"/>
      <c r="I58" s="1090"/>
      <c r="J58" s="1090"/>
      <c r="K58" s="1090"/>
      <c r="L58" s="1090"/>
    </row>
    <row r="59" spans="2:12" s="403" customFormat="1" ht="15.75" thickBot="1">
      <c r="B59" s="1079"/>
      <c r="C59" s="1087">
        <v>3</v>
      </c>
      <c r="D59" s="1088" t="s">
        <v>1905</v>
      </c>
      <c r="E59" s="1091" t="s">
        <v>1686</v>
      </c>
      <c r="F59" s="1091" t="s">
        <v>1668</v>
      </c>
      <c r="G59" s="1091" t="s">
        <v>1687</v>
      </c>
      <c r="H59" s="1090"/>
      <c r="I59" s="1090"/>
      <c r="J59" s="1090"/>
      <c r="K59" s="1090"/>
      <c r="L59" s="1090"/>
    </row>
    <row r="60" spans="2:12" s="403" customFormat="1" ht="15.75" thickBot="1">
      <c r="B60" s="1079"/>
      <c r="C60" s="1087">
        <v>4</v>
      </c>
      <c r="D60" s="1088" t="s">
        <v>1906</v>
      </c>
      <c r="E60" s="1091" t="s">
        <v>1686</v>
      </c>
      <c r="F60" s="1091" t="s">
        <v>1668</v>
      </c>
      <c r="G60" s="1091" t="s">
        <v>1687</v>
      </c>
      <c r="H60" s="1090"/>
      <c r="I60" s="1090"/>
      <c r="J60" s="1090"/>
      <c r="K60" s="1090"/>
      <c r="L60" s="1090"/>
    </row>
    <row r="61" spans="2:12" s="403" customFormat="1" ht="24.75" thickBot="1">
      <c r="B61" s="1079"/>
      <c r="C61" s="1087">
        <v>5</v>
      </c>
      <c r="D61" s="1093" t="s">
        <v>1907</v>
      </c>
      <c r="E61" s="1091" t="s">
        <v>1686</v>
      </c>
      <c r="F61" s="1091" t="s">
        <v>1668</v>
      </c>
      <c r="G61" s="1091" t="s">
        <v>1687</v>
      </c>
      <c r="H61" s="1090"/>
      <c r="I61" s="1090"/>
      <c r="J61" s="1090"/>
      <c r="K61" s="1090"/>
      <c r="L61" s="1090"/>
    </row>
    <row r="62" spans="2:12" s="403" customFormat="1" ht="24.75" thickBot="1">
      <c r="B62" s="1079"/>
      <c r="C62" s="1087">
        <v>6</v>
      </c>
      <c r="D62" s="1093" t="s">
        <v>1908</v>
      </c>
      <c r="E62" s="1091" t="s">
        <v>1686</v>
      </c>
      <c r="F62" s="1091" t="s">
        <v>1668</v>
      </c>
      <c r="G62" s="1091" t="s">
        <v>1687</v>
      </c>
      <c r="H62" s="1090"/>
      <c r="I62" s="1090"/>
      <c r="J62" s="1090"/>
      <c r="K62" s="1090"/>
      <c r="L62" s="1090"/>
    </row>
    <row r="63" spans="2:12" s="403" customFormat="1" ht="15.75" thickBot="1">
      <c r="B63" s="1079"/>
      <c r="C63" s="1087">
        <v>7</v>
      </c>
      <c r="D63" s="1088" t="s">
        <v>1909</v>
      </c>
      <c r="E63" s="1091" t="s">
        <v>1686</v>
      </c>
      <c r="F63" s="1091" t="s">
        <v>1668</v>
      </c>
      <c r="G63" s="1091" t="s">
        <v>1687</v>
      </c>
      <c r="H63" s="1090"/>
      <c r="I63" s="1090"/>
      <c r="J63" s="1090"/>
      <c r="K63" s="1090"/>
      <c r="L63" s="1090"/>
    </row>
    <row r="64" spans="2:12" s="403" customFormat="1" ht="15.75" thickBot="1">
      <c r="B64" s="1079"/>
      <c r="C64" s="1087">
        <v>8</v>
      </c>
      <c r="D64" s="1088" t="s">
        <v>1910</v>
      </c>
      <c r="E64" s="1091" t="s">
        <v>1686</v>
      </c>
      <c r="F64" s="1091" t="s">
        <v>1668</v>
      </c>
      <c r="G64" s="1091" t="s">
        <v>1687</v>
      </c>
      <c r="H64" s="1090"/>
      <c r="I64" s="1090"/>
      <c r="J64" s="1090"/>
      <c r="K64" s="1090"/>
      <c r="L64" s="1090"/>
    </row>
    <row r="65" spans="2:12" s="403" customFormat="1" ht="24.75" thickBot="1">
      <c r="B65" s="1079"/>
      <c r="C65" s="1087">
        <v>9</v>
      </c>
      <c r="D65" s="1093" t="s">
        <v>1911</v>
      </c>
      <c r="E65" s="1091" t="s">
        <v>1686</v>
      </c>
      <c r="F65" s="1091" t="s">
        <v>1668</v>
      </c>
      <c r="G65" s="1091" t="s">
        <v>1687</v>
      </c>
      <c r="H65" s="1090"/>
      <c r="I65" s="1090"/>
      <c r="J65" s="1090"/>
      <c r="K65" s="1090"/>
      <c r="L65" s="1090"/>
    </row>
    <row r="66" spans="2:12" s="403" customFormat="1" ht="24.75" thickBot="1">
      <c r="B66" s="1079"/>
      <c r="C66" s="1087">
        <v>10</v>
      </c>
      <c r="D66" s="1093" t="s">
        <v>1912</v>
      </c>
      <c r="E66" s="1091" t="s">
        <v>1686</v>
      </c>
      <c r="F66" s="1091" t="s">
        <v>1668</v>
      </c>
      <c r="G66" s="1091" t="s">
        <v>1687</v>
      </c>
      <c r="H66" s="1090"/>
      <c r="I66" s="1090"/>
      <c r="J66" s="1090"/>
      <c r="K66" s="1090"/>
      <c r="L66" s="1090"/>
    </row>
    <row r="67" spans="2:12" s="403" customFormat="1" ht="15.75" thickBot="1">
      <c r="B67" s="1079"/>
      <c r="C67" s="1087">
        <v>11</v>
      </c>
      <c r="D67" s="1088" t="s">
        <v>1913</v>
      </c>
      <c r="E67" s="1091" t="s">
        <v>1686</v>
      </c>
      <c r="F67" s="1091" t="s">
        <v>1668</v>
      </c>
      <c r="G67" s="1091" t="s">
        <v>1687</v>
      </c>
      <c r="H67" s="1090"/>
      <c r="I67" s="1090"/>
      <c r="J67" s="1090"/>
      <c r="K67" s="1090"/>
      <c r="L67" s="1090"/>
    </row>
    <row r="68" spans="2:12" s="403" customFormat="1" ht="15.75" thickBot="1">
      <c r="B68" s="1079"/>
      <c r="C68" s="1087">
        <v>12</v>
      </c>
      <c r="D68" s="1088" t="s">
        <v>1914</v>
      </c>
      <c r="E68" s="1091" t="s">
        <v>1686</v>
      </c>
      <c r="F68" s="1091" t="s">
        <v>1668</v>
      </c>
      <c r="G68" s="1091" t="s">
        <v>1687</v>
      </c>
      <c r="H68" s="1090"/>
      <c r="I68" s="1090"/>
      <c r="J68" s="1090"/>
      <c r="K68" s="1090"/>
      <c r="L68" s="1090"/>
    </row>
    <row r="69" spans="2:12" s="403" customFormat="1" ht="24.75" thickBot="1">
      <c r="B69" s="1079"/>
      <c r="C69" s="1087">
        <v>13</v>
      </c>
      <c r="D69" s="1092" t="s">
        <v>1915</v>
      </c>
      <c r="E69" s="1091" t="s">
        <v>1686</v>
      </c>
      <c r="F69" s="1091" t="s">
        <v>1668</v>
      </c>
      <c r="G69" s="1091" t="s">
        <v>1687</v>
      </c>
      <c r="H69" s="1090"/>
      <c r="I69" s="1090"/>
      <c r="J69" s="1090"/>
      <c r="K69" s="1090"/>
      <c r="L69" s="1090"/>
    </row>
    <row r="70" spans="2:12" s="403" customFormat="1" ht="15.75" thickBot="1">
      <c r="B70" s="1079"/>
      <c r="C70" s="1087">
        <v>14</v>
      </c>
      <c r="D70" s="1088" t="s">
        <v>1916</v>
      </c>
      <c r="E70" s="1091" t="s">
        <v>1686</v>
      </c>
      <c r="F70" s="1091" t="s">
        <v>1668</v>
      </c>
      <c r="G70" s="1091" t="s">
        <v>1687</v>
      </c>
      <c r="H70" s="1090"/>
      <c r="I70" s="1090"/>
      <c r="J70" s="1090"/>
      <c r="K70" s="1090"/>
      <c r="L70" s="1090"/>
    </row>
    <row r="71" spans="2:12" s="403" customFormat="1" ht="24.75" thickBot="1">
      <c r="B71" s="1079"/>
      <c r="C71" s="1087">
        <v>15</v>
      </c>
      <c r="D71" s="1093" t="s">
        <v>1917</v>
      </c>
      <c r="E71" s="1091" t="s">
        <v>1686</v>
      </c>
      <c r="F71" s="1091" t="s">
        <v>1668</v>
      </c>
      <c r="G71" s="1091" t="s">
        <v>1687</v>
      </c>
      <c r="H71" s="1090"/>
      <c r="I71" s="1090"/>
      <c r="J71" s="1090"/>
      <c r="K71" s="1090"/>
      <c r="L71" s="1090"/>
    </row>
    <row r="72" spans="2:12" s="403" customFormat="1" ht="15.75" thickBot="1">
      <c r="B72" s="1079"/>
      <c r="C72" s="1087">
        <v>16</v>
      </c>
      <c r="D72" s="1088" t="s">
        <v>1918</v>
      </c>
      <c r="E72" s="1091" t="s">
        <v>1686</v>
      </c>
      <c r="F72" s="1091" t="s">
        <v>1668</v>
      </c>
      <c r="G72" s="1091" t="s">
        <v>1687</v>
      </c>
      <c r="H72" s="1090"/>
      <c r="I72" s="1090"/>
      <c r="J72" s="1090"/>
      <c r="K72" s="1090"/>
      <c r="L72" s="1090"/>
    </row>
    <row r="73" spans="2:12" s="403" customFormat="1" ht="24.75" thickBot="1">
      <c r="B73" s="1079"/>
      <c r="C73" s="1087">
        <v>17</v>
      </c>
      <c r="D73" s="1093" t="s">
        <v>1919</v>
      </c>
      <c r="E73" s="1091" t="s">
        <v>1686</v>
      </c>
      <c r="F73" s="1091" t="s">
        <v>1668</v>
      </c>
      <c r="G73" s="1091" t="s">
        <v>1687</v>
      </c>
      <c r="H73" s="1090"/>
      <c r="I73" s="1090"/>
      <c r="J73" s="1090"/>
      <c r="K73" s="1090"/>
      <c r="L73" s="1090"/>
    </row>
    <row r="74" spans="2:12" s="403" customFormat="1" ht="15.75" thickBot="1">
      <c r="B74" s="1079"/>
      <c r="C74" s="1087">
        <v>18</v>
      </c>
      <c r="D74" s="1093" t="s">
        <v>1920</v>
      </c>
      <c r="E74" s="1091" t="s">
        <v>1686</v>
      </c>
      <c r="F74" s="1091" t="s">
        <v>1668</v>
      </c>
      <c r="G74" s="1091" t="s">
        <v>1687</v>
      </c>
      <c r="H74" s="1090"/>
      <c r="I74" s="1090"/>
      <c r="J74" s="1090"/>
      <c r="K74" s="1090"/>
      <c r="L74" s="1090"/>
    </row>
    <row r="75" spans="2:12" s="403" customFormat="1" ht="15.75" thickBot="1">
      <c r="B75" s="1079"/>
      <c r="C75" s="1087">
        <v>19</v>
      </c>
      <c r="D75" s="1093" t="s">
        <v>1921</v>
      </c>
      <c r="E75" s="1091" t="s">
        <v>1686</v>
      </c>
      <c r="F75" s="1091" t="s">
        <v>1668</v>
      </c>
      <c r="G75" s="1091" t="s">
        <v>1687</v>
      </c>
      <c r="H75" s="1090"/>
      <c r="I75" s="1090"/>
      <c r="J75" s="1090"/>
      <c r="K75" s="1090"/>
      <c r="L75" s="1090"/>
    </row>
    <row r="76" spans="2:12" s="403" customFormat="1" ht="24.75" thickBot="1">
      <c r="B76" s="1079"/>
      <c r="C76" s="1087">
        <v>20</v>
      </c>
      <c r="D76" s="1092" t="s">
        <v>1922</v>
      </c>
      <c r="E76" s="1091" t="s">
        <v>1686</v>
      </c>
      <c r="F76" s="1091" t="s">
        <v>1668</v>
      </c>
      <c r="G76" s="1091" t="s">
        <v>1687</v>
      </c>
      <c r="H76" s="1090"/>
      <c r="I76" s="1090"/>
      <c r="J76" s="1090"/>
      <c r="K76" s="1090"/>
      <c r="L76" s="1090"/>
    </row>
    <row r="77" spans="2:12" s="403" customFormat="1" ht="15.75" thickBot="1">
      <c r="B77" s="425"/>
      <c r="C77" s="1073">
        <v>1</v>
      </c>
      <c r="D77" s="1094" t="s">
        <v>1903</v>
      </c>
      <c r="E77" s="1109" t="s">
        <v>1688</v>
      </c>
      <c r="F77" s="1109" t="s">
        <v>1668</v>
      </c>
      <c r="G77" s="1109" t="s">
        <v>1687</v>
      </c>
      <c r="H77" s="1095"/>
      <c r="I77" s="1095"/>
      <c r="J77" s="1095"/>
      <c r="K77" s="1095"/>
      <c r="L77" s="1095"/>
    </row>
    <row r="78" spans="2:12" s="403" customFormat="1" ht="15.75" thickBot="1">
      <c r="B78" s="425"/>
      <c r="C78" s="1074">
        <v>2</v>
      </c>
      <c r="D78" s="1094" t="s">
        <v>1923</v>
      </c>
      <c r="E78" s="1109" t="s">
        <v>1688</v>
      </c>
      <c r="F78" s="1109" t="s">
        <v>1668</v>
      </c>
      <c r="G78" s="1109" t="s">
        <v>1687</v>
      </c>
      <c r="H78" s="1096"/>
      <c r="I78" s="1096"/>
      <c r="J78" s="1096"/>
      <c r="K78" s="1096"/>
      <c r="L78" s="1095"/>
    </row>
    <row r="79" spans="2:12" s="403" customFormat="1" ht="15.75" thickBot="1">
      <c r="B79" s="1079"/>
      <c r="C79" s="1074">
        <v>3</v>
      </c>
      <c r="D79" s="1094" t="s">
        <v>1874</v>
      </c>
      <c r="E79" s="1109" t="s">
        <v>1688</v>
      </c>
      <c r="F79" s="1109" t="s">
        <v>1668</v>
      </c>
      <c r="G79" s="1109" t="s">
        <v>1687</v>
      </c>
      <c r="H79" s="1097"/>
      <c r="I79" s="1098"/>
      <c r="J79" s="1099"/>
      <c r="K79" s="1098"/>
      <c r="L79" s="1095"/>
    </row>
    <row r="80" spans="2:12" s="403" customFormat="1" ht="15.75" thickBot="1">
      <c r="B80" s="1079"/>
      <c r="C80" s="1074">
        <v>4</v>
      </c>
      <c r="D80" s="1094" t="s">
        <v>1924</v>
      </c>
      <c r="E80" s="1109" t="s">
        <v>1688</v>
      </c>
      <c r="F80" s="1109" t="s">
        <v>1668</v>
      </c>
      <c r="G80" s="1109" t="s">
        <v>1687</v>
      </c>
      <c r="H80" s="1100"/>
      <c r="I80" s="1098"/>
      <c r="J80" s="1101"/>
      <c r="K80" s="1098"/>
      <c r="L80" s="1095"/>
    </row>
    <row r="81" spans="2:12" s="403" customFormat="1" ht="15.75" thickBot="1">
      <c r="B81" s="1079"/>
      <c r="C81" s="1074">
        <v>5</v>
      </c>
      <c r="D81" s="1094" t="s">
        <v>1925</v>
      </c>
      <c r="E81" s="1109" t="s">
        <v>1688</v>
      </c>
      <c r="F81" s="1109" t="s">
        <v>1668</v>
      </c>
      <c r="G81" s="1109" t="s">
        <v>1687</v>
      </c>
      <c r="H81" s="1102"/>
      <c r="I81" s="1098"/>
      <c r="J81" s="1103"/>
      <c r="K81" s="1098"/>
      <c r="L81" s="1095"/>
    </row>
    <row r="82" spans="2:12" s="403" customFormat="1" ht="15.75" thickBot="1">
      <c r="B82" s="1079"/>
      <c r="C82" s="1074">
        <v>6</v>
      </c>
      <c r="D82" s="1094" t="s">
        <v>1890</v>
      </c>
      <c r="E82" s="1109" t="s">
        <v>1688</v>
      </c>
      <c r="F82" s="1109" t="s">
        <v>1668</v>
      </c>
      <c r="G82" s="1109" t="s">
        <v>1687</v>
      </c>
      <c r="H82" s="1100"/>
      <c r="I82" s="1098"/>
      <c r="J82" s="1098"/>
      <c r="K82" s="1104"/>
      <c r="L82" s="1095"/>
    </row>
    <row r="83" spans="2:12" s="403" customFormat="1" ht="24.75" thickBot="1">
      <c r="B83" s="1079"/>
      <c r="C83" s="1074">
        <v>7</v>
      </c>
      <c r="D83" s="1108" t="s">
        <v>1926</v>
      </c>
      <c r="E83" s="1109" t="s">
        <v>1688</v>
      </c>
      <c r="F83" s="1109" t="s">
        <v>1668</v>
      </c>
      <c r="G83" s="1109" t="s">
        <v>1687</v>
      </c>
      <c r="H83" s="1098"/>
      <c r="I83" s="1099"/>
      <c r="J83" s="1098"/>
      <c r="K83" s="1105"/>
      <c r="L83" s="1095"/>
    </row>
    <row r="84" spans="2:12" s="403" customFormat="1" ht="15.75" thickBot="1">
      <c r="B84" s="1079"/>
      <c r="C84" s="1074">
        <v>8</v>
      </c>
      <c r="D84" s="1094" t="s">
        <v>1906</v>
      </c>
      <c r="E84" s="1109" t="s">
        <v>1688</v>
      </c>
      <c r="F84" s="1109" t="s">
        <v>1668</v>
      </c>
      <c r="G84" s="1109" t="s">
        <v>1687</v>
      </c>
      <c r="H84" s="1100"/>
      <c r="I84" s="1098"/>
      <c r="J84" s="1098"/>
      <c r="K84" s="1104"/>
      <c r="L84" s="1095"/>
    </row>
    <row r="85" spans="2:12" s="403" customFormat="1" ht="24.75" thickBot="1">
      <c r="B85" s="1079"/>
      <c r="C85" s="1074">
        <v>9</v>
      </c>
      <c r="D85" s="1107" t="s">
        <v>1927</v>
      </c>
      <c r="E85" s="1109" t="s">
        <v>1688</v>
      </c>
      <c r="F85" s="1109" t="s">
        <v>1668</v>
      </c>
      <c r="G85" s="1109" t="s">
        <v>1687</v>
      </c>
      <c r="H85" s="1102"/>
      <c r="I85" s="1098"/>
      <c r="J85" s="1098"/>
      <c r="K85" s="1096"/>
      <c r="L85" s="1095"/>
    </row>
    <row r="86" spans="2:12" s="403" customFormat="1" ht="15.75" thickBot="1">
      <c r="B86" s="1079"/>
      <c r="C86" s="1074">
        <v>10</v>
      </c>
      <c r="D86" s="1094" t="s">
        <v>1928</v>
      </c>
      <c r="E86" s="1109" t="s">
        <v>1688</v>
      </c>
      <c r="F86" s="1109" t="s">
        <v>1668</v>
      </c>
      <c r="G86" s="1109" t="s">
        <v>1687</v>
      </c>
      <c r="H86" s="1098"/>
      <c r="I86" s="1101"/>
      <c r="J86" s="1098"/>
      <c r="K86" s="1104"/>
      <c r="L86" s="1095"/>
    </row>
    <row r="87" spans="2:12" s="403" customFormat="1" ht="15.75" thickBot="1">
      <c r="B87" s="1079"/>
      <c r="C87" s="1074">
        <v>11</v>
      </c>
      <c r="D87" s="1094" t="s">
        <v>1929</v>
      </c>
      <c r="E87" s="1109" t="s">
        <v>1688</v>
      </c>
      <c r="F87" s="1109" t="s">
        <v>1668</v>
      </c>
      <c r="G87" s="1109" t="s">
        <v>1687</v>
      </c>
      <c r="H87" s="1098"/>
      <c r="I87" s="1103"/>
      <c r="J87" s="1098"/>
      <c r="K87" s="1096"/>
      <c r="L87" s="1095"/>
    </row>
    <row r="88" spans="2:12" s="403" customFormat="1" ht="15.75" thickBot="1">
      <c r="B88" s="1079"/>
      <c r="C88" s="1074">
        <v>12</v>
      </c>
      <c r="D88" s="1094" t="s">
        <v>1930</v>
      </c>
      <c r="E88" s="1109" t="s">
        <v>1688</v>
      </c>
      <c r="F88" s="1109" t="s">
        <v>1668</v>
      </c>
      <c r="G88" s="1109" t="s">
        <v>1687</v>
      </c>
      <c r="H88" s="1098"/>
      <c r="I88" s="1101"/>
      <c r="J88" s="1098"/>
      <c r="K88" s="1104"/>
      <c r="L88" s="1095"/>
    </row>
    <row r="89" spans="2:12" s="403" customFormat="1" ht="15.75" thickBot="1">
      <c r="B89" s="1079"/>
      <c r="C89" s="1074">
        <v>13</v>
      </c>
      <c r="D89" s="1094" t="s">
        <v>1931</v>
      </c>
      <c r="E89" s="1109" t="s">
        <v>1688</v>
      </c>
      <c r="F89" s="1109" t="s">
        <v>1668</v>
      </c>
      <c r="G89" s="1109" t="s">
        <v>1687</v>
      </c>
      <c r="H89" s="1102"/>
      <c r="I89" s="1098"/>
      <c r="J89" s="1103"/>
      <c r="K89" s="1098"/>
      <c r="L89" s="1095"/>
    </row>
    <row r="90" spans="2:12" s="403" customFormat="1" ht="15.75" thickBot="1">
      <c r="B90" s="1079"/>
      <c r="C90" s="1074">
        <v>14</v>
      </c>
      <c r="D90" s="1094" t="s">
        <v>1910</v>
      </c>
      <c r="E90" s="1109" t="s">
        <v>1688</v>
      </c>
      <c r="F90" s="1109" t="s">
        <v>1668</v>
      </c>
      <c r="G90" s="1109" t="s">
        <v>1687</v>
      </c>
      <c r="H90" s="1100"/>
      <c r="I90" s="1098"/>
      <c r="J90" s="1098"/>
      <c r="K90" s="1104"/>
      <c r="L90" s="1095"/>
    </row>
    <row r="91" spans="2:12" s="403" customFormat="1" ht="15.75" thickBot="1">
      <c r="B91" s="1079"/>
      <c r="C91" s="1074">
        <v>15</v>
      </c>
      <c r="D91" s="1094" t="s">
        <v>1932</v>
      </c>
      <c r="E91" s="1109" t="s">
        <v>1688</v>
      </c>
      <c r="F91" s="1109" t="s">
        <v>1668</v>
      </c>
      <c r="G91" s="1109" t="s">
        <v>1687</v>
      </c>
      <c r="H91" s="1102"/>
      <c r="I91" s="1106"/>
      <c r="J91" s="1106"/>
      <c r="K91" s="1096"/>
      <c r="L91" s="1095"/>
    </row>
    <row r="92" spans="2:12" s="403" customFormat="1" ht="36.75" thickBot="1">
      <c r="B92" s="1079"/>
      <c r="C92" s="1074">
        <v>16</v>
      </c>
      <c r="D92" s="1110" t="s">
        <v>1933</v>
      </c>
      <c r="E92" s="1109" t="s">
        <v>1688</v>
      </c>
      <c r="F92" s="1109" t="s">
        <v>1668</v>
      </c>
      <c r="G92" s="1109" t="s">
        <v>1687</v>
      </c>
      <c r="H92" s="1100"/>
      <c r="I92" s="1098"/>
      <c r="J92" s="1101"/>
      <c r="K92" s="1098"/>
      <c r="L92" s="1095"/>
    </row>
    <row r="93" spans="2:12" s="403" customFormat="1" ht="24.75" thickBot="1">
      <c r="B93" s="1079"/>
      <c r="C93" s="1074">
        <v>1</v>
      </c>
      <c r="D93" s="1111" t="s">
        <v>1935</v>
      </c>
      <c r="E93" s="1112" t="s">
        <v>1934</v>
      </c>
      <c r="F93" s="1113" t="s">
        <v>1668</v>
      </c>
      <c r="G93" s="1114" t="s">
        <v>1687</v>
      </c>
      <c r="H93" s="1115"/>
      <c r="I93" s="1116"/>
      <c r="J93" s="1117"/>
      <c r="K93" s="1116"/>
      <c r="L93" s="1118"/>
    </row>
    <row r="94" spans="2:12" s="403" customFormat="1" ht="24.75" thickBot="1">
      <c r="B94" s="1079"/>
      <c r="C94" s="1074">
        <v>2</v>
      </c>
      <c r="D94" s="1111" t="s">
        <v>1936</v>
      </c>
      <c r="E94" s="1112" t="s">
        <v>1934</v>
      </c>
      <c r="F94" s="1113" t="s">
        <v>1668</v>
      </c>
      <c r="G94" s="1114" t="s">
        <v>1687</v>
      </c>
      <c r="H94" s="1115"/>
      <c r="I94" s="1116"/>
      <c r="J94" s="1117"/>
      <c r="K94" s="1116"/>
      <c r="L94" s="1118"/>
    </row>
    <row r="95" spans="2:12" s="403" customFormat="1" ht="24.75" thickBot="1">
      <c r="B95" s="1079"/>
      <c r="C95" s="1074">
        <v>3</v>
      </c>
      <c r="D95" s="1119" t="s">
        <v>1937</v>
      </c>
      <c r="E95" s="1112" t="s">
        <v>1934</v>
      </c>
      <c r="F95" s="1113" t="s">
        <v>1668</v>
      </c>
      <c r="G95" s="1114" t="s">
        <v>1687</v>
      </c>
      <c r="H95" s="1115"/>
      <c r="I95" s="1116"/>
      <c r="J95" s="1117"/>
      <c r="K95" s="1116"/>
      <c r="L95" s="1118"/>
    </row>
    <row r="96" spans="2:12" s="403" customFormat="1" ht="24.75" thickBot="1">
      <c r="B96" s="1079"/>
      <c r="C96" s="1074">
        <v>4</v>
      </c>
      <c r="D96" s="1111" t="s">
        <v>1874</v>
      </c>
      <c r="E96" s="1112" t="s">
        <v>1934</v>
      </c>
      <c r="F96" s="1113" t="s">
        <v>1668</v>
      </c>
      <c r="G96" s="1114" t="s">
        <v>1687</v>
      </c>
      <c r="H96" s="1115"/>
      <c r="I96" s="1116"/>
      <c r="J96" s="1117"/>
      <c r="K96" s="1116"/>
      <c r="L96" s="1118"/>
    </row>
    <row r="97" spans="2:12" s="403" customFormat="1" ht="24.75" thickBot="1">
      <c r="B97" s="1079"/>
      <c r="C97" s="1074">
        <v>5</v>
      </c>
      <c r="D97" s="1119" t="s">
        <v>1938</v>
      </c>
      <c r="E97" s="1112" t="s">
        <v>1934</v>
      </c>
      <c r="F97" s="1113" t="s">
        <v>1668</v>
      </c>
      <c r="G97" s="1114" t="s">
        <v>1687</v>
      </c>
      <c r="H97" s="1115"/>
      <c r="I97" s="1116"/>
      <c r="J97" s="1117"/>
      <c r="K97" s="1116"/>
      <c r="L97" s="1118"/>
    </row>
    <row r="98" spans="2:12" s="403" customFormat="1" ht="24.75" thickBot="1">
      <c r="B98" s="1079"/>
      <c r="C98" s="1074">
        <v>6</v>
      </c>
      <c r="D98" s="1111" t="s">
        <v>1939</v>
      </c>
      <c r="E98" s="1112" t="s">
        <v>1934</v>
      </c>
      <c r="F98" s="1113" t="s">
        <v>1668</v>
      </c>
      <c r="G98" s="1114" t="s">
        <v>1687</v>
      </c>
      <c r="H98" s="1115"/>
      <c r="I98" s="1116"/>
      <c r="J98" s="1117"/>
      <c r="K98" s="1116"/>
      <c r="L98" s="1118"/>
    </row>
    <row r="99" spans="2:12" s="403" customFormat="1" ht="24.75" thickBot="1">
      <c r="B99" s="1079"/>
      <c r="C99" s="1074">
        <v>7</v>
      </c>
      <c r="D99" s="1119" t="s">
        <v>1940</v>
      </c>
      <c r="E99" s="1112" t="s">
        <v>1934</v>
      </c>
      <c r="F99" s="1113" t="s">
        <v>1668</v>
      </c>
      <c r="G99" s="1114" t="s">
        <v>1687</v>
      </c>
      <c r="H99" s="1115"/>
      <c r="I99" s="1116"/>
      <c r="J99" s="1117"/>
      <c r="K99" s="1116"/>
      <c r="L99" s="1118"/>
    </row>
    <row r="100" spans="2:12" s="403" customFormat="1" ht="24.75" thickBot="1">
      <c r="B100" s="1079"/>
      <c r="C100" s="1074">
        <v>8</v>
      </c>
      <c r="D100" s="1120" t="s">
        <v>1878</v>
      </c>
      <c r="E100" s="1112" t="s">
        <v>1934</v>
      </c>
      <c r="F100" s="1113" t="s">
        <v>1668</v>
      </c>
      <c r="G100" s="1114" t="s">
        <v>1687</v>
      </c>
      <c r="H100" s="1327"/>
      <c r="I100" s="1327"/>
      <c r="J100" s="1116"/>
      <c r="K100" s="1116"/>
      <c r="L100" s="1118"/>
    </row>
    <row r="101" spans="2:12" s="403" customFormat="1" ht="24.75" thickBot="1">
      <c r="B101" s="1079"/>
      <c r="C101" s="1074">
        <v>9</v>
      </c>
      <c r="D101" s="1121" t="s">
        <v>1941</v>
      </c>
      <c r="E101" s="1112" t="s">
        <v>1934</v>
      </c>
      <c r="F101" s="1113" t="s">
        <v>1668</v>
      </c>
      <c r="G101" s="1114" t="s">
        <v>1687</v>
      </c>
      <c r="H101" s="1116"/>
      <c r="I101" s="1122"/>
      <c r="J101" s="1116"/>
      <c r="K101" s="1116"/>
      <c r="L101" s="1118"/>
    </row>
    <row r="102" spans="2:12" s="403" customFormat="1" ht="24.75" thickBot="1">
      <c r="B102" s="1079"/>
      <c r="C102" s="1074">
        <v>10</v>
      </c>
      <c r="D102" s="1120" t="s">
        <v>1931</v>
      </c>
      <c r="E102" s="1112" t="s">
        <v>1934</v>
      </c>
      <c r="F102" s="1113" t="s">
        <v>1668</v>
      </c>
      <c r="G102" s="1114" t="s">
        <v>1687</v>
      </c>
      <c r="H102" s="1116"/>
      <c r="I102" s="1117"/>
      <c r="J102" s="1116"/>
      <c r="K102" s="1116"/>
      <c r="L102" s="1118"/>
    </row>
    <row r="103" spans="2:12" s="403" customFormat="1" ht="24.75" thickBot="1">
      <c r="B103" s="425"/>
      <c r="C103" s="1074">
        <v>11</v>
      </c>
      <c r="D103" s="1123" t="s">
        <v>1942</v>
      </c>
      <c r="E103" s="1112" t="s">
        <v>1934</v>
      </c>
      <c r="F103" s="1113" t="s">
        <v>1668</v>
      </c>
      <c r="G103" s="1114" t="s">
        <v>1687</v>
      </c>
      <c r="H103" s="1124"/>
      <c r="I103" s="1125"/>
      <c r="J103" s="1126"/>
      <c r="K103" s="1127"/>
      <c r="L103" s="1118"/>
    </row>
    <row r="104" spans="2:12" s="403" customFormat="1" ht="24.75" thickBot="1">
      <c r="B104" s="425"/>
      <c r="C104" s="1074">
        <v>12</v>
      </c>
      <c r="D104" s="1123" t="s">
        <v>1943</v>
      </c>
      <c r="E104" s="1112" t="s">
        <v>1934</v>
      </c>
      <c r="F104" s="1113" t="s">
        <v>1668</v>
      </c>
      <c r="G104" s="1114" t="s">
        <v>1687</v>
      </c>
      <c r="H104" s="1124"/>
      <c r="I104" s="1128"/>
      <c r="J104" s="1128"/>
      <c r="K104" s="1129"/>
      <c r="L104" s="1118"/>
    </row>
    <row r="105" spans="2:12" s="403" customFormat="1" ht="24.75" thickBot="1">
      <c r="B105" s="425"/>
      <c r="C105" s="1074">
        <v>13</v>
      </c>
      <c r="D105" s="1123" t="s">
        <v>1944</v>
      </c>
      <c r="E105" s="1112" t="s">
        <v>1934</v>
      </c>
      <c r="F105" s="1113" t="s">
        <v>1668</v>
      </c>
      <c r="G105" s="1114" t="s">
        <v>1687</v>
      </c>
      <c r="H105" s="1130"/>
      <c r="I105" s="1131"/>
      <c r="J105" s="1131"/>
      <c r="K105" s="1132"/>
      <c r="L105" s="1118"/>
    </row>
    <row r="106" spans="2:12" ht="24.75" thickBot="1">
      <c r="B106" s="425"/>
      <c r="C106" s="1074">
        <v>14</v>
      </c>
      <c r="D106" s="1123" t="s">
        <v>1945</v>
      </c>
      <c r="E106" s="1112" t="s">
        <v>1934</v>
      </c>
      <c r="F106" s="1113" t="s">
        <v>1668</v>
      </c>
      <c r="G106" s="1114" t="s">
        <v>1687</v>
      </c>
      <c r="H106" s="1124"/>
      <c r="I106" s="1128"/>
      <c r="J106" s="1128"/>
      <c r="K106" s="1129"/>
      <c r="L106" s="1118"/>
    </row>
    <row r="107" spans="2:12" s="403" customFormat="1" ht="24.75" thickBot="1">
      <c r="B107" s="1079"/>
      <c r="C107" s="1074">
        <v>15</v>
      </c>
      <c r="D107" s="1123" t="s">
        <v>1946</v>
      </c>
      <c r="E107" s="1112" t="s">
        <v>1934</v>
      </c>
      <c r="F107" s="1113" t="s">
        <v>1668</v>
      </c>
      <c r="G107" s="1114" t="s">
        <v>1687</v>
      </c>
      <c r="H107" s="1133"/>
      <c r="I107" s="1134"/>
      <c r="J107" s="1134"/>
      <c r="K107" s="1135"/>
      <c r="L107" s="1118"/>
    </row>
    <row r="108" spans="2:12" s="403" customFormat="1" ht="24.75" thickBot="1">
      <c r="B108" s="1079"/>
      <c r="C108" s="1074">
        <v>16</v>
      </c>
      <c r="D108" s="1123" t="s">
        <v>1947</v>
      </c>
      <c r="E108" s="1112" t="s">
        <v>1934</v>
      </c>
      <c r="F108" s="1113" t="s">
        <v>1668</v>
      </c>
      <c r="G108" s="1114" t="s">
        <v>1687</v>
      </c>
      <c r="H108" s="1124"/>
      <c r="I108" s="1128"/>
      <c r="J108" s="1128"/>
      <c r="K108" s="1129"/>
      <c r="L108" s="1118"/>
    </row>
    <row r="109" spans="2:12" s="403" customFormat="1" ht="24.75" thickBot="1">
      <c r="B109" s="1079"/>
      <c r="C109" s="1074">
        <v>17</v>
      </c>
      <c r="D109" s="1136" t="s">
        <v>1948</v>
      </c>
      <c r="E109" s="1112" t="s">
        <v>1934</v>
      </c>
      <c r="F109" s="1113" t="s">
        <v>1668</v>
      </c>
      <c r="G109" s="1114" t="s">
        <v>1687</v>
      </c>
      <c r="H109" s="1133"/>
      <c r="I109" s="1134"/>
      <c r="J109" s="1134"/>
      <c r="K109" s="1135"/>
      <c r="L109" s="1118"/>
    </row>
    <row r="110" spans="2:12" s="403" customFormat="1" ht="24.75" thickBot="1">
      <c r="B110" s="1079"/>
      <c r="C110" s="1074">
        <v>18</v>
      </c>
      <c r="D110" s="1123" t="s">
        <v>1949</v>
      </c>
      <c r="E110" s="1112" t="s">
        <v>1934</v>
      </c>
      <c r="F110" s="1113" t="s">
        <v>1668</v>
      </c>
      <c r="G110" s="1114" t="s">
        <v>1687</v>
      </c>
      <c r="H110" s="1124"/>
      <c r="I110" s="1128"/>
      <c r="J110" s="1128"/>
      <c r="K110" s="1129"/>
      <c r="L110" s="1118"/>
    </row>
    <row r="111" spans="2:12" s="403" customFormat="1" ht="24.75" thickBot="1">
      <c r="B111" s="1079"/>
      <c r="C111" s="1074">
        <v>19</v>
      </c>
      <c r="D111" s="1123" t="s">
        <v>1950</v>
      </c>
      <c r="E111" s="1112" t="s">
        <v>1934</v>
      </c>
      <c r="F111" s="1113" t="s">
        <v>1668</v>
      </c>
      <c r="G111" s="1114" t="s">
        <v>1687</v>
      </c>
      <c r="H111" s="1133"/>
      <c r="I111" s="1134"/>
      <c r="J111" s="1134"/>
      <c r="K111" s="1135"/>
      <c r="L111" s="1118"/>
    </row>
    <row r="112" spans="2:12" s="403" customFormat="1" ht="24.75" thickBot="1">
      <c r="B112" s="1079"/>
      <c r="C112" s="1074">
        <v>20</v>
      </c>
      <c r="D112" s="1136" t="s">
        <v>1951</v>
      </c>
      <c r="E112" s="1112" t="s">
        <v>1934</v>
      </c>
      <c r="F112" s="1113" t="s">
        <v>1668</v>
      </c>
      <c r="G112" s="1114" t="s">
        <v>1687</v>
      </c>
      <c r="H112" s="1124"/>
      <c r="I112" s="1128"/>
      <c r="J112" s="1128"/>
      <c r="K112" s="1129"/>
      <c r="L112" s="1118"/>
    </row>
    <row r="113" spans="2:12" s="403" customFormat="1" ht="24.75" thickBot="1">
      <c r="B113" s="1079"/>
      <c r="C113" s="1161">
        <v>21</v>
      </c>
      <c r="D113" s="1162" t="s">
        <v>1952</v>
      </c>
      <c r="E113" s="1112" t="s">
        <v>1934</v>
      </c>
      <c r="F113" s="1113" t="s">
        <v>1668</v>
      </c>
      <c r="G113" s="1114" t="s">
        <v>1687</v>
      </c>
      <c r="H113" s="1137"/>
      <c r="I113" s="1137"/>
      <c r="J113" s="1137"/>
      <c r="K113" s="1137"/>
      <c r="L113" s="1118"/>
    </row>
    <row r="114" spans="2:12" ht="24.75" thickBot="1">
      <c r="B114" s="1149"/>
      <c r="C114" s="1163">
        <v>1</v>
      </c>
      <c r="D114" s="1164" t="s">
        <v>1954</v>
      </c>
      <c r="E114" s="1156" t="s">
        <v>1720</v>
      </c>
      <c r="F114" s="1157" t="s">
        <v>1668</v>
      </c>
      <c r="G114" s="1158" t="s">
        <v>1687</v>
      </c>
      <c r="H114" s="1159"/>
      <c r="I114" s="1159"/>
      <c r="J114" s="1159"/>
      <c r="K114" s="1159"/>
      <c r="L114" s="1160"/>
    </row>
    <row r="115" spans="2:12" s="403" customFormat="1" ht="24.75" thickBot="1">
      <c r="B115" s="1149"/>
      <c r="C115" s="1163">
        <v>2</v>
      </c>
      <c r="D115" s="1164" t="s">
        <v>1953</v>
      </c>
      <c r="E115" s="1156" t="s">
        <v>1720</v>
      </c>
      <c r="F115" s="1157" t="s">
        <v>1668</v>
      </c>
      <c r="G115" s="1158" t="s">
        <v>1687</v>
      </c>
      <c r="H115" s="1159"/>
      <c r="I115" s="1159"/>
      <c r="J115" s="1159"/>
      <c r="K115" s="1159"/>
      <c r="L115" s="1160"/>
    </row>
    <row r="116" spans="2:12" s="403" customFormat="1" ht="24.75" thickBot="1">
      <c r="B116" s="1149"/>
      <c r="C116" s="1163">
        <v>3</v>
      </c>
      <c r="D116" s="1164" t="s">
        <v>1955</v>
      </c>
      <c r="E116" s="1156" t="s">
        <v>1720</v>
      </c>
      <c r="F116" s="1157" t="s">
        <v>1668</v>
      </c>
      <c r="G116" s="1158" t="s">
        <v>1687</v>
      </c>
      <c r="H116" s="1159"/>
      <c r="I116" s="1159"/>
      <c r="J116" s="1159"/>
      <c r="K116" s="1159"/>
      <c r="L116" s="1160"/>
    </row>
    <row r="117" spans="2:12" s="403" customFormat="1" ht="24.75" thickBot="1">
      <c r="B117" s="1149"/>
      <c r="C117" s="1163">
        <v>4</v>
      </c>
      <c r="D117" s="1164" t="s">
        <v>1956</v>
      </c>
      <c r="E117" s="1156" t="s">
        <v>1720</v>
      </c>
      <c r="F117" s="1157" t="s">
        <v>1668</v>
      </c>
      <c r="G117" s="1158" t="s">
        <v>1687</v>
      </c>
      <c r="H117" s="1159"/>
      <c r="I117" s="1159"/>
      <c r="J117" s="1159"/>
      <c r="K117" s="1159"/>
      <c r="L117" s="1160"/>
    </row>
    <row r="118" spans="2:12" s="403" customFormat="1" ht="24.75" thickBot="1">
      <c r="B118" s="1149"/>
      <c r="C118" s="1163">
        <v>5</v>
      </c>
      <c r="D118" s="1164" t="s">
        <v>1957</v>
      </c>
      <c r="E118" s="1156" t="s">
        <v>1720</v>
      </c>
      <c r="F118" s="1157" t="s">
        <v>1668</v>
      </c>
      <c r="G118" s="1158" t="s">
        <v>1687</v>
      </c>
      <c r="H118" s="1159"/>
      <c r="I118" s="1159"/>
      <c r="J118" s="1159"/>
      <c r="K118" s="1159"/>
      <c r="L118" s="1160"/>
    </row>
    <row r="119" spans="2:12" s="403" customFormat="1" ht="24.75" thickBot="1">
      <c r="B119" s="1149"/>
      <c r="C119" s="1163">
        <v>6</v>
      </c>
      <c r="D119" s="1164" t="s">
        <v>1958</v>
      </c>
      <c r="E119" s="1156" t="s">
        <v>1720</v>
      </c>
      <c r="F119" s="1157" t="s">
        <v>1668</v>
      </c>
      <c r="G119" s="1158" t="s">
        <v>1687</v>
      </c>
      <c r="H119" s="1159"/>
      <c r="I119" s="1159"/>
      <c r="J119" s="1159"/>
      <c r="K119" s="1159"/>
      <c r="L119" s="1160"/>
    </row>
    <row r="120" spans="2:12" s="403" customFormat="1" ht="24.75" thickBot="1">
      <c r="B120" s="1149"/>
      <c r="C120" s="1163">
        <v>7</v>
      </c>
      <c r="D120" s="1164" t="s">
        <v>1959</v>
      </c>
      <c r="E120" s="1156" t="s">
        <v>1720</v>
      </c>
      <c r="F120" s="1157" t="s">
        <v>1668</v>
      </c>
      <c r="G120" s="1158" t="s">
        <v>1687</v>
      </c>
      <c r="H120" s="1159"/>
      <c r="I120" s="1159"/>
      <c r="J120" s="1159"/>
      <c r="K120" s="1159"/>
      <c r="L120" s="1160"/>
    </row>
    <row r="121" spans="2:12" s="403" customFormat="1" ht="36.75" thickBot="1">
      <c r="B121" s="1149"/>
      <c r="C121" s="1163">
        <v>8</v>
      </c>
      <c r="D121" s="1164" t="s">
        <v>1960</v>
      </c>
      <c r="E121" s="1156" t="s">
        <v>1720</v>
      </c>
      <c r="F121" s="1157" t="s">
        <v>1668</v>
      </c>
      <c r="G121" s="1158" t="s">
        <v>1687</v>
      </c>
      <c r="H121" s="1159"/>
      <c r="I121" s="1159"/>
      <c r="J121" s="1159"/>
      <c r="K121" s="1159"/>
      <c r="L121" s="1160"/>
    </row>
    <row r="122" spans="2:12" s="403" customFormat="1" ht="36.75" thickBot="1">
      <c r="B122" s="1149"/>
      <c r="C122" s="1163">
        <v>9</v>
      </c>
      <c r="D122" s="1164" t="s">
        <v>1961</v>
      </c>
      <c r="E122" s="1156" t="s">
        <v>1720</v>
      </c>
      <c r="F122" s="1157" t="s">
        <v>1668</v>
      </c>
      <c r="G122" s="1158" t="s">
        <v>1687</v>
      </c>
      <c r="H122" s="1159"/>
      <c r="I122" s="1159"/>
      <c r="J122" s="1159"/>
      <c r="K122" s="1159"/>
      <c r="L122" s="1160"/>
    </row>
    <row r="123" spans="2:12" s="403" customFormat="1" ht="36.75" thickBot="1">
      <c r="B123" s="1149"/>
      <c r="C123" s="1163">
        <v>10</v>
      </c>
      <c r="D123" s="1164" t="s">
        <v>1962</v>
      </c>
      <c r="E123" s="1156" t="s">
        <v>1720</v>
      </c>
      <c r="F123" s="1157" t="s">
        <v>1668</v>
      </c>
      <c r="G123" s="1158" t="s">
        <v>1687</v>
      </c>
      <c r="H123" s="1159"/>
      <c r="I123" s="1159"/>
      <c r="J123" s="1159"/>
      <c r="K123" s="1159"/>
      <c r="L123" s="1160"/>
    </row>
    <row r="124" spans="2:12" s="403" customFormat="1" ht="24.75" thickBot="1">
      <c r="B124" s="1149"/>
      <c r="C124" s="1163">
        <v>11</v>
      </c>
      <c r="D124" s="1164" t="s">
        <v>1963</v>
      </c>
      <c r="E124" s="1156" t="s">
        <v>1720</v>
      </c>
      <c r="F124" s="1157" t="s">
        <v>1668</v>
      </c>
      <c r="G124" s="1158" t="s">
        <v>1687</v>
      </c>
      <c r="H124" s="1159"/>
      <c r="I124" s="1159"/>
      <c r="J124" s="1159"/>
      <c r="K124" s="1159"/>
      <c r="L124" s="1160"/>
    </row>
    <row r="125" spans="2:12" s="403" customFormat="1" ht="24.75" thickBot="1">
      <c r="B125" s="1149"/>
      <c r="C125" s="1163">
        <v>12</v>
      </c>
      <c r="D125" s="1164" t="s">
        <v>1964</v>
      </c>
      <c r="E125" s="1156" t="s">
        <v>1720</v>
      </c>
      <c r="F125" s="1157" t="s">
        <v>1668</v>
      </c>
      <c r="G125" s="1158" t="s">
        <v>1687</v>
      </c>
      <c r="H125" s="1159"/>
      <c r="I125" s="1159"/>
      <c r="J125" s="1159"/>
      <c r="K125" s="1159"/>
      <c r="L125" s="1160"/>
    </row>
    <row r="126" spans="2:12" s="403" customFormat="1" ht="36.75" thickBot="1">
      <c r="B126" s="1149"/>
      <c r="C126" s="1163">
        <v>13</v>
      </c>
      <c r="D126" s="1164" t="s">
        <v>1965</v>
      </c>
      <c r="E126" s="1156" t="s">
        <v>1720</v>
      </c>
      <c r="F126" s="1157" t="s">
        <v>1668</v>
      </c>
      <c r="G126" s="1158" t="s">
        <v>1687</v>
      </c>
      <c r="H126" s="1159"/>
      <c r="I126" s="1159"/>
      <c r="J126" s="1159"/>
      <c r="K126" s="1159"/>
      <c r="L126" s="1160"/>
    </row>
    <row r="127" spans="2:12" s="403" customFormat="1" ht="24.75" thickBot="1">
      <c r="B127" s="1149"/>
      <c r="C127" s="1163">
        <v>14</v>
      </c>
      <c r="D127" s="1164" t="s">
        <v>1966</v>
      </c>
      <c r="E127" s="1156" t="s">
        <v>1720</v>
      </c>
      <c r="F127" s="1157" t="s">
        <v>1668</v>
      </c>
      <c r="G127" s="1158" t="s">
        <v>1687</v>
      </c>
      <c r="H127" s="1159"/>
      <c r="I127" s="1159"/>
      <c r="J127" s="1159"/>
      <c r="K127" s="1159"/>
      <c r="L127" s="1160"/>
    </row>
    <row r="128" spans="2:12" s="403" customFormat="1" ht="24.75" thickBot="1">
      <c r="B128" s="1149"/>
      <c r="C128" s="1165">
        <v>1</v>
      </c>
      <c r="D128" s="1166" t="s">
        <v>1967</v>
      </c>
      <c r="E128" s="1150" t="s">
        <v>1721</v>
      </c>
      <c r="F128" s="1151" t="s">
        <v>1668</v>
      </c>
      <c r="G128" s="1152" t="s">
        <v>1687</v>
      </c>
      <c r="H128" s="1153"/>
      <c r="I128" s="1153"/>
      <c r="J128" s="1153"/>
      <c r="K128" s="1153"/>
      <c r="L128" s="1154"/>
    </row>
    <row r="129" spans="2:12" s="403" customFormat="1" ht="24.75" thickBot="1">
      <c r="B129" s="1149"/>
      <c r="C129" s="1165">
        <v>2</v>
      </c>
      <c r="D129" s="1166" t="s">
        <v>1968</v>
      </c>
      <c r="E129" s="1150" t="s">
        <v>1721</v>
      </c>
      <c r="F129" s="1151" t="s">
        <v>1668</v>
      </c>
      <c r="G129" s="1152" t="s">
        <v>1687</v>
      </c>
      <c r="H129" s="1153"/>
      <c r="I129" s="1153"/>
      <c r="J129" s="1153"/>
      <c r="K129" s="1153"/>
      <c r="L129" s="1154"/>
    </row>
    <row r="130" spans="2:12" s="403" customFormat="1" ht="24.75" thickBot="1">
      <c r="B130" s="1149"/>
      <c r="C130" s="1165">
        <v>3</v>
      </c>
      <c r="D130" s="1166" t="s">
        <v>1874</v>
      </c>
      <c r="E130" s="1150" t="s">
        <v>1721</v>
      </c>
      <c r="F130" s="1151" t="s">
        <v>1668</v>
      </c>
      <c r="G130" s="1152" t="s">
        <v>1687</v>
      </c>
      <c r="H130" s="1153"/>
      <c r="I130" s="1153"/>
      <c r="J130" s="1153"/>
      <c r="K130" s="1153"/>
      <c r="L130" s="1154"/>
    </row>
    <row r="131" spans="2:12" s="403" customFormat="1" ht="24.75" thickBot="1">
      <c r="B131" s="1149"/>
      <c r="C131" s="1165">
        <v>4</v>
      </c>
      <c r="D131" s="1166" t="s">
        <v>1938</v>
      </c>
      <c r="E131" s="1150" t="s">
        <v>1721</v>
      </c>
      <c r="F131" s="1151" t="s">
        <v>1668</v>
      </c>
      <c r="G131" s="1152" t="s">
        <v>1687</v>
      </c>
      <c r="H131" s="1153"/>
      <c r="I131" s="1153"/>
      <c r="J131" s="1153"/>
      <c r="K131" s="1153"/>
      <c r="L131" s="1154"/>
    </row>
    <row r="132" spans="2:12" s="403" customFormat="1" ht="24.75" thickBot="1">
      <c r="B132" s="1149"/>
      <c r="C132" s="1165">
        <v>5</v>
      </c>
      <c r="D132" s="1166" t="s">
        <v>1969</v>
      </c>
      <c r="E132" s="1150" t="s">
        <v>1721</v>
      </c>
      <c r="F132" s="1151" t="s">
        <v>1668</v>
      </c>
      <c r="G132" s="1152" t="s">
        <v>1687</v>
      </c>
      <c r="H132" s="1153"/>
      <c r="I132" s="1153"/>
      <c r="J132" s="1153"/>
      <c r="K132" s="1153"/>
      <c r="L132" s="1154"/>
    </row>
    <row r="133" spans="2:12" s="403" customFormat="1" ht="24.75" thickBot="1">
      <c r="B133" s="1149"/>
      <c r="C133" s="1165">
        <v>6</v>
      </c>
      <c r="D133" s="1166" t="s">
        <v>1940</v>
      </c>
      <c r="E133" s="1150" t="s">
        <v>1721</v>
      </c>
      <c r="F133" s="1151" t="s">
        <v>1668</v>
      </c>
      <c r="G133" s="1152" t="s">
        <v>1687</v>
      </c>
      <c r="H133" s="1153"/>
      <c r="I133" s="1153"/>
      <c r="J133" s="1153"/>
      <c r="K133" s="1153"/>
      <c r="L133" s="1154"/>
    </row>
    <row r="134" spans="2:12" s="403" customFormat="1" ht="24.75" thickBot="1">
      <c r="B134" s="1149"/>
      <c r="C134" s="1165">
        <v>7</v>
      </c>
      <c r="D134" s="1166" t="s">
        <v>1970</v>
      </c>
      <c r="E134" s="1150" t="s">
        <v>1721</v>
      </c>
      <c r="F134" s="1151" t="s">
        <v>1668</v>
      </c>
      <c r="G134" s="1152" t="s">
        <v>1687</v>
      </c>
      <c r="H134" s="1153"/>
      <c r="I134" s="1153"/>
      <c r="J134" s="1153"/>
      <c r="K134" s="1153"/>
      <c r="L134" s="1154"/>
    </row>
    <row r="135" spans="2:12" s="403" customFormat="1" ht="24.75" thickBot="1">
      <c r="B135" s="1149"/>
      <c r="C135" s="1165">
        <v>8</v>
      </c>
      <c r="D135" s="1166" t="s">
        <v>1906</v>
      </c>
      <c r="E135" s="1150" t="s">
        <v>1721</v>
      </c>
      <c r="F135" s="1151" t="s">
        <v>1668</v>
      </c>
      <c r="G135" s="1152" t="s">
        <v>1687</v>
      </c>
      <c r="H135" s="1153"/>
      <c r="I135" s="1153"/>
      <c r="J135" s="1153"/>
      <c r="K135" s="1153"/>
      <c r="L135" s="1154"/>
    </row>
    <row r="136" spans="2:12" s="403" customFormat="1" ht="36.75" thickBot="1">
      <c r="B136" s="1149"/>
      <c r="C136" s="1165">
        <v>9</v>
      </c>
      <c r="D136" s="1166" t="s">
        <v>1971</v>
      </c>
      <c r="E136" s="1150" t="s">
        <v>1721</v>
      </c>
      <c r="F136" s="1151" t="s">
        <v>1668</v>
      </c>
      <c r="G136" s="1152" t="s">
        <v>1687</v>
      </c>
      <c r="H136" s="1153"/>
      <c r="I136" s="1153"/>
      <c r="J136" s="1153"/>
      <c r="K136" s="1153"/>
      <c r="L136" s="1154"/>
    </row>
    <row r="137" spans="2:12" s="403" customFormat="1" ht="24.75" thickBot="1">
      <c r="B137" s="1149"/>
      <c r="C137" s="1165">
        <v>10</v>
      </c>
      <c r="D137" s="1166" t="s">
        <v>1910</v>
      </c>
      <c r="E137" s="1150" t="s">
        <v>1721</v>
      </c>
      <c r="F137" s="1151" t="s">
        <v>1668</v>
      </c>
      <c r="G137" s="1152" t="s">
        <v>1687</v>
      </c>
      <c r="H137" s="1153"/>
      <c r="I137" s="1153"/>
      <c r="J137" s="1153"/>
      <c r="K137" s="1153"/>
      <c r="L137" s="1154"/>
    </row>
    <row r="138" spans="2:12" s="403" customFormat="1" ht="24.75" thickBot="1">
      <c r="B138" s="1149"/>
      <c r="C138" s="1165">
        <v>11</v>
      </c>
      <c r="D138" s="1166" t="s">
        <v>1972</v>
      </c>
      <c r="E138" s="1150" t="s">
        <v>1721</v>
      </c>
      <c r="F138" s="1151" t="s">
        <v>1668</v>
      </c>
      <c r="G138" s="1152" t="s">
        <v>1687</v>
      </c>
      <c r="H138" s="1153"/>
      <c r="I138" s="1153"/>
      <c r="J138" s="1153"/>
      <c r="K138" s="1153"/>
      <c r="L138" s="1154"/>
    </row>
    <row r="139" spans="2:12" s="403" customFormat="1" ht="24.75" thickBot="1">
      <c r="B139" s="1149"/>
      <c r="C139" s="1165">
        <v>12</v>
      </c>
      <c r="D139" s="1166" t="s">
        <v>1930</v>
      </c>
      <c r="E139" s="1150" t="s">
        <v>1721</v>
      </c>
      <c r="F139" s="1151" t="s">
        <v>1668</v>
      </c>
      <c r="G139" s="1152" t="s">
        <v>1687</v>
      </c>
      <c r="H139" s="1153"/>
      <c r="I139" s="1153"/>
      <c r="J139" s="1153"/>
      <c r="K139" s="1153"/>
      <c r="L139" s="1154"/>
    </row>
    <row r="140" spans="2:12" s="403" customFormat="1" ht="24.75" thickBot="1">
      <c r="B140" s="1149"/>
      <c r="C140" s="1165">
        <v>13</v>
      </c>
      <c r="D140" s="1166" t="s">
        <v>1973</v>
      </c>
      <c r="E140" s="1150" t="s">
        <v>1721</v>
      </c>
      <c r="F140" s="1151" t="s">
        <v>1668</v>
      </c>
      <c r="G140" s="1152" t="s">
        <v>1687</v>
      </c>
      <c r="H140" s="1153"/>
      <c r="I140" s="1153"/>
      <c r="J140" s="1153"/>
      <c r="K140" s="1153"/>
      <c r="L140" s="1154"/>
    </row>
    <row r="141" spans="2:12" s="403" customFormat="1" ht="24.75" thickBot="1">
      <c r="B141" s="1149"/>
      <c r="C141" s="1165">
        <v>14</v>
      </c>
      <c r="D141" s="1166" t="s">
        <v>1974</v>
      </c>
      <c r="E141" s="1150" t="s">
        <v>1721</v>
      </c>
      <c r="F141" s="1151" t="s">
        <v>1668</v>
      </c>
      <c r="G141" s="1152" t="s">
        <v>1687</v>
      </c>
      <c r="H141" s="1153"/>
      <c r="I141" s="1153"/>
      <c r="J141" s="1153"/>
      <c r="K141" s="1153"/>
      <c r="L141" s="1154"/>
    </row>
    <row r="142" spans="2:12" s="403" customFormat="1" ht="24.75" thickBot="1">
      <c r="B142" s="826"/>
      <c r="C142" s="1155">
        <v>15</v>
      </c>
      <c r="D142" s="1167" t="s">
        <v>1975</v>
      </c>
      <c r="E142" s="1150" t="s">
        <v>1721</v>
      </c>
      <c r="F142" s="1151" t="s">
        <v>1668</v>
      </c>
      <c r="G142" s="1152" t="s">
        <v>1687</v>
      </c>
      <c r="H142" s="1168"/>
      <c r="I142" s="1153"/>
      <c r="J142" s="1153"/>
      <c r="K142" s="1153"/>
      <c r="L142" s="1154"/>
    </row>
    <row r="143" spans="2:12" ht="24.75" thickBot="1">
      <c r="B143" s="425"/>
      <c r="C143" s="1155">
        <v>16</v>
      </c>
      <c r="D143" s="1166" t="s">
        <v>1976</v>
      </c>
      <c r="E143" s="1150" t="s">
        <v>1721</v>
      </c>
      <c r="F143" s="1151" t="s">
        <v>1668</v>
      </c>
      <c r="G143" s="1152" t="s">
        <v>1687</v>
      </c>
      <c r="H143" s="1153"/>
      <c r="I143" s="1153"/>
      <c r="J143" s="1153"/>
      <c r="K143" s="1153"/>
      <c r="L143" s="1154"/>
    </row>
    <row r="144" spans="2:12" ht="15.75" thickBot="1">
      <c r="B144" s="426"/>
      <c r="C144" s="110"/>
      <c r="D144" s="40" t="s">
        <v>157</v>
      </c>
      <c r="E144" s="27"/>
      <c r="F144" s="27"/>
      <c r="G144" s="27"/>
      <c r="H144" s="873">
        <f>SUM(H27:H143)</f>
        <v>0</v>
      </c>
      <c r="I144" s="873">
        <f>SUM(I27:I143)</f>
        <v>0</v>
      </c>
      <c r="J144" s="873">
        <f>SUM(J27:J143)</f>
        <v>0</v>
      </c>
      <c r="K144" s="873">
        <f>SUM(K27:K143)</f>
        <v>0</v>
      </c>
      <c r="L144" s="13"/>
    </row>
    <row r="145" spans="2:12" ht="24" customHeight="1" thickBot="1">
      <c r="B145" s="72" t="s">
        <v>39</v>
      </c>
      <c r="C145" s="107"/>
      <c r="D145" s="1680" t="s">
        <v>485</v>
      </c>
      <c r="E145" s="1681"/>
      <c r="F145" s="1681"/>
      <c r="G145" s="1681"/>
      <c r="H145" s="1681"/>
      <c r="I145" s="1681"/>
      <c r="J145" s="1681"/>
      <c r="K145" s="1681"/>
      <c r="L145" s="1720"/>
    </row>
    <row r="146" spans="2:12" ht="24" customHeight="1" thickBot="1">
      <c r="B146" s="72" t="s">
        <v>41</v>
      </c>
      <c r="C146" s="107"/>
      <c r="D146" s="1680" t="s">
        <v>354</v>
      </c>
      <c r="E146" s="1681"/>
      <c r="F146" s="1681"/>
      <c r="G146" s="1681"/>
      <c r="H146" s="1681"/>
      <c r="I146" s="1681"/>
      <c r="J146" s="1681"/>
      <c r="K146" s="1681"/>
      <c r="L146" s="1720"/>
    </row>
    <row r="147" spans="2:12" ht="15.75" thickBot="1">
      <c r="B147" s="2"/>
      <c r="C147" s="75"/>
      <c r="D147" s="6"/>
      <c r="E147" s="6"/>
      <c r="F147" s="6"/>
      <c r="G147" s="6"/>
      <c r="H147" s="6"/>
      <c r="I147" s="6"/>
      <c r="J147" s="6"/>
      <c r="K147" s="6"/>
    </row>
    <row r="148" spans="2:12" ht="24" customHeight="1" thickBot="1">
      <c r="B148" s="1671" t="s">
        <v>43</v>
      </c>
      <c r="C148" s="1672"/>
      <c r="D148" s="1672"/>
      <c r="E148" s="1673"/>
      <c r="F148" s="6"/>
      <c r="G148" s="6"/>
      <c r="H148" s="6"/>
      <c r="I148" s="6"/>
      <c r="J148" s="6"/>
      <c r="K148" s="6"/>
    </row>
    <row r="149" spans="2:12" ht="15.75" thickBot="1">
      <c r="B149" s="1668">
        <v>1</v>
      </c>
      <c r="C149" s="93"/>
      <c r="D149" s="49" t="s">
        <v>44</v>
      </c>
      <c r="E149" s="31" t="s">
        <v>1616</v>
      </c>
      <c r="F149" s="6"/>
      <c r="G149" s="6"/>
      <c r="H149" s="6"/>
      <c r="I149" s="6"/>
      <c r="J149" s="6"/>
      <c r="K149" s="6"/>
    </row>
    <row r="150" spans="2:12" ht="15.75" thickBot="1">
      <c r="B150" s="1669"/>
      <c r="C150" s="93"/>
      <c r="D150" s="41" t="s">
        <v>45</v>
      </c>
      <c r="E150" s="31" t="s">
        <v>1680</v>
      </c>
      <c r="F150" s="6"/>
      <c r="G150" s="6"/>
      <c r="H150" s="6"/>
      <c r="I150" s="6"/>
      <c r="J150" s="6"/>
      <c r="K150" s="6"/>
    </row>
    <row r="151" spans="2:12" ht="15.75" thickBot="1">
      <c r="B151" s="1669"/>
      <c r="C151" s="93"/>
      <c r="D151" s="41" t="s">
        <v>46</v>
      </c>
      <c r="E151" s="31" t="s">
        <v>2042</v>
      </c>
      <c r="F151" s="6"/>
      <c r="G151" s="6"/>
      <c r="H151" s="6"/>
      <c r="I151" s="6"/>
      <c r="J151" s="6"/>
      <c r="K151" s="6"/>
    </row>
    <row r="152" spans="2:12" ht="15.75" thickBot="1">
      <c r="B152" s="1669"/>
      <c r="C152" s="93"/>
      <c r="D152" s="41" t="s">
        <v>47</v>
      </c>
      <c r="E152" s="31" t="s">
        <v>1626</v>
      </c>
      <c r="F152" s="6"/>
      <c r="G152" s="6"/>
      <c r="H152" s="6"/>
      <c r="I152" s="6"/>
      <c r="J152" s="6"/>
      <c r="K152" s="6"/>
    </row>
    <row r="153" spans="2:12" ht="15.75" thickBot="1">
      <c r="B153" s="1669"/>
      <c r="C153" s="93"/>
      <c r="D153" s="41" t="s">
        <v>48</v>
      </c>
      <c r="E153" s="819" t="s">
        <v>2013</v>
      </c>
      <c r="F153" s="6"/>
      <c r="G153" s="6"/>
      <c r="H153" s="6"/>
      <c r="I153" s="6"/>
      <c r="J153" s="6"/>
      <c r="K153" s="6"/>
    </row>
    <row r="154" spans="2:12" ht="15.75" thickBot="1">
      <c r="B154" s="1669"/>
      <c r="C154" s="93"/>
      <c r="D154" s="41" t="s">
        <v>49</v>
      </c>
      <c r="E154" s="31" t="s">
        <v>1690</v>
      </c>
      <c r="F154" s="6"/>
      <c r="G154" s="6"/>
      <c r="H154" s="6"/>
      <c r="I154" s="6"/>
      <c r="J154" s="6"/>
      <c r="K154" s="6"/>
    </row>
    <row r="155" spans="2:12" ht="15.75" thickBot="1">
      <c r="B155" s="1670"/>
      <c r="C155" s="3"/>
      <c r="D155" s="41" t="s">
        <v>50</v>
      </c>
      <c r="E155" s="31"/>
      <c r="F155" s="6"/>
      <c r="G155" s="6"/>
      <c r="H155" s="6"/>
      <c r="I155" s="6"/>
      <c r="J155" s="6"/>
      <c r="K155" s="6"/>
    </row>
    <row r="156" spans="2:12" ht="15.75" thickBot="1">
      <c r="B156" s="2"/>
      <c r="C156" s="75"/>
      <c r="D156" s="6"/>
      <c r="E156" s="6"/>
      <c r="F156" s="6"/>
      <c r="G156" s="6"/>
      <c r="H156" s="6"/>
      <c r="I156" s="6"/>
      <c r="J156" s="6"/>
      <c r="K156" s="6"/>
    </row>
    <row r="157" spans="2:12" ht="15.75" thickBot="1">
      <c r="B157" s="1671" t="s">
        <v>51</v>
      </c>
      <c r="C157" s="1672"/>
      <c r="D157" s="1672"/>
      <c r="E157" s="1673"/>
      <c r="F157" s="6"/>
      <c r="G157" s="6"/>
      <c r="H157" s="6"/>
      <c r="I157" s="6"/>
      <c r="J157" s="6"/>
      <c r="K157" s="6"/>
    </row>
    <row r="158" spans="2:12" ht="15.75" thickBot="1">
      <c r="B158" s="1668">
        <v>1</v>
      </c>
      <c r="C158" s="93"/>
      <c r="D158" s="49" t="s">
        <v>44</v>
      </c>
      <c r="E158" s="432" t="s">
        <v>52</v>
      </c>
      <c r="F158" s="6"/>
      <c r="G158" s="6"/>
      <c r="H158" s="6"/>
      <c r="I158" s="6"/>
      <c r="J158" s="6"/>
      <c r="K158" s="6"/>
    </row>
    <row r="159" spans="2:12" ht="15.75" thickBot="1">
      <c r="B159" s="1669"/>
      <c r="C159" s="93"/>
      <c r="D159" s="41" t="s">
        <v>45</v>
      </c>
      <c r="E159" s="432" t="s">
        <v>53</v>
      </c>
      <c r="F159" s="6"/>
      <c r="G159" s="6"/>
      <c r="H159" s="6"/>
      <c r="I159" s="6"/>
      <c r="J159" s="6"/>
      <c r="K159" s="6"/>
    </row>
    <row r="160" spans="2:12" ht="15.75" thickBot="1">
      <c r="B160" s="1669"/>
      <c r="C160" s="93"/>
      <c r="D160" s="41" t="s">
        <v>46</v>
      </c>
      <c r="E160" s="307"/>
      <c r="F160" s="6"/>
      <c r="G160" s="6"/>
      <c r="H160" s="6"/>
      <c r="I160" s="6"/>
      <c r="J160" s="6"/>
      <c r="K160" s="6"/>
    </row>
    <row r="161" spans="2:11" ht="15.75" thickBot="1">
      <c r="B161" s="1669"/>
      <c r="C161" s="93"/>
      <c r="D161" s="41" t="s">
        <v>47</v>
      </c>
      <c r="E161" s="307"/>
      <c r="F161" s="6"/>
      <c r="G161" s="6"/>
      <c r="H161" s="6"/>
      <c r="I161" s="6"/>
      <c r="J161" s="6"/>
      <c r="K161" s="6"/>
    </row>
    <row r="162" spans="2:11" ht="15.75" thickBot="1">
      <c r="B162" s="1669"/>
      <c r="C162" s="93"/>
      <c r="D162" s="41" t="s">
        <v>48</v>
      </c>
      <c r="E162" s="307"/>
      <c r="F162" s="6"/>
      <c r="G162" s="6"/>
      <c r="H162" s="6"/>
      <c r="I162" s="6"/>
      <c r="J162" s="6"/>
      <c r="K162" s="6"/>
    </row>
    <row r="163" spans="2:11" ht="15.75" thickBot="1">
      <c r="B163" s="1669"/>
      <c r="C163" s="93"/>
      <c r="D163" s="41" t="s">
        <v>49</v>
      </c>
      <c r="E163" s="307"/>
      <c r="F163" s="6"/>
      <c r="G163" s="6"/>
      <c r="H163" s="6"/>
      <c r="I163" s="6"/>
      <c r="J163" s="6"/>
      <c r="K163" s="6"/>
    </row>
    <row r="164" spans="2:11" ht="15.75" thickBot="1">
      <c r="B164" s="1670"/>
      <c r="C164" s="3"/>
      <c r="D164" s="41" t="s">
        <v>50</v>
      </c>
      <c r="E164" s="307"/>
      <c r="F164" s="6"/>
      <c r="G164" s="6"/>
      <c r="H164" s="6"/>
      <c r="I164" s="6"/>
      <c r="J164" s="6"/>
      <c r="K164" s="6"/>
    </row>
    <row r="165" spans="2:11" ht="15.75" thickBot="1">
      <c r="B165" s="2"/>
      <c r="C165" s="75"/>
      <c r="D165" s="6"/>
      <c r="E165" s="6"/>
      <c r="F165" s="6"/>
      <c r="G165" s="6"/>
      <c r="H165" s="6"/>
      <c r="I165" s="6"/>
      <c r="J165" s="6"/>
      <c r="K165" s="6"/>
    </row>
    <row r="166" spans="2:11" ht="15" customHeight="1" thickBot="1">
      <c r="B166" s="123" t="s">
        <v>54</v>
      </c>
      <c r="C166" s="124"/>
      <c r="D166" s="124"/>
      <c r="E166" s="125"/>
      <c r="F166" s="6"/>
      <c r="G166" s="6"/>
      <c r="H166" s="6"/>
      <c r="I166" s="6"/>
      <c r="J166" s="6"/>
      <c r="K166" s="6"/>
    </row>
    <row r="167" spans="2:11" ht="24.75" thickBot="1">
      <c r="B167" s="48" t="s">
        <v>55</v>
      </c>
      <c r="C167" s="41" t="s">
        <v>56</v>
      </c>
      <c r="D167" s="41" t="s">
        <v>57</v>
      </c>
      <c r="E167" s="41" t="s">
        <v>58</v>
      </c>
      <c r="F167" s="6"/>
      <c r="G167" s="6"/>
      <c r="H167" s="6"/>
      <c r="I167" s="6"/>
      <c r="J167" s="6"/>
    </row>
    <row r="168" spans="2:11" ht="60.75" thickBot="1">
      <c r="B168" s="50">
        <v>42401</v>
      </c>
      <c r="C168" s="41">
        <v>0.01</v>
      </c>
      <c r="D168" s="51" t="s">
        <v>486</v>
      </c>
      <c r="E168" s="41"/>
      <c r="F168" s="6"/>
      <c r="G168" s="6"/>
      <c r="H168" s="6"/>
      <c r="I168" s="6"/>
      <c r="J168" s="6"/>
    </row>
    <row r="169" spans="2:11" ht="15.75" thickBot="1">
      <c r="B169" s="2"/>
      <c r="C169" s="75"/>
      <c r="D169" s="6"/>
      <c r="E169" s="6"/>
      <c r="F169" s="6"/>
      <c r="G169" s="6"/>
      <c r="H169" s="6"/>
      <c r="I169" s="6"/>
      <c r="J169" s="6"/>
      <c r="K169" s="6"/>
    </row>
    <row r="170" spans="2:11">
      <c r="B170" s="134" t="s">
        <v>60</v>
      </c>
      <c r="C170" s="95"/>
      <c r="D170" s="6"/>
      <c r="E170" s="6"/>
      <c r="F170" s="6"/>
      <c r="G170" s="6"/>
      <c r="H170" s="6"/>
      <c r="I170" s="6"/>
      <c r="J170" s="6"/>
      <c r="K170" s="6"/>
    </row>
    <row r="171" spans="2:11" ht="14.45" customHeight="1">
      <c r="B171" s="1721" t="s">
        <v>487</v>
      </c>
      <c r="C171" s="1722"/>
      <c r="D171" s="1722"/>
      <c r="E171" s="1722"/>
      <c r="F171" s="1722"/>
      <c r="G171" s="1723"/>
      <c r="H171" s="6"/>
      <c r="I171" s="6"/>
      <c r="J171" s="6"/>
      <c r="K171" s="6"/>
    </row>
    <row r="172" spans="2:11">
      <c r="B172" s="1724"/>
      <c r="C172" s="1725"/>
      <c r="D172" s="1725"/>
      <c r="E172" s="1725"/>
      <c r="F172" s="1725"/>
      <c r="G172" s="1726"/>
      <c r="H172" s="6"/>
      <c r="I172" s="6"/>
      <c r="J172" s="6"/>
      <c r="K172" s="6"/>
    </row>
    <row r="173" spans="2:11">
      <c r="B173" s="164"/>
      <c r="C173" s="165"/>
      <c r="D173" s="165"/>
      <c r="E173" s="165"/>
      <c r="F173" s="165"/>
      <c r="G173" s="166"/>
      <c r="H173" s="6"/>
      <c r="I173" s="6"/>
      <c r="J173" s="6"/>
      <c r="K173" s="6"/>
    </row>
    <row r="174" spans="2:11" ht="15.75" thickBot="1">
      <c r="B174" s="6"/>
      <c r="D174" s="6"/>
      <c r="E174" s="6"/>
      <c r="F174" s="6"/>
      <c r="G174" s="6"/>
      <c r="H174" s="6"/>
      <c r="I174" s="6"/>
      <c r="J174" s="6"/>
      <c r="K174" s="6"/>
    </row>
    <row r="175" spans="2:11" ht="15.75" thickBot="1">
      <c r="B175" s="1671" t="s">
        <v>459</v>
      </c>
      <c r="C175" s="1672"/>
      <c r="D175" s="1673"/>
      <c r="E175" s="6"/>
      <c r="F175" s="6"/>
      <c r="G175" s="6"/>
      <c r="H175" s="6"/>
      <c r="I175" s="6"/>
      <c r="J175" s="6"/>
      <c r="K175" s="6"/>
    </row>
    <row r="176" spans="2:11" ht="96.75" thickBot="1">
      <c r="B176" s="48" t="s">
        <v>62</v>
      </c>
      <c r="C176" s="3"/>
      <c r="D176" s="41" t="s">
        <v>460</v>
      </c>
      <c r="E176" s="6"/>
      <c r="F176" s="6"/>
      <c r="G176" s="6"/>
      <c r="H176" s="6"/>
      <c r="I176" s="6"/>
      <c r="J176" s="6"/>
      <c r="K176" s="6"/>
    </row>
    <row r="177" spans="2:11">
      <c r="B177" s="1668" t="s">
        <v>64</v>
      </c>
      <c r="C177" s="93"/>
      <c r="D177" s="54" t="s">
        <v>65</v>
      </c>
      <c r="E177" s="6"/>
      <c r="F177" s="6"/>
      <c r="G177" s="6"/>
      <c r="H177" s="6"/>
      <c r="I177" s="6"/>
      <c r="J177" s="6"/>
      <c r="K177" s="6"/>
    </row>
    <row r="178" spans="2:11" ht="108">
      <c r="B178" s="1669"/>
      <c r="C178" s="93"/>
      <c r="D178" s="47" t="s">
        <v>461</v>
      </c>
      <c r="E178" s="6"/>
      <c r="F178" s="6"/>
      <c r="G178" s="6"/>
      <c r="H178" s="6"/>
      <c r="I178" s="6"/>
      <c r="J178" s="6"/>
      <c r="K178" s="6"/>
    </row>
    <row r="179" spans="2:11">
      <c r="B179" s="1669"/>
      <c r="C179" s="93"/>
      <c r="D179" s="54" t="s">
        <v>68</v>
      </c>
      <c r="E179" s="6"/>
      <c r="F179" s="6"/>
      <c r="G179" s="6"/>
      <c r="H179" s="6"/>
      <c r="I179" s="6"/>
      <c r="J179" s="6"/>
      <c r="K179" s="6"/>
    </row>
    <row r="180" spans="2:11">
      <c r="B180" s="1669"/>
      <c r="C180" s="93"/>
      <c r="D180" s="47" t="s">
        <v>70</v>
      </c>
      <c r="E180" s="6"/>
      <c r="F180" s="6"/>
      <c r="G180" s="6"/>
      <c r="H180" s="6"/>
      <c r="I180" s="6"/>
      <c r="J180" s="6"/>
      <c r="K180" s="6"/>
    </row>
    <row r="181" spans="2:11">
      <c r="B181" s="1669"/>
      <c r="C181" s="93"/>
      <c r="D181" s="54" t="s">
        <v>296</v>
      </c>
      <c r="E181" s="6"/>
      <c r="F181" s="6"/>
      <c r="G181" s="6"/>
      <c r="H181" s="6"/>
      <c r="I181" s="6"/>
      <c r="J181" s="6"/>
      <c r="K181" s="6"/>
    </row>
    <row r="182" spans="2:11" ht="24.75" thickBot="1">
      <c r="B182" s="1670"/>
      <c r="C182" s="3"/>
      <c r="D182" s="41" t="s">
        <v>462</v>
      </c>
      <c r="E182" s="6"/>
      <c r="F182" s="6"/>
      <c r="G182" s="6"/>
      <c r="H182" s="6"/>
      <c r="I182" s="6"/>
      <c r="J182" s="6"/>
      <c r="K182" s="6"/>
    </row>
    <row r="183" spans="2:11">
      <c r="B183" s="1668" t="s">
        <v>77</v>
      </c>
      <c r="C183" s="98"/>
      <c r="D183" s="1668"/>
      <c r="E183" s="6"/>
      <c r="F183" s="6"/>
      <c r="G183" s="6"/>
      <c r="H183" s="6"/>
      <c r="I183" s="6"/>
      <c r="J183" s="6"/>
      <c r="K183" s="6"/>
    </row>
    <row r="184" spans="2:11" ht="15.75" thickBot="1">
      <c r="B184" s="1670"/>
      <c r="C184" s="99"/>
      <c r="D184" s="1670"/>
      <c r="E184" s="6"/>
      <c r="F184" s="6"/>
      <c r="G184" s="6"/>
      <c r="H184" s="6"/>
      <c r="I184" s="6"/>
      <c r="J184" s="6"/>
      <c r="K184" s="6"/>
    </row>
    <row r="185" spans="2:11" ht="96">
      <c r="B185" s="1668" t="s">
        <v>78</v>
      </c>
      <c r="C185" s="93"/>
      <c r="D185" s="47" t="s">
        <v>364</v>
      </c>
      <c r="E185" s="6"/>
      <c r="F185" s="6"/>
      <c r="G185" s="6"/>
      <c r="H185" s="6"/>
      <c r="I185" s="6"/>
      <c r="J185" s="6"/>
      <c r="K185" s="6"/>
    </row>
    <row r="186" spans="2:11" ht="132">
      <c r="B186" s="1669"/>
      <c r="C186" s="93"/>
      <c r="D186" s="47" t="s">
        <v>365</v>
      </c>
      <c r="E186" s="6"/>
      <c r="F186" s="6"/>
      <c r="G186" s="6"/>
      <c r="H186" s="6"/>
      <c r="I186" s="6"/>
      <c r="J186" s="6"/>
      <c r="K186" s="6"/>
    </row>
    <row r="187" spans="2:11" ht="60">
      <c r="B187" s="1669"/>
      <c r="C187" s="93"/>
      <c r="D187" s="47" t="s">
        <v>367</v>
      </c>
      <c r="E187" s="6"/>
      <c r="F187" s="6"/>
      <c r="G187" s="6"/>
      <c r="H187" s="6"/>
      <c r="I187" s="6"/>
      <c r="J187" s="6"/>
      <c r="K187" s="6"/>
    </row>
    <row r="188" spans="2:11" ht="24">
      <c r="B188" s="1669"/>
      <c r="C188" s="93"/>
      <c r="D188" s="47" t="s">
        <v>463</v>
      </c>
      <c r="E188" s="6"/>
      <c r="F188" s="6"/>
      <c r="G188" s="6"/>
      <c r="H188" s="6"/>
      <c r="I188" s="6"/>
      <c r="J188" s="6"/>
      <c r="K188" s="6"/>
    </row>
    <row r="189" spans="2:11" ht="168.75" thickBot="1">
      <c r="B189" s="1670"/>
      <c r="C189" s="3"/>
      <c r="D189" s="41" t="s">
        <v>464</v>
      </c>
      <c r="E189" s="6"/>
      <c r="F189" s="6"/>
      <c r="G189" s="6"/>
      <c r="H189" s="6"/>
      <c r="I189" s="6"/>
      <c r="J189" s="6"/>
      <c r="K189" s="6"/>
    </row>
    <row r="190" spans="2:11" ht="24">
      <c r="B190" s="1668" t="s">
        <v>95</v>
      </c>
      <c r="C190" s="93"/>
      <c r="D190" s="54" t="s">
        <v>465</v>
      </c>
      <c r="E190" s="6"/>
      <c r="F190" s="6"/>
      <c r="G190" s="6"/>
      <c r="H190" s="6"/>
      <c r="I190" s="6"/>
      <c r="J190" s="6"/>
      <c r="K190" s="6"/>
    </row>
    <row r="191" spans="2:11">
      <c r="B191" s="1669"/>
      <c r="C191" s="93"/>
      <c r="D191" s="17"/>
      <c r="E191" s="6"/>
      <c r="F191" s="6"/>
      <c r="G191" s="6"/>
      <c r="H191" s="6"/>
      <c r="I191" s="6"/>
      <c r="J191" s="6"/>
      <c r="K191" s="6"/>
    </row>
    <row r="192" spans="2:11">
      <c r="B192" s="1669"/>
      <c r="C192" s="93"/>
      <c r="D192" s="47" t="s">
        <v>96</v>
      </c>
      <c r="E192" s="6"/>
      <c r="F192" s="6"/>
      <c r="G192" s="6"/>
      <c r="H192" s="6"/>
      <c r="I192" s="6"/>
      <c r="J192" s="6"/>
      <c r="K192" s="6"/>
    </row>
    <row r="193" spans="2:11" ht="25.5">
      <c r="B193" s="1669"/>
      <c r="C193" s="93"/>
      <c r="D193" s="47" t="s">
        <v>466</v>
      </c>
      <c r="E193" s="6"/>
      <c r="F193" s="6"/>
      <c r="G193" s="6"/>
      <c r="H193" s="6"/>
      <c r="I193" s="6"/>
      <c r="J193" s="6"/>
      <c r="K193" s="6"/>
    </row>
    <row r="194" spans="2:11" ht="25.5">
      <c r="B194" s="1669"/>
      <c r="C194" s="93"/>
      <c r="D194" s="47" t="s">
        <v>467</v>
      </c>
      <c r="E194" s="6"/>
      <c r="F194" s="6"/>
      <c r="G194" s="6"/>
      <c r="H194" s="6"/>
      <c r="I194" s="6"/>
      <c r="J194" s="6"/>
      <c r="K194" s="6"/>
    </row>
    <row r="195" spans="2:11" ht="37.5">
      <c r="B195" s="1669"/>
      <c r="C195" s="93"/>
      <c r="D195" s="47" t="s">
        <v>468</v>
      </c>
      <c r="E195" s="6"/>
      <c r="F195" s="6"/>
      <c r="G195" s="6"/>
      <c r="H195" s="6"/>
      <c r="I195" s="6"/>
      <c r="J195" s="6"/>
      <c r="K195" s="6"/>
    </row>
    <row r="196" spans="2:11">
      <c r="B196" s="1669"/>
      <c r="C196" s="93"/>
      <c r="D196" s="54" t="s">
        <v>254</v>
      </c>
      <c r="E196" s="6"/>
      <c r="F196" s="6"/>
      <c r="G196" s="6"/>
      <c r="H196" s="6"/>
      <c r="I196" s="6"/>
      <c r="J196" s="6"/>
      <c r="K196" s="6"/>
    </row>
    <row r="197" spans="2:11" ht="24">
      <c r="B197" s="1669"/>
      <c r="C197" s="93"/>
      <c r="D197" s="54" t="s">
        <v>469</v>
      </c>
      <c r="E197" s="6"/>
      <c r="F197" s="6"/>
      <c r="G197" s="6"/>
      <c r="H197" s="6"/>
      <c r="I197" s="6"/>
      <c r="J197" s="6"/>
      <c r="K197" s="6"/>
    </row>
    <row r="198" spans="2:11">
      <c r="B198" s="1669"/>
      <c r="C198" s="93"/>
      <c r="D198" s="17"/>
      <c r="E198" s="6"/>
      <c r="F198" s="6"/>
      <c r="G198" s="6"/>
      <c r="H198" s="6"/>
      <c r="I198" s="6"/>
      <c r="J198" s="6"/>
      <c r="K198" s="6"/>
    </row>
    <row r="199" spans="2:11">
      <c r="B199" s="1669"/>
      <c r="C199" s="93"/>
      <c r="D199" s="47" t="s">
        <v>96</v>
      </c>
      <c r="E199" s="6"/>
      <c r="F199" s="6"/>
      <c r="G199" s="6"/>
      <c r="H199" s="6"/>
      <c r="I199" s="6"/>
      <c r="J199" s="6"/>
      <c r="K199" s="6"/>
    </row>
    <row r="200" spans="2:11" ht="49.5">
      <c r="B200" s="1669"/>
      <c r="C200" s="93"/>
      <c r="D200" s="47" t="s">
        <v>470</v>
      </c>
      <c r="E200" s="6"/>
      <c r="F200" s="6"/>
      <c r="G200" s="6"/>
      <c r="H200" s="6"/>
      <c r="I200" s="6"/>
      <c r="J200" s="6"/>
      <c r="K200" s="6"/>
    </row>
    <row r="201" spans="2:11" ht="38.25" thickBot="1">
      <c r="B201" s="1670"/>
      <c r="C201" s="3"/>
      <c r="D201" s="41" t="s">
        <v>471</v>
      </c>
      <c r="E201" s="6"/>
      <c r="F201" s="6"/>
      <c r="G201" s="6"/>
      <c r="H201" s="6"/>
      <c r="I201" s="6"/>
      <c r="J201" s="6"/>
      <c r="K201" s="6"/>
    </row>
    <row r="202" spans="2:11">
      <c r="B202" s="6"/>
      <c r="D202" s="6"/>
      <c r="E202" s="6"/>
      <c r="F202" s="6"/>
      <c r="G202" s="6"/>
      <c r="H202" s="6"/>
      <c r="I202" s="6"/>
      <c r="J202" s="6"/>
      <c r="K202" s="6"/>
    </row>
    <row r="203" spans="2:11">
      <c r="B203" s="6"/>
      <c r="D203" s="6"/>
      <c r="E203" s="6"/>
      <c r="F203" s="6"/>
      <c r="G203" s="6"/>
      <c r="H203" s="6"/>
      <c r="I203" s="6"/>
      <c r="J203" s="6"/>
      <c r="K203" s="6"/>
    </row>
    <row r="204" spans="2:11">
      <c r="B204" s="6"/>
      <c r="D204" s="6"/>
      <c r="E204" s="6"/>
      <c r="F204" s="6"/>
      <c r="G204" s="6"/>
      <c r="H204" s="6"/>
      <c r="I204" s="6"/>
      <c r="J204" s="6"/>
      <c r="K204" s="6"/>
    </row>
    <row r="205" spans="2:11">
      <c r="B205" s="6"/>
      <c r="D205" s="6"/>
      <c r="E205" s="6"/>
      <c r="F205" s="6"/>
      <c r="G205" s="6"/>
      <c r="H205" s="6"/>
      <c r="I205" s="6"/>
      <c r="J205" s="6"/>
      <c r="K205" s="6"/>
    </row>
    <row r="206" spans="2:11">
      <c r="B206" s="6"/>
      <c r="D206" s="6"/>
      <c r="E206" s="6"/>
      <c r="F206" s="6"/>
      <c r="G206" s="6"/>
      <c r="H206" s="6"/>
      <c r="I206" s="6"/>
      <c r="J206" s="6"/>
      <c r="K206" s="6"/>
    </row>
    <row r="207" spans="2:11">
      <c r="B207" s="6"/>
      <c r="D207" s="6"/>
      <c r="E207" s="6"/>
      <c r="F207" s="6"/>
      <c r="G207" s="6"/>
      <c r="H207" s="6"/>
      <c r="I207" s="6"/>
      <c r="J207" s="6"/>
      <c r="K207" s="6"/>
    </row>
    <row r="208" spans="2:11">
      <c r="B208" s="6"/>
      <c r="D208" s="6"/>
      <c r="E208" s="6"/>
      <c r="F208" s="6"/>
      <c r="G208" s="6"/>
      <c r="H208" s="6"/>
      <c r="I208" s="6"/>
      <c r="J208" s="6"/>
      <c r="K208" s="6"/>
    </row>
    <row r="209" spans="2:11">
      <c r="B209" s="6"/>
      <c r="D209" s="6"/>
      <c r="E209" s="6"/>
      <c r="F209" s="6"/>
      <c r="G209" s="6"/>
      <c r="H209" s="6"/>
      <c r="I209" s="6"/>
      <c r="J209" s="6"/>
      <c r="K209" s="6"/>
    </row>
    <row r="210" spans="2:11">
      <c r="B210" s="6"/>
      <c r="D210" s="6"/>
      <c r="E210" s="6"/>
      <c r="F210" s="6"/>
      <c r="G210" s="6"/>
      <c r="H210" s="6"/>
      <c r="I210" s="6"/>
      <c r="J210" s="6"/>
      <c r="K210" s="6"/>
    </row>
    <row r="211" spans="2:11">
      <c r="B211" s="6"/>
      <c r="D211" s="6"/>
      <c r="E211" s="6"/>
      <c r="F211" s="6"/>
      <c r="G211" s="6"/>
      <c r="H211" s="6"/>
      <c r="I211" s="6"/>
      <c r="J211" s="6"/>
      <c r="K211" s="6"/>
    </row>
    <row r="212" spans="2:11">
      <c r="B212" s="6"/>
      <c r="D212" s="6"/>
      <c r="E212" s="6"/>
      <c r="F212" s="6"/>
      <c r="G212" s="6"/>
      <c r="H212" s="6"/>
      <c r="I212" s="6"/>
      <c r="J212" s="6"/>
      <c r="K212" s="6"/>
    </row>
    <row r="213" spans="2:11">
      <c r="B213" s="6"/>
      <c r="D213" s="6"/>
      <c r="E213" s="6"/>
      <c r="F213" s="6"/>
      <c r="G213" s="6"/>
      <c r="H213" s="6"/>
      <c r="I213" s="6"/>
      <c r="J213" s="6"/>
      <c r="K213" s="6"/>
    </row>
    <row r="214" spans="2:11">
      <c r="B214" s="6"/>
      <c r="D214" s="6"/>
      <c r="E214" s="6"/>
      <c r="F214" s="6"/>
      <c r="G214" s="6"/>
      <c r="H214" s="6"/>
      <c r="I214" s="6"/>
      <c r="J214" s="6"/>
      <c r="K214" s="6"/>
    </row>
    <row r="215" spans="2:11">
      <c r="B215" s="6"/>
      <c r="D215" s="6"/>
      <c r="E215" s="6"/>
      <c r="F215" s="6"/>
      <c r="G215" s="6"/>
      <c r="H215" s="6"/>
      <c r="I215" s="6"/>
      <c r="J215" s="6"/>
      <c r="K215" s="6"/>
    </row>
    <row r="216" spans="2:11">
      <c r="B216" s="6"/>
      <c r="D216" s="6"/>
      <c r="E216" s="6"/>
      <c r="F216" s="6"/>
      <c r="G216" s="6"/>
      <c r="H216" s="6"/>
      <c r="I216" s="6"/>
      <c r="J216" s="6"/>
      <c r="K216" s="6"/>
    </row>
    <row r="217" spans="2:11">
      <c r="B217" s="6"/>
      <c r="D217" s="6"/>
      <c r="E217" s="6"/>
      <c r="F217" s="6"/>
      <c r="G217" s="6"/>
      <c r="H217" s="6"/>
      <c r="I217" s="6"/>
      <c r="J217" s="6"/>
      <c r="K217" s="6"/>
    </row>
    <row r="218" spans="2:11">
      <c r="B218" s="6"/>
      <c r="D218" s="6"/>
      <c r="E218" s="6"/>
      <c r="F218" s="6"/>
      <c r="G218" s="6"/>
      <c r="H218" s="6"/>
      <c r="I218" s="6"/>
      <c r="J218" s="6"/>
      <c r="K218" s="6"/>
    </row>
    <row r="219" spans="2:11">
      <c r="B219" s="6"/>
      <c r="D219" s="6"/>
      <c r="E219" s="6"/>
      <c r="F219" s="6"/>
      <c r="G219" s="6"/>
      <c r="H219" s="6"/>
      <c r="I219" s="6"/>
      <c r="J219" s="6"/>
      <c r="K219" s="6"/>
    </row>
    <row r="220" spans="2:11">
      <c r="B220" s="6"/>
      <c r="D220" s="6"/>
      <c r="E220" s="6"/>
      <c r="F220" s="6"/>
      <c r="G220" s="6"/>
      <c r="H220" s="6"/>
      <c r="I220" s="6"/>
      <c r="J220" s="6"/>
      <c r="K220" s="6"/>
    </row>
    <row r="221" spans="2:11">
      <c r="B221" s="6"/>
      <c r="D221" s="6"/>
      <c r="E221" s="6"/>
      <c r="F221" s="6"/>
      <c r="G221" s="6"/>
      <c r="H221" s="6"/>
      <c r="I221" s="6"/>
      <c r="J221" s="6"/>
      <c r="K221" s="6"/>
    </row>
    <row r="222" spans="2:11">
      <c r="B222" s="6"/>
      <c r="D222" s="6"/>
      <c r="E222" s="6"/>
      <c r="F222" s="6"/>
      <c r="G222" s="6"/>
      <c r="H222" s="6"/>
      <c r="I222" s="6"/>
      <c r="J222" s="6"/>
      <c r="K222" s="6"/>
    </row>
    <row r="223" spans="2:11">
      <c r="B223" s="6"/>
      <c r="D223" s="6"/>
      <c r="E223" s="6"/>
      <c r="F223" s="6"/>
      <c r="G223" s="6"/>
      <c r="H223" s="6"/>
      <c r="I223" s="6"/>
      <c r="J223" s="6"/>
      <c r="K223" s="6"/>
    </row>
    <row r="224" spans="2:11">
      <c r="B224" s="6"/>
      <c r="D224" s="6"/>
      <c r="E224" s="6"/>
      <c r="F224" s="6"/>
      <c r="G224" s="6"/>
      <c r="H224" s="6"/>
      <c r="I224" s="6"/>
      <c r="J224" s="6"/>
      <c r="K224" s="6"/>
    </row>
    <row r="225" spans="2:11">
      <c r="B225" s="6"/>
      <c r="D225" s="6"/>
      <c r="E225" s="6"/>
      <c r="F225" s="6"/>
      <c r="G225" s="6"/>
      <c r="H225" s="6"/>
      <c r="I225" s="6"/>
      <c r="J225" s="6"/>
      <c r="K225" s="6"/>
    </row>
    <row r="226" spans="2:11">
      <c r="B226" s="6"/>
      <c r="D226" s="6"/>
      <c r="E226" s="6"/>
      <c r="F226" s="6"/>
      <c r="G226" s="6"/>
      <c r="H226" s="6"/>
      <c r="I226" s="6"/>
      <c r="J226" s="6"/>
      <c r="K226" s="6"/>
    </row>
    <row r="227" spans="2:11">
      <c r="B227" s="6"/>
      <c r="D227" s="6"/>
      <c r="E227" s="6"/>
      <c r="F227" s="6"/>
      <c r="G227" s="6"/>
      <c r="H227" s="6"/>
      <c r="I227" s="6"/>
      <c r="J227" s="6"/>
      <c r="K227" s="6"/>
    </row>
    <row r="228" spans="2:11">
      <c r="B228" s="6"/>
      <c r="D228" s="6"/>
      <c r="E228" s="6"/>
      <c r="F228" s="6"/>
      <c r="G228" s="6"/>
      <c r="H228" s="6"/>
      <c r="I228" s="6"/>
      <c r="J228" s="6"/>
      <c r="K228" s="6"/>
    </row>
    <row r="229" spans="2:11">
      <c r="B229" s="6"/>
      <c r="D229" s="6"/>
      <c r="E229" s="6"/>
      <c r="F229" s="6"/>
      <c r="G229" s="6"/>
      <c r="H229" s="6"/>
      <c r="I229" s="6"/>
      <c r="J229" s="6"/>
      <c r="K229" s="6"/>
    </row>
    <row r="230" spans="2:11">
      <c r="B230" s="6"/>
      <c r="D230" s="6"/>
      <c r="E230" s="6"/>
      <c r="F230" s="6"/>
      <c r="G230" s="6"/>
      <c r="H230" s="6"/>
      <c r="I230" s="6"/>
      <c r="J230" s="6"/>
      <c r="K230" s="6"/>
    </row>
    <row r="231" spans="2:11">
      <c r="B231" s="6"/>
      <c r="D231" s="6"/>
      <c r="E231" s="6"/>
      <c r="F231" s="6"/>
      <c r="G231" s="6"/>
      <c r="H231" s="6"/>
      <c r="I231" s="6"/>
      <c r="J231" s="6"/>
      <c r="K231" s="6"/>
    </row>
    <row r="232" spans="2:11">
      <c r="B232" s="6"/>
      <c r="D232" s="6"/>
      <c r="E232" s="6"/>
      <c r="F232" s="6"/>
      <c r="G232" s="6"/>
      <c r="H232" s="6"/>
      <c r="I232" s="6"/>
      <c r="J232" s="6"/>
      <c r="K232" s="6"/>
    </row>
    <row r="233" spans="2:11">
      <c r="B233" s="6"/>
      <c r="D233" s="6"/>
      <c r="E233" s="6"/>
      <c r="F233" s="6"/>
      <c r="G233" s="6"/>
      <c r="H233" s="6"/>
      <c r="I233" s="6"/>
      <c r="J233" s="6"/>
      <c r="K233" s="6"/>
    </row>
    <row r="234" spans="2:11">
      <c r="B234" s="6"/>
      <c r="D234" s="6"/>
      <c r="E234" s="6"/>
      <c r="F234" s="6"/>
      <c r="G234" s="6"/>
      <c r="H234" s="6"/>
      <c r="I234" s="6"/>
      <c r="J234" s="6"/>
      <c r="K234" s="6"/>
    </row>
    <row r="235" spans="2:11">
      <c r="B235" s="6"/>
      <c r="D235" s="6"/>
      <c r="E235" s="6"/>
      <c r="F235" s="6"/>
      <c r="G235" s="6"/>
      <c r="H235" s="6"/>
      <c r="I235" s="6"/>
      <c r="J235" s="6"/>
      <c r="K235" s="6"/>
    </row>
    <row r="236" spans="2:11">
      <c r="B236" s="6"/>
      <c r="D236" s="6"/>
      <c r="E236" s="6"/>
      <c r="F236" s="6"/>
      <c r="G236" s="6"/>
      <c r="H236" s="6"/>
      <c r="I236" s="6"/>
      <c r="J236" s="6"/>
      <c r="K236" s="6"/>
    </row>
    <row r="237" spans="2:11">
      <c r="B237" s="6"/>
      <c r="D237" s="6"/>
      <c r="E237" s="6"/>
      <c r="F237" s="6"/>
      <c r="G237" s="6"/>
      <c r="H237" s="6"/>
      <c r="I237" s="6"/>
      <c r="J237" s="6"/>
      <c r="K237" s="6"/>
    </row>
    <row r="238" spans="2:11">
      <c r="B238" s="6"/>
      <c r="D238" s="6"/>
      <c r="E238" s="6"/>
      <c r="F238" s="6"/>
      <c r="G238" s="6"/>
      <c r="H238" s="6"/>
      <c r="I238" s="6"/>
      <c r="J238" s="6"/>
      <c r="K238" s="6"/>
    </row>
    <row r="239" spans="2:11">
      <c r="B239" s="6"/>
      <c r="D239" s="6"/>
      <c r="E239" s="6"/>
      <c r="F239" s="6"/>
      <c r="G239" s="6"/>
      <c r="H239" s="6"/>
      <c r="I239" s="6"/>
      <c r="J239" s="6"/>
      <c r="K239" s="6"/>
    </row>
    <row r="240" spans="2:11">
      <c r="B240" s="6"/>
      <c r="D240" s="6"/>
      <c r="E240" s="6"/>
      <c r="F240" s="6"/>
      <c r="G240" s="6"/>
      <c r="H240" s="6"/>
      <c r="I240" s="6"/>
      <c r="J240" s="6"/>
      <c r="K240" s="6"/>
    </row>
    <row r="241" spans="2:11">
      <c r="B241" s="6"/>
      <c r="D241" s="6"/>
      <c r="E241" s="6"/>
      <c r="F241" s="6"/>
      <c r="G241" s="6"/>
      <c r="H241" s="6"/>
      <c r="I241" s="6"/>
      <c r="J241" s="6"/>
      <c r="K241" s="6"/>
    </row>
    <row r="242" spans="2:11">
      <c r="B242" s="6"/>
      <c r="D242" s="6"/>
      <c r="E242" s="6"/>
      <c r="F242" s="6"/>
      <c r="G242" s="6"/>
      <c r="H242" s="6"/>
      <c r="I242" s="6"/>
      <c r="J242" s="6"/>
      <c r="K242" s="6"/>
    </row>
    <row r="243" spans="2:11">
      <c r="B243" s="6"/>
      <c r="D243" s="6"/>
      <c r="E243" s="6"/>
      <c r="F243" s="6"/>
      <c r="G243" s="6"/>
      <c r="H243" s="6"/>
      <c r="I243" s="6"/>
      <c r="J243" s="6"/>
      <c r="K243" s="6"/>
    </row>
    <row r="244" spans="2:11">
      <c r="B244" s="6"/>
      <c r="D244" s="6"/>
      <c r="E244" s="6"/>
      <c r="F244" s="6"/>
      <c r="G244" s="6"/>
      <c r="H244" s="6"/>
      <c r="I244" s="6"/>
      <c r="J244" s="6"/>
      <c r="K244" s="6"/>
    </row>
    <row r="245" spans="2:11">
      <c r="B245" s="6"/>
      <c r="D245" s="6"/>
      <c r="E245" s="6"/>
      <c r="F245" s="6"/>
      <c r="G245" s="6"/>
      <c r="H245" s="6"/>
      <c r="I245" s="6"/>
      <c r="J245" s="6"/>
      <c r="K245" s="6"/>
    </row>
    <row r="246" spans="2:11">
      <c r="B246" s="6"/>
      <c r="D246" s="6"/>
      <c r="E246" s="6"/>
      <c r="F246" s="6"/>
      <c r="G246" s="6"/>
      <c r="H246" s="6"/>
      <c r="I246" s="6"/>
      <c r="J246" s="6"/>
      <c r="K246" s="6"/>
    </row>
    <row r="247" spans="2:11">
      <c r="B247" s="6"/>
      <c r="D247" s="6"/>
      <c r="E247" s="6"/>
      <c r="F247" s="6"/>
      <c r="G247" s="6"/>
      <c r="H247" s="6"/>
      <c r="I247" s="6"/>
      <c r="J247" s="6"/>
      <c r="K247" s="6"/>
    </row>
    <row r="248" spans="2:11">
      <c r="B248" s="6"/>
      <c r="D248" s="6"/>
      <c r="E248" s="6"/>
      <c r="F248" s="6"/>
      <c r="G248" s="6"/>
      <c r="H248" s="6"/>
      <c r="I248" s="6"/>
      <c r="J248" s="6"/>
      <c r="K248" s="6"/>
    </row>
    <row r="249" spans="2:11">
      <c r="B249" s="6"/>
      <c r="D249" s="6"/>
      <c r="E249" s="6"/>
      <c r="F249" s="6"/>
      <c r="G249" s="6"/>
      <c r="H249" s="6"/>
      <c r="I249" s="6"/>
      <c r="J249" s="6"/>
      <c r="K249" s="6"/>
    </row>
    <row r="250" spans="2:11">
      <c r="B250" s="6"/>
      <c r="D250" s="6"/>
      <c r="E250" s="6"/>
      <c r="F250" s="6"/>
      <c r="G250" s="6"/>
      <c r="H250" s="6"/>
      <c r="I250" s="6"/>
      <c r="J250" s="6"/>
      <c r="K250" s="6"/>
    </row>
    <row r="251" spans="2:11">
      <c r="B251" s="6"/>
      <c r="D251" s="6"/>
      <c r="E251" s="6"/>
      <c r="F251" s="6"/>
      <c r="G251" s="6"/>
      <c r="H251" s="6"/>
      <c r="I251" s="6"/>
      <c r="J251" s="6"/>
      <c r="K251" s="6"/>
    </row>
    <row r="252" spans="2:11">
      <c r="B252" s="6"/>
      <c r="D252" s="6"/>
      <c r="E252" s="6"/>
      <c r="F252" s="6"/>
      <c r="G252" s="6"/>
      <c r="H252" s="6"/>
      <c r="I252" s="6"/>
      <c r="J252" s="6"/>
      <c r="K252" s="6"/>
    </row>
    <row r="253" spans="2:11">
      <c r="B253" s="6"/>
      <c r="D253" s="6"/>
      <c r="E253" s="6"/>
      <c r="F253" s="6"/>
      <c r="G253" s="6"/>
      <c r="H253" s="6"/>
      <c r="I253" s="6"/>
      <c r="J253" s="6"/>
      <c r="K253" s="6"/>
    </row>
    <row r="254" spans="2:11">
      <c r="B254" s="6"/>
      <c r="D254" s="6"/>
      <c r="E254" s="6"/>
      <c r="F254" s="6"/>
      <c r="G254" s="6"/>
      <c r="H254" s="6"/>
      <c r="I254" s="6"/>
      <c r="J254" s="6"/>
      <c r="K254" s="6"/>
    </row>
    <row r="255" spans="2:11">
      <c r="B255" s="6"/>
      <c r="D255" s="6"/>
      <c r="E255" s="6"/>
      <c r="F255" s="6"/>
      <c r="G255" s="6"/>
      <c r="H255" s="6"/>
      <c r="I255" s="6"/>
      <c r="J255" s="6"/>
      <c r="K255" s="6"/>
    </row>
    <row r="256" spans="2:11">
      <c r="B256" s="6"/>
      <c r="D256" s="6"/>
      <c r="E256" s="6"/>
      <c r="F256" s="6"/>
      <c r="G256" s="6"/>
      <c r="H256" s="6"/>
      <c r="I256" s="6"/>
      <c r="J256" s="6"/>
      <c r="K256" s="6"/>
    </row>
    <row r="257" spans="2:11">
      <c r="B257" s="6"/>
      <c r="D257" s="6"/>
      <c r="E257" s="6"/>
      <c r="F257" s="6"/>
      <c r="G257" s="6"/>
      <c r="H257" s="6"/>
      <c r="I257" s="6"/>
      <c r="J257" s="6"/>
      <c r="K257" s="6"/>
    </row>
    <row r="258" spans="2:11">
      <c r="B258" s="6"/>
      <c r="D258" s="6"/>
      <c r="E258" s="6"/>
      <c r="F258" s="6"/>
      <c r="G258" s="6"/>
      <c r="H258" s="6"/>
      <c r="I258" s="6"/>
      <c r="J258" s="6"/>
      <c r="K258" s="6"/>
    </row>
    <row r="259" spans="2:11">
      <c r="B259" s="6"/>
      <c r="D259" s="6"/>
      <c r="E259" s="6"/>
      <c r="F259" s="6"/>
      <c r="G259" s="6"/>
      <c r="H259" s="6"/>
      <c r="I259" s="6"/>
      <c r="J259" s="6"/>
      <c r="K259" s="6"/>
    </row>
    <row r="260" spans="2:11">
      <c r="B260" s="6"/>
      <c r="D260" s="6"/>
      <c r="E260" s="6"/>
      <c r="F260" s="6"/>
      <c r="G260" s="6"/>
      <c r="H260" s="6"/>
      <c r="I260" s="6"/>
      <c r="J260" s="6"/>
      <c r="K260" s="6"/>
    </row>
    <row r="261" spans="2:11">
      <c r="B261" s="6"/>
      <c r="D261" s="6"/>
      <c r="E261" s="6"/>
      <c r="F261" s="6"/>
      <c r="G261" s="6"/>
      <c r="H261" s="6"/>
      <c r="I261" s="6"/>
      <c r="J261" s="6"/>
      <c r="K261" s="6"/>
    </row>
    <row r="262" spans="2:11">
      <c r="B262" s="6"/>
      <c r="D262" s="6"/>
      <c r="E262" s="6"/>
      <c r="F262" s="6"/>
      <c r="G262" s="6"/>
      <c r="H262" s="6"/>
      <c r="I262" s="6"/>
      <c r="J262" s="6"/>
      <c r="K262" s="6"/>
    </row>
    <row r="263" spans="2:11">
      <c r="B263" s="6"/>
      <c r="D263" s="6"/>
      <c r="E263" s="6"/>
      <c r="F263" s="6"/>
      <c r="G263" s="6"/>
      <c r="H263" s="6"/>
      <c r="I263" s="6"/>
      <c r="J263" s="6"/>
      <c r="K263" s="6"/>
    </row>
    <row r="264" spans="2:11">
      <c r="B264" s="6"/>
      <c r="D264" s="6"/>
      <c r="E264" s="6"/>
      <c r="F264" s="6"/>
      <c r="G264" s="6"/>
      <c r="H264" s="6"/>
      <c r="I264" s="6"/>
      <c r="J264" s="6"/>
      <c r="K264" s="6"/>
    </row>
    <row r="265" spans="2:11">
      <c r="B265" s="6"/>
      <c r="D265" s="6"/>
      <c r="E265" s="6"/>
      <c r="F265" s="6"/>
      <c r="G265" s="6"/>
      <c r="H265" s="6"/>
      <c r="I265" s="6"/>
      <c r="J265" s="6"/>
      <c r="K265" s="6"/>
    </row>
    <row r="266" spans="2:11">
      <c r="B266" s="6"/>
      <c r="D266" s="6"/>
      <c r="E266" s="6"/>
      <c r="F266" s="6"/>
      <c r="G266" s="6"/>
      <c r="H266" s="6"/>
      <c r="I266" s="6"/>
      <c r="J266" s="6"/>
      <c r="K266" s="6"/>
    </row>
    <row r="267" spans="2:11">
      <c r="B267" s="6"/>
      <c r="D267" s="6"/>
      <c r="E267" s="6"/>
      <c r="F267" s="6"/>
      <c r="G267" s="6"/>
      <c r="H267" s="6"/>
      <c r="I267" s="6"/>
      <c r="J267" s="6"/>
      <c r="K267" s="6"/>
    </row>
    <row r="268" spans="2:11">
      <c r="B268" s="6"/>
      <c r="D268" s="6"/>
      <c r="E268" s="6"/>
      <c r="F268" s="6"/>
      <c r="G268" s="6"/>
      <c r="H268" s="6"/>
      <c r="I268" s="6"/>
      <c r="J268" s="6"/>
      <c r="K268" s="6"/>
    </row>
    <row r="269" spans="2:11">
      <c r="B269" s="6"/>
      <c r="D269" s="6"/>
      <c r="E269" s="6"/>
      <c r="F269" s="6"/>
      <c r="G269" s="6"/>
      <c r="H269" s="6"/>
      <c r="I269" s="6"/>
      <c r="J269" s="6"/>
      <c r="K269" s="6"/>
    </row>
    <row r="270" spans="2:11">
      <c r="B270" s="6"/>
      <c r="D270" s="6"/>
      <c r="E270" s="6"/>
      <c r="F270" s="6"/>
      <c r="G270" s="6"/>
      <c r="H270" s="6"/>
      <c r="I270" s="6"/>
      <c r="J270" s="6"/>
      <c r="K270" s="6"/>
    </row>
    <row r="271" spans="2:11">
      <c r="B271" s="6"/>
      <c r="D271" s="6"/>
      <c r="E271" s="6"/>
      <c r="F271" s="6"/>
      <c r="G271" s="6"/>
      <c r="H271" s="6"/>
      <c r="I271" s="6"/>
      <c r="J271" s="6"/>
      <c r="K271" s="6"/>
    </row>
    <row r="272" spans="2:11">
      <c r="B272" s="6"/>
      <c r="D272" s="6"/>
      <c r="E272" s="6"/>
      <c r="F272" s="6"/>
      <c r="G272" s="6"/>
      <c r="H272" s="6"/>
      <c r="I272" s="6"/>
      <c r="J272" s="6"/>
      <c r="K272" s="6"/>
    </row>
    <row r="273" spans="2:11">
      <c r="B273" s="6"/>
      <c r="D273" s="6"/>
      <c r="E273" s="6"/>
      <c r="F273" s="6"/>
      <c r="G273" s="6"/>
      <c r="H273" s="6"/>
      <c r="I273" s="6"/>
      <c r="J273" s="6"/>
      <c r="K273" s="6"/>
    </row>
    <row r="274" spans="2:11">
      <c r="B274" s="6"/>
      <c r="D274" s="6"/>
      <c r="E274" s="6"/>
      <c r="F274" s="6"/>
      <c r="G274" s="6"/>
      <c r="H274" s="6"/>
      <c r="I274" s="6"/>
      <c r="J274" s="6"/>
      <c r="K274" s="6"/>
    </row>
    <row r="275" spans="2:11">
      <c r="B275" s="6"/>
      <c r="D275" s="6"/>
      <c r="E275" s="6"/>
      <c r="F275" s="6"/>
      <c r="G275" s="6"/>
      <c r="H275" s="6"/>
      <c r="I275" s="6"/>
      <c r="J275" s="6"/>
      <c r="K275" s="6"/>
    </row>
    <row r="276" spans="2:11">
      <c r="B276" s="6"/>
      <c r="D276" s="6"/>
      <c r="E276" s="6"/>
      <c r="F276" s="6"/>
      <c r="G276" s="6"/>
      <c r="H276" s="6"/>
      <c r="I276" s="6"/>
      <c r="J276" s="6"/>
      <c r="K276" s="6"/>
    </row>
    <row r="277" spans="2:11">
      <c r="B277" s="6"/>
      <c r="D277" s="6"/>
      <c r="E277" s="6"/>
      <c r="F277" s="6"/>
      <c r="G277" s="6"/>
      <c r="H277" s="6"/>
      <c r="I277" s="6"/>
      <c r="J277" s="6"/>
      <c r="K277" s="6"/>
    </row>
    <row r="278" spans="2:11">
      <c r="B278" s="6"/>
      <c r="D278" s="6"/>
      <c r="E278" s="6"/>
      <c r="F278" s="6"/>
      <c r="G278" s="6"/>
      <c r="H278" s="6"/>
      <c r="I278" s="6"/>
      <c r="J278" s="6"/>
      <c r="K278" s="6"/>
    </row>
    <row r="279" spans="2:11">
      <c r="B279" s="6"/>
      <c r="D279" s="6"/>
      <c r="E279" s="6"/>
      <c r="F279" s="6"/>
      <c r="G279" s="6"/>
      <c r="H279" s="6"/>
      <c r="I279" s="6"/>
      <c r="J279" s="6"/>
      <c r="K279" s="6"/>
    </row>
    <row r="280" spans="2:11">
      <c r="B280" s="6"/>
      <c r="D280" s="6"/>
      <c r="E280" s="6"/>
      <c r="F280" s="6"/>
      <c r="G280" s="6"/>
      <c r="H280" s="6"/>
      <c r="I280" s="6"/>
      <c r="J280" s="6"/>
      <c r="K280" s="6"/>
    </row>
    <row r="281" spans="2:11">
      <c r="B281" s="6"/>
      <c r="D281" s="6"/>
      <c r="E281" s="6"/>
      <c r="F281" s="6"/>
      <c r="G281" s="6"/>
      <c r="H281" s="6"/>
      <c r="I281" s="6"/>
      <c r="J281" s="6"/>
      <c r="K281" s="6"/>
    </row>
    <row r="282" spans="2:11">
      <c r="B282" s="6"/>
      <c r="D282" s="6"/>
      <c r="E282" s="6"/>
      <c r="F282" s="6"/>
      <c r="G282" s="6"/>
      <c r="H282" s="6"/>
      <c r="I282" s="6"/>
      <c r="J282" s="6"/>
      <c r="K282" s="6"/>
    </row>
    <row r="283" spans="2:11">
      <c r="B283" s="6"/>
      <c r="D283" s="6"/>
      <c r="E283" s="6"/>
      <c r="F283" s="6"/>
      <c r="G283" s="6"/>
      <c r="H283" s="6"/>
      <c r="I283" s="6"/>
      <c r="J283" s="6"/>
      <c r="K283" s="6"/>
    </row>
    <row r="284" spans="2:11">
      <c r="B284" s="6"/>
      <c r="D284" s="6"/>
      <c r="E284" s="6"/>
      <c r="F284" s="6"/>
      <c r="G284" s="6"/>
      <c r="H284" s="6"/>
      <c r="I284" s="6"/>
      <c r="J284" s="6"/>
      <c r="K284" s="6"/>
    </row>
    <row r="285" spans="2:11">
      <c r="B285" s="6"/>
      <c r="D285" s="6"/>
      <c r="E285" s="6"/>
      <c r="F285" s="6"/>
      <c r="G285" s="6"/>
      <c r="H285" s="6"/>
      <c r="I285" s="6"/>
      <c r="J285" s="6"/>
      <c r="K285" s="6"/>
    </row>
    <row r="286" spans="2:11">
      <c r="B286" s="6"/>
      <c r="D286" s="6"/>
      <c r="E286" s="6"/>
      <c r="F286" s="6"/>
      <c r="G286" s="6"/>
      <c r="H286" s="6"/>
      <c r="I286" s="6"/>
      <c r="J286" s="6"/>
      <c r="K286" s="6"/>
    </row>
    <row r="287" spans="2:11">
      <c r="B287" s="6"/>
      <c r="D287" s="6"/>
      <c r="E287" s="6"/>
      <c r="F287" s="6"/>
      <c r="G287" s="6"/>
      <c r="H287" s="6"/>
      <c r="I287" s="6"/>
      <c r="J287" s="6"/>
      <c r="K287" s="6"/>
    </row>
    <row r="288" spans="2:11">
      <c r="B288" s="6"/>
      <c r="D288" s="6"/>
      <c r="E288" s="6"/>
      <c r="F288" s="6"/>
      <c r="G288" s="6"/>
      <c r="H288" s="6"/>
      <c r="I288" s="6"/>
      <c r="J288" s="6"/>
      <c r="K288" s="6"/>
    </row>
    <row r="289" spans="2:11">
      <c r="B289" s="6"/>
      <c r="D289" s="6"/>
      <c r="E289" s="6"/>
      <c r="F289" s="6"/>
      <c r="G289" s="6"/>
      <c r="H289" s="6"/>
      <c r="I289" s="6"/>
      <c r="J289" s="6"/>
      <c r="K289" s="6"/>
    </row>
    <row r="290" spans="2:11">
      <c r="B290" s="6"/>
      <c r="D290" s="6"/>
      <c r="E290" s="6"/>
      <c r="F290" s="6"/>
      <c r="G290" s="6"/>
      <c r="H290" s="6"/>
      <c r="I290" s="6"/>
      <c r="J290" s="6"/>
      <c r="K290" s="6"/>
    </row>
    <row r="291" spans="2:11">
      <c r="B291" s="6"/>
      <c r="D291" s="6"/>
      <c r="E291" s="6"/>
      <c r="F291" s="6"/>
      <c r="G291" s="6"/>
      <c r="H291" s="6"/>
      <c r="I291" s="6"/>
      <c r="J291" s="6"/>
      <c r="K291" s="6"/>
    </row>
    <row r="292" spans="2:11">
      <c r="B292" s="6"/>
      <c r="D292" s="6"/>
      <c r="E292" s="6"/>
      <c r="F292" s="6"/>
      <c r="G292" s="6"/>
      <c r="H292" s="6"/>
      <c r="I292" s="6"/>
      <c r="J292" s="6"/>
      <c r="K292" s="6"/>
    </row>
    <row r="293" spans="2:11">
      <c r="B293" s="6"/>
      <c r="D293" s="6"/>
      <c r="E293" s="6"/>
      <c r="F293" s="6"/>
      <c r="G293" s="6"/>
      <c r="H293" s="6"/>
      <c r="I293" s="6"/>
      <c r="J293" s="6"/>
      <c r="K293" s="6"/>
    </row>
  </sheetData>
  <sheetProtection sheet="1" objects="1" scenarios="1"/>
  <mergeCells count="37">
    <mergeCell ref="B10:D10"/>
    <mergeCell ref="F10:S10"/>
    <mergeCell ref="F11:S11"/>
    <mergeCell ref="E12:R12"/>
    <mergeCell ref="E13:R13"/>
    <mergeCell ref="B15:B24"/>
    <mergeCell ref="L25:L26"/>
    <mergeCell ref="C25:C26"/>
    <mergeCell ref="D25:D26"/>
    <mergeCell ref="E25:E26"/>
    <mergeCell ref="F25:F26"/>
    <mergeCell ref="G25:G26"/>
    <mergeCell ref="K25:K26"/>
    <mergeCell ref="D15:L15"/>
    <mergeCell ref="D21:L21"/>
    <mergeCell ref="D22:L22"/>
    <mergeCell ref="D23:L23"/>
    <mergeCell ref="D24:L24"/>
    <mergeCell ref="J25:J26"/>
    <mergeCell ref="B171:G172"/>
    <mergeCell ref="B190:B201"/>
    <mergeCell ref="B175:D175"/>
    <mergeCell ref="B177:B182"/>
    <mergeCell ref="B183:B184"/>
    <mergeCell ref="D183:D184"/>
    <mergeCell ref="B185:B189"/>
    <mergeCell ref="B158:B164"/>
    <mergeCell ref="D145:L145"/>
    <mergeCell ref="D146:L146"/>
    <mergeCell ref="B148:E148"/>
    <mergeCell ref="B149:B155"/>
    <mergeCell ref="B157:E157"/>
    <mergeCell ref="A1:P1"/>
    <mergeCell ref="A2:P2"/>
    <mergeCell ref="A3:P3"/>
    <mergeCell ref="A4:D4"/>
    <mergeCell ref="A5:P5"/>
  </mergeCells>
  <conditionalFormatting sqref="F10">
    <cfRule type="notContainsBlanks" dxfId="82" priority="4">
      <formula>LEN(TRIM(F10))&gt;0</formula>
    </cfRule>
  </conditionalFormatting>
  <conditionalFormatting sqref="F11:S11">
    <cfRule type="expression" dxfId="81" priority="2">
      <formula>E11="NO SE REPORTA"</formula>
    </cfRule>
    <cfRule type="expression" dxfId="80" priority="3">
      <formula>E10="NO APLICA"</formula>
    </cfRule>
  </conditionalFormatting>
  <conditionalFormatting sqref="E12:R12">
    <cfRule type="expression" dxfId="7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103">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153" r:id="rId1"/>
  </hyperlinks>
  <pageMargins left="0.25" right="0.25" top="0.75" bottom="0.75" header="0.3" footer="0.3"/>
  <pageSetup paperSize="178" orientation="landscape"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3"/>
  <sheetViews>
    <sheetView showGridLines="0" topLeftCell="A10" zoomScale="98" zoomScaleNormal="98" workbookViewId="0">
      <selection activeCell="D26" sqref="D26:P26"/>
    </sheetView>
  </sheetViews>
  <sheetFormatPr baseColWidth="10" defaultRowHeight="15"/>
  <cols>
    <col min="1" max="1" width="1.85546875" customWidth="1"/>
    <col min="2" max="2" width="10.85546875" customWidth="1"/>
    <col min="3" max="3" width="5" style="86" bestFit="1" customWidth="1"/>
    <col min="4" max="4" width="34.85546875" customWidth="1"/>
    <col min="5" max="5" width="12.140625" customWidth="1"/>
    <col min="7" max="7" width="25.140625" customWidth="1"/>
    <col min="8" max="8" width="11.5703125" bestFit="1" customWidth="1"/>
    <col min="9" max="10" width="13.140625" bestFit="1" customWidth="1"/>
    <col min="11" max="11" width="13.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488</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3" t="s">
        <v>1203</v>
      </c>
      <c r="C8" s="214">
        <v>2018</v>
      </c>
      <c r="D8" s="218">
        <f>IF(E10="NO APLICA","NO APLICA",IF(E11="NO SE REPORTA","SIN INFORMACION",+Q22))</f>
        <v>0.66</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Gestión'!E60:H60</f>
        <v>Proyecto No 3.2. Protección y conservación de la biodiversidad (7).</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75" thickBot="1">
      <c r="B15" s="1749" t="s">
        <v>2</v>
      </c>
      <c r="C15" s="101"/>
      <c r="D15" s="1680" t="s">
        <v>344</v>
      </c>
      <c r="E15" s="1681"/>
      <c r="F15" s="1681"/>
      <c r="G15" s="1681"/>
      <c r="H15" s="1681"/>
      <c r="I15" s="1681"/>
      <c r="J15" s="1681"/>
      <c r="K15" s="1681"/>
      <c r="L15" s="1752"/>
      <c r="M15" s="1752"/>
      <c r="N15" s="1752"/>
      <c r="O15" s="1752"/>
      <c r="P15" s="1720"/>
      <c r="Q15" s="1737" t="s">
        <v>157</v>
      </c>
    </row>
    <row r="16" spans="1:21" ht="15.75" thickBot="1">
      <c r="B16" s="1750"/>
      <c r="C16" s="108"/>
      <c r="D16" s="1687" t="s">
        <v>156</v>
      </c>
      <c r="E16" s="1740" t="s">
        <v>512</v>
      </c>
      <c r="F16" s="1747"/>
      <c r="G16" s="1747"/>
      <c r="H16" s="1747"/>
      <c r="I16" s="1747"/>
      <c r="J16" s="1748"/>
      <c r="K16" s="1740" t="s">
        <v>513</v>
      </c>
      <c r="L16" s="1741"/>
      <c r="M16" s="1741"/>
      <c r="N16" s="1741"/>
      <c r="O16" s="1741"/>
      <c r="P16" s="1742"/>
      <c r="Q16" s="1738"/>
    </row>
    <row r="17" spans="2:17" ht="15.75" thickBot="1">
      <c r="B17" s="1750"/>
      <c r="C17" s="108"/>
      <c r="D17" s="1690"/>
      <c r="E17" s="1740" t="s">
        <v>514</v>
      </c>
      <c r="F17" s="1747"/>
      <c r="G17" s="1748"/>
      <c r="H17" s="1740" t="s">
        <v>515</v>
      </c>
      <c r="I17" s="1747"/>
      <c r="J17" s="1748"/>
      <c r="K17" s="1740" t="s">
        <v>514</v>
      </c>
      <c r="L17" s="1741"/>
      <c r="M17" s="1742"/>
      <c r="N17" s="1743" t="s">
        <v>515</v>
      </c>
      <c r="O17" s="1741"/>
      <c r="P17" s="1742"/>
      <c r="Q17" s="1738"/>
    </row>
    <row r="18" spans="2:17" ht="15.75" thickBot="1">
      <c r="B18" s="1750"/>
      <c r="C18" s="108"/>
      <c r="D18" s="1746"/>
      <c r="E18" s="41" t="s">
        <v>516</v>
      </c>
      <c r="F18" s="41" t="s">
        <v>517</v>
      </c>
      <c r="G18" s="41" t="s">
        <v>518</v>
      </c>
      <c r="H18" s="41" t="s">
        <v>516</v>
      </c>
      <c r="I18" s="41" t="s">
        <v>517</v>
      </c>
      <c r="J18" s="41" t="s">
        <v>518</v>
      </c>
      <c r="K18" s="41" t="s">
        <v>516</v>
      </c>
      <c r="L18" s="16" t="s">
        <v>517</v>
      </c>
      <c r="M18" s="16" t="s">
        <v>518</v>
      </c>
      <c r="N18" s="16" t="s">
        <v>516</v>
      </c>
      <c r="O18" s="16" t="s">
        <v>517</v>
      </c>
      <c r="P18" s="16" t="s">
        <v>518</v>
      </c>
      <c r="Q18" s="1739"/>
    </row>
    <row r="19" spans="2:17" ht="24.75" thickBot="1">
      <c r="B19" s="1750"/>
      <c r="C19" s="108"/>
      <c r="D19" s="41" t="s">
        <v>519</v>
      </c>
      <c r="E19" s="816">
        <v>2</v>
      </c>
      <c r="F19" s="816">
        <v>8</v>
      </c>
      <c r="G19" s="816">
        <v>2</v>
      </c>
      <c r="H19" s="816">
        <v>7</v>
      </c>
      <c r="I19" s="816">
        <v>10</v>
      </c>
      <c r="J19" s="816">
        <v>23</v>
      </c>
      <c r="K19" s="816"/>
      <c r="L19" s="816"/>
      <c r="M19" s="816"/>
      <c r="N19" s="816">
        <v>7</v>
      </c>
      <c r="O19" s="816">
        <v>9</v>
      </c>
      <c r="P19" s="816">
        <v>32</v>
      </c>
      <c r="Q19" s="406">
        <f>SUM(E19:P19)</f>
        <v>100</v>
      </c>
    </row>
    <row r="20" spans="2:17" ht="36.75" thickBot="1">
      <c r="B20" s="1750"/>
      <c r="C20" s="108"/>
      <c r="D20" s="41" t="s">
        <v>520</v>
      </c>
      <c r="E20" s="816">
        <v>2</v>
      </c>
      <c r="F20" s="816">
        <v>6</v>
      </c>
      <c r="G20" s="816">
        <v>1</v>
      </c>
      <c r="H20" s="816">
        <v>6</v>
      </c>
      <c r="I20" s="816">
        <v>2</v>
      </c>
      <c r="J20" s="816">
        <v>17</v>
      </c>
      <c r="K20" s="816"/>
      <c r="L20" s="816"/>
      <c r="M20" s="816">
        <v>3</v>
      </c>
      <c r="N20" s="816">
        <f>3+1</f>
        <v>4</v>
      </c>
      <c r="O20" s="816">
        <f>3+5</f>
        <v>8</v>
      </c>
      <c r="P20" s="816">
        <f>0+9</f>
        <v>9</v>
      </c>
      <c r="Q20" s="406">
        <f>SUM(E20:P20)</f>
        <v>58</v>
      </c>
    </row>
    <row r="21" spans="2:17" ht="36.75" thickBot="1">
      <c r="B21" s="1750"/>
      <c r="C21" s="108"/>
      <c r="D21" s="41" t="s">
        <v>521</v>
      </c>
      <c r="E21" s="816">
        <v>1</v>
      </c>
      <c r="F21" s="816">
        <v>6</v>
      </c>
      <c r="G21" s="816">
        <v>1</v>
      </c>
      <c r="H21" s="816">
        <v>6</v>
      </c>
      <c r="I21" s="816">
        <v>2</v>
      </c>
      <c r="J21" s="816">
        <v>17</v>
      </c>
      <c r="K21" s="816"/>
      <c r="L21" s="816"/>
      <c r="M21" s="816"/>
      <c r="N21" s="816">
        <v>3</v>
      </c>
      <c r="O21" s="816">
        <v>2</v>
      </c>
      <c r="P21" s="816">
        <v>0</v>
      </c>
      <c r="Q21" s="406">
        <f>SUM(E21:P21)</f>
        <v>38</v>
      </c>
    </row>
    <row r="22" spans="2:17" ht="36.75" thickBot="1">
      <c r="B22" s="1750"/>
      <c r="C22" s="108"/>
      <c r="D22" s="41" t="s">
        <v>488</v>
      </c>
      <c r="E22" s="142">
        <f>IFERROR(E21/E20,"N.A.")</f>
        <v>0.5</v>
      </c>
      <c r="F22" s="142">
        <f t="shared" ref="F22:P22" si="0">IFERROR(F21/F20,"N.A.")</f>
        <v>1</v>
      </c>
      <c r="G22" s="142">
        <f t="shared" si="0"/>
        <v>1</v>
      </c>
      <c r="H22" s="142">
        <f t="shared" si="0"/>
        <v>1</v>
      </c>
      <c r="I22" s="142">
        <f t="shared" si="0"/>
        <v>1</v>
      </c>
      <c r="J22" s="142">
        <f t="shared" si="0"/>
        <v>1</v>
      </c>
      <c r="K22" s="142" t="str">
        <f t="shared" si="0"/>
        <v>N.A.</v>
      </c>
      <c r="L22" s="142" t="str">
        <f t="shared" si="0"/>
        <v>N.A.</v>
      </c>
      <c r="M22" s="142">
        <f t="shared" si="0"/>
        <v>0</v>
      </c>
      <c r="N22" s="142">
        <f t="shared" si="0"/>
        <v>0.75</v>
      </c>
      <c r="O22" s="142">
        <f t="shared" si="0"/>
        <v>0.25</v>
      </c>
      <c r="P22" s="142">
        <f t="shared" si="0"/>
        <v>0</v>
      </c>
      <c r="Q22" s="142">
        <f>IFERROR(Q21/Q20,"N.A.")</f>
        <v>0.66</v>
      </c>
    </row>
    <row r="23" spans="2:17">
      <c r="B23" s="1750"/>
      <c r="C23" s="102"/>
      <c r="D23" s="1685" t="s">
        <v>522</v>
      </c>
      <c r="E23" s="1686"/>
      <c r="F23" s="1686"/>
      <c r="G23" s="1686"/>
      <c r="H23" s="1686"/>
      <c r="I23" s="1686"/>
      <c r="J23" s="1686"/>
      <c r="K23" s="1686"/>
      <c r="L23" s="1753"/>
      <c r="M23" s="1753"/>
      <c r="N23" s="1753"/>
      <c r="O23" s="1753"/>
      <c r="P23" s="1733"/>
    </row>
    <row r="24" spans="2:17">
      <c r="B24" s="1750"/>
      <c r="C24" s="102"/>
      <c r="D24" s="1688" t="s">
        <v>523</v>
      </c>
      <c r="E24" s="1689"/>
      <c r="F24" s="1689"/>
      <c r="G24" s="1689"/>
      <c r="H24" s="1689"/>
      <c r="I24" s="1689"/>
      <c r="J24" s="1689"/>
      <c r="K24" s="1689"/>
      <c r="L24" s="1754"/>
      <c r="M24" s="1754"/>
      <c r="N24" s="1754"/>
      <c r="O24" s="1754"/>
      <c r="P24" s="1734"/>
    </row>
    <row r="25" spans="2:17">
      <c r="B25" s="1750"/>
      <c r="C25" s="102"/>
      <c r="D25" s="1688" t="s">
        <v>524</v>
      </c>
      <c r="E25" s="1689"/>
      <c r="F25" s="1689"/>
      <c r="G25" s="1689"/>
      <c r="H25" s="1689"/>
      <c r="I25" s="1689"/>
      <c r="J25" s="1689"/>
      <c r="K25" s="1689"/>
      <c r="L25" s="1754"/>
      <c r="M25" s="1754"/>
      <c r="N25" s="1754"/>
      <c r="O25" s="1754"/>
      <c r="P25" s="1734"/>
    </row>
    <row r="26" spans="2:17">
      <c r="B26" s="1750"/>
      <c r="C26" s="102"/>
      <c r="D26" s="1674" t="s">
        <v>254</v>
      </c>
      <c r="E26" s="1675"/>
      <c r="F26" s="1675"/>
      <c r="G26" s="1675"/>
      <c r="H26" s="1675"/>
      <c r="I26" s="1675"/>
      <c r="J26" s="1675"/>
      <c r="K26" s="1675"/>
      <c r="L26" s="1755"/>
      <c r="M26" s="1755"/>
      <c r="N26" s="1755"/>
      <c r="O26" s="1755"/>
      <c r="P26" s="1735"/>
    </row>
    <row r="27" spans="2:17">
      <c r="B27" s="1750"/>
      <c r="C27" s="102"/>
      <c r="D27" s="1674" t="s">
        <v>525</v>
      </c>
      <c r="E27" s="1675"/>
      <c r="F27" s="1675"/>
      <c r="G27" s="1675"/>
      <c r="H27" s="1675"/>
      <c r="I27" s="1675"/>
      <c r="J27" s="1675"/>
      <c r="K27" s="1675"/>
      <c r="L27" s="1755"/>
      <c r="M27" s="1755"/>
      <c r="N27" s="1755"/>
      <c r="O27" s="1755"/>
      <c r="P27" s="1735"/>
    </row>
    <row r="28" spans="2:17" ht="15.75" thickBot="1">
      <c r="B28" s="1750"/>
      <c r="C28" s="102"/>
      <c r="D28" s="1688" t="s">
        <v>348</v>
      </c>
      <c r="E28" s="1689"/>
      <c r="F28" s="1689"/>
      <c r="G28" s="1689"/>
      <c r="H28" s="1689"/>
      <c r="I28" s="1689"/>
      <c r="J28" s="1689"/>
      <c r="K28" s="1689"/>
      <c r="L28" s="1754"/>
      <c r="M28" s="1754"/>
      <c r="N28" s="1754"/>
      <c r="O28" s="1754"/>
      <c r="P28" s="1734"/>
    </row>
    <row r="29" spans="2:17" ht="21" customHeight="1">
      <c r="B29" s="1750"/>
      <c r="C29" s="1758" t="s">
        <v>24</v>
      </c>
      <c r="D29" s="1737" t="s">
        <v>278</v>
      </c>
      <c r="E29" s="1737" t="s">
        <v>526</v>
      </c>
      <c r="F29" s="1737" t="s">
        <v>527</v>
      </c>
      <c r="G29" s="1737" t="s">
        <v>528</v>
      </c>
      <c r="H29" s="203" t="s">
        <v>481</v>
      </c>
      <c r="I29" s="203" t="s">
        <v>483</v>
      </c>
      <c r="J29" s="1737" t="s">
        <v>282</v>
      </c>
      <c r="K29" s="1737" t="s">
        <v>283</v>
      </c>
      <c r="L29" s="1737" t="s">
        <v>60</v>
      </c>
      <c r="P29" s="14"/>
    </row>
    <row r="30" spans="2:17" ht="15.75" thickBot="1">
      <c r="B30" s="1750"/>
      <c r="C30" s="1759"/>
      <c r="D30" s="1739"/>
      <c r="E30" s="1739"/>
      <c r="F30" s="1739"/>
      <c r="G30" s="1739"/>
      <c r="H30" s="204" t="s">
        <v>482</v>
      </c>
      <c r="I30" s="204" t="s">
        <v>484</v>
      </c>
      <c r="J30" s="1739"/>
      <c r="K30" s="1739"/>
      <c r="L30" s="1739"/>
      <c r="P30" s="14"/>
    </row>
    <row r="31" spans="2:17" ht="24.75" thickBot="1">
      <c r="B31" s="1750"/>
      <c r="C31" s="874">
        <v>1</v>
      </c>
      <c r="D31" s="30" t="s">
        <v>1675</v>
      </c>
      <c r="E31" s="30" t="s">
        <v>1668</v>
      </c>
      <c r="F31" s="30" t="s">
        <v>1672</v>
      </c>
      <c r="G31" s="30" t="s">
        <v>1673</v>
      </c>
      <c r="H31" s="193"/>
      <c r="I31" s="193"/>
      <c r="J31" s="193"/>
      <c r="K31" s="193"/>
      <c r="L31" s="193" t="s">
        <v>1676</v>
      </c>
      <c r="P31" s="14"/>
    </row>
    <row r="32" spans="2:17" ht="24.75" thickBot="1">
      <c r="B32" s="1750"/>
      <c r="C32" s="874">
        <v>2</v>
      </c>
      <c r="D32" s="30" t="s">
        <v>1674</v>
      </c>
      <c r="E32" s="30" t="s">
        <v>1668</v>
      </c>
      <c r="F32" s="30" t="s">
        <v>1672</v>
      </c>
      <c r="G32" s="30" t="s">
        <v>1691</v>
      </c>
      <c r="H32" s="193"/>
      <c r="I32" s="193"/>
      <c r="J32" s="193"/>
      <c r="K32" s="193"/>
      <c r="L32" s="193" t="s">
        <v>1676</v>
      </c>
      <c r="P32" s="14"/>
    </row>
    <row r="33" spans="2:16" ht="24.75" thickBot="1">
      <c r="B33" s="1750"/>
      <c r="C33" s="874">
        <v>3</v>
      </c>
      <c r="D33" s="30" t="s">
        <v>1674</v>
      </c>
      <c r="E33" s="30" t="s">
        <v>1668</v>
      </c>
      <c r="F33" s="30" t="s">
        <v>1672</v>
      </c>
      <c r="G33" s="30" t="s">
        <v>1692</v>
      </c>
      <c r="H33" s="193"/>
      <c r="I33" s="193"/>
      <c r="J33" s="193"/>
      <c r="K33" s="193"/>
      <c r="L33" s="193"/>
      <c r="P33" s="14"/>
    </row>
    <row r="34" spans="2:16" ht="15.75" thickBot="1">
      <c r="B34" s="1750"/>
      <c r="C34" s="874">
        <v>4</v>
      </c>
      <c r="D34" s="30" t="s">
        <v>1674</v>
      </c>
      <c r="E34" s="30" t="s">
        <v>1668</v>
      </c>
      <c r="F34" s="30" t="s">
        <v>1672</v>
      </c>
      <c r="G34" s="30" t="s">
        <v>1693</v>
      </c>
      <c r="H34" s="193"/>
      <c r="I34" s="193"/>
      <c r="J34" s="193"/>
      <c r="K34" s="193"/>
      <c r="L34" s="193"/>
      <c r="P34" s="14"/>
    </row>
    <row r="35" spans="2:16" ht="15.75" thickBot="1">
      <c r="B35" s="1750"/>
      <c r="C35" s="874">
        <v>5</v>
      </c>
      <c r="D35" s="30" t="s">
        <v>1674</v>
      </c>
      <c r="E35" s="30" t="s">
        <v>1668</v>
      </c>
      <c r="F35" s="30" t="s">
        <v>1672</v>
      </c>
      <c r="G35" s="30" t="s">
        <v>1694</v>
      </c>
      <c r="H35" s="193"/>
      <c r="I35" s="193"/>
      <c r="J35" s="193"/>
      <c r="K35" s="193"/>
      <c r="L35" s="193"/>
      <c r="P35" s="14"/>
    </row>
    <row r="36" spans="2:16" s="403" customFormat="1" ht="39.75" customHeight="1" thickBot="1">
      <c r="B36" s="1750"/>
      <c r="C36" s="874">
        <v>6</v>
      </c>
      <c r="D36" s="30" t="s">
        <v>1674</v>
      </c>
      <c r="E36" s="30" t="s">
        <v>1668</v>
      </c>
      <c r="F36" s="30" t="s">
        <v>1672</v>
      </c>
      <c r="G36" s="30" t="s">
        <v>1797</v>
      </c>
      <c r="H36" s="193"/>
      <c r="I36" s="193"/>
      <c r="J36" s="193"/>
      <c r="K36" s="193"/>
      <c r="L36" s="193"/>
      <c r="P36" s="14"/>
    </row>
    <row r="37" spans="2:16" s="403" customFormat="1" ht="15.75" thickBot="1">
      <c r="B37" s="1750"/>
      <c r="C37" s="874">
        <v>7</v>
      </c>
      <c r="D37" s="30" t="s">
        <v>1674</v>
      </c>
      <c r="E37" s="30" t="s">
        <v>1668</v>
      </c>
      <c r="F37" s="30" t="s">
        <v>1672</v>
      </c>
      <c r="G37" s="30" t="s">
        <v>1798</v>
      </c>
      <c r="H37" s="193"/>
      <c r="I37" s="193"/>
      <c r="J37" s="193"/>
      <c r="K37" s="193"/>
      <c r="L37" s="193"/>
      <c r="P37" s="14"/>
    </row>
    <row r="38" spans="2:16" s="403" customFormat="1" ht="24.75" thickBot="1">
      <c r="B38" s="1750"/>
      <c r="C38" s="874">
        <v>8</v>
      </c>
      <c r="D38" s="30" t="s">
        <v>1674</v>
      </c>
      <c r="E38" s="30" t="s">
        <v>1668</v>
      </c>
      <c r="F38" s="30" t="s">
        <v>1672</v>
      </c>
      <c r="G38" s="30" t="s">
        <v>1799</v>
      </c>
      <c r="H38" s="193"/>
      <c r="I38" s="193"/>
      <c r="J38" s="193"/>
      <c r="K38" s="193"/>
      <c r="L38" s="193"/>
      <c r="P38" s="14"/>
    </row>
    <row r="39" spans="2:16" s="403" customFormat="1" ht="39.75" customHeight="1" thickBot="1">
      <c r="B39" s="1750"/>
      <c r="C39" s="874">
        <v>9</v>
      </c>
      <c r="D39" s="30" t="s">
        <v>1674</v>
      </c>
      <c r="E39" s="30" t="s">
        <v>1668</v>
      </c>
      <c r="F39" s="30" t="s">
        <v>1672</v>
      </c>
      <c r="G39" s="30" t="s">
        <v>1800</v>
      </c>
      <c r="H39" s="193"/>
      <c r="I39" s="193"/>
      <c r="J39" s="193"/>
      <c r="K39" s="193"/>
      <c r="L39" s="193"/>
      <c r="P39" s="14"/>
    </row>
    <row r="40" spans="2:16" ht="24.75" thickBot="1">
      <c r="B40" s="1750"/>
      <c r="C40" s="874">
        <v>10</v>
      </c>
      <c r="D40" s="30" t="s">
        <v>1674</v>
      </c>
      <c r="E40" s="30" t="s">
        <v>1668</v>
      </c>
      <c r="F40" s="30" t="s">
        <v>1672</v>
      </c>
      <c r="G40" s="30" t="s">
        <v>1695</v>
      </c>
      <c r="H40" s="193"/>
      <c r="I40" s="193"/>
      <c r="J40" s="193"/>
      <c r="K40" s="193"/>
      <c r="L40" s="193"/>
      <c r="P40" s="14"/>
    </row>
    <row r="41" spans="2:16" s="403" customFormat="1" ht="24.75" thickBot="1">
      <c r="B41" s="1750"/>
      <c r="C41" s="874">
        <v>11</v>
      </c>
      <c r="D41" s="30" t="s">
        <v>1770</v>
      </c>
      <c r="E41" s="30" t="s">
        <v>1668</v>
      </c>
      <c r="F41" s="30" t="s">
        <v>1670</v>
      </c>
      <c r="G41" s="1048" t="s">
        <v>1863</v>
      </c>
      <c r="H41" s="193"/>
      <c r="I41" s="193"/>
      <c r="J41" s="193"/>
      <c r="K41" s="193"/>
      <c r="L41" s="193"/>
      <c r="P41" s="14"/>
    </row>
    <row r="42" spans="2:16" ht="24.75" thickBot="1">
      <c r="B42" s="1750"/>
      <c r="C42" s="874">
        <v>12</v>
      </c>
      <c r="D42" s="30" t="s">
        <v>1770</v>
      </c>
      <c r="E42" s="30" t="s">
        <v>1668</v>
      </c>
      <c r="F42" s="30" t="s">
        <v>1670</v>
      </c>
      <c r="G42" s="1048" t="s">
        <v>1862</v>
      </c>
      <c r="H42" s="193"/>
      <c r="I42" s="875"/>
      <c r="J42" s="875"/>
      <c r="K42" s="193"/>
      <c r="L42" s="193"/>
      <c r="P42" s="14"/>
    </row>
    <row r="43" spans="2:16" s="403" customFormat="1" ht="24.75" thickBot="1">
      <c r="B43" s="1750"/>
      <c r="C43" s="1763">
        <v>13</v>
      </c>
      <c r="D43" s="1769" t="s">
        <v>1775</v>
      </c>
      <c r="E43" s="1763" t="s">
        <v>1668</v>
      </c>
      <c r="F43" s="1763" t="s">
        <v>1670</v>
      </c>
      <c r="G43" s="1048" t="s">
        <v>1865</v>
      </c>
      <c r="H43" s="193"/>
      <c r="I43" s="875"/>
      <c r="J43" s="875"/>
      <c r="K43" s="193"/>
      <c r="L43" s="193" t="s">
        <v>518</v>
      </c>
      <c r="P43" s="14"/>
    </row>
    <row r="44" spans="2:16" ht="15.75" thickBot="1">
      <c r="B44" s="1750"/>
      <c r="C44" s="1765"/>
      <c r="D44" s="1770"/>
      <c r="E44" s="1765"/>
      <c r="F44" s="1765"/>
      <c r="G44" s="1048" t="s">
        <v>1864</v>
      </c>
      <c r="H44" s="193"/>
      <c r="I44" s="875"/>
      <c r="J44" s="875"/>
      <c r="K44" s="193"/>
      <c r="L44" s="193"/>
      <c r="P44" s="14"/>
    </row>
    <row r="45" spans="2:16" s="403" customFormat="1" ht="60.75" thickBot="1">
      <c r="B45" s="1750"/>
      <c r="C45" s="874">
        <v>14</v>
      </c>
      <c r="D45" s="1054" t="s">
        <v>1801</v>
      </c>
      <c r="E45" s="1041" t="s">
        <v>1669</v>
      </c>
      <c r="F45" s="1042" t="s">
        <v>1670</v>
      </c>
      <c r="G45" s="1048" t="s">
        <v>1866</v>
      </c>
      <c r="H45" s="193"/>
      <c r="I45" s="959"/>
      <c r="J45" s="959"/>
      <c r="K45" s="875"/>
      <c r="L45" s="193"/>
      <c r="P45" s="14"/>
    </row>
    <row r="46" spans="2:16" s="403" customFormat="1" ht="24.75" thickBot="1">
      <c r="B46" s="1750"/>
      <c r="C46" s="1059"/>
      <c r="D46" s="1049"/>
      <c r="E46" s="1059" t="s">
        <v>1669</v>
      </c>
      <c r="F46" s="1059" t="s">
        <v>1670</v>
      </c>
      <c r="G46" s="1063" t="s">
        <v>1867</v>
      </c>
      <c r="H46" s="1055"/>
      <c r="I46" s="961"/>
      <c r="J46" s="961"/>
      <c r="K46" s="875"/>
      <c r="L46" s="193"/>
      <c r="P46" s="14"/>
    </row>
    <row r="47" spans="2:16" s="403" customFormat="1" ht="24.75" thickBot="1">
      <c r="B47" s="1750"/>
      <c r="C47" s="1053"/>
      <c r="D47" s="1056"/>
      <c r="E47" s="1059" t="s">
        <v>1669</v>
      </c>
      <c r="F47" s="1059" t="s">
        <v>1670</v>
      </c>
      <c r="G47" s="1062" t="s">
        <v>1868</v>
      </c>
      <c r="H47" s="1060"/>
      <c r="I47" s="963"/>
      <c r="J47" s="963"/>
      <c r="K47" s="875"/>
      <c r="L47" s="193"/>
      <c r="P47" s="14"/>
    </row>
    <row r="48" spans="2:16" s="403" customFormat="1" ht="24.75" thickBot="1">
      <c r="B48" s="1750"/>
      <c r="C48" s="1053"/>
      <c r="D48" s="1054"/>
      <c r="E48" s="1059" t="s">
        <v>1669</v>
      </c>
      <c r="F48" s="1059" t="s">
        <v>1670</v>
      </c>
      <c r="G48" s="1064" t="s">
        <v>1869</v>
      </c>
      <c r="H48" s="1061"/>
      <c r="I48" s="964"/>
      <c r="J48" s="961"/>
      <c r="K48" s="875"/>
      <c r="L48" s="193"/>
      <c r="P48" s="14"/>
    </row>
    <row r="49" spans="2:16" s="403" customFormat="1" ht="15.75" thickBot="1">
      <c r="B49" s="1750"/>
      <c r="C49" s="1053"/>
      <c r="D49" s="1058"/>
      <c r="E49" s="1059" t="s">
        <v>1669</v>
      </c>
      <c r="F49" s="1059" t="s">
        <v>1670</v>
      </c>
      <c r="G49" s="1048" t="s">
        <v>1870</v>
      </c>
      <c r="H49" s="962"/>
      <c r="I49" s="875"/>
      <c r="J49" s="875"/>
      <c r="K49" s="875"/>
      <c r="L49" s="193"/>
      <c r="P49" s="14"/>
    </row>
    <row r="50" spans="2:16" s="403" customFormat="1" ht="24.75" thickBot="1">
      <c r="B50" s="1750"/>
      <c r="C50" s="1053"/>
      <c r="D50" s="1057"/>
      <c r="E50" s="1059" t="s">
        <v>1669</v>
      </c>
      <c r="F50" s="1059" t="s">
        <v>1670</v>
      </c>
      <c r="G50" s="1048" t="s">
        <v>1871</v>
      </c>
      <c r="H50" s="962"/>
      <c r="I50" s="875"/>
      <c r="J50" s="959"/>
      <c r="K50" s="875"/>
      <c r="L50" s="193"/>
      <c r="P50" s="14"/>
    </row>
    <row r="51" spans="2:16" s="403" customFormat="1" ht="24.75" thickBot="1">
      <c r="B51" s="1750"/>
      <c r="C51" s="960">
        <v>15</v>
      </c>
      <c r="D51" s="1050" t="s">
        <v>1771</v>
      </c>
      <c r="E51" s="1763" t="s">
        <v>1668</v>
      </c>
      <c r="F51" s="1766" t="s">
        <v>1670</v>
      </c>
      <c r="G51" s="1397" t="s">
        <v>1855</v>
      </c>
      <c r="H51" s="962"/>
      <c r="I51" s="961"/>
      <c r="J51" s="963"/>
      <c r="K51" s="193"/>
      <c r="L51" s="1398" t="s">
        <v>518</v>
      </c>
      <c r="P51" s="14"/>
    </row>
    <row r="52" spans="2:16" s="403" customFormat="1" ht="15.75" thickBot="1">
      <c r="B52" s="1750"/>
      <c r="C52" s="960"/>
      <c r="D52" s="1051"/>
      <c r="E52" s="1764"/>
      <c r="F52" s="1767"/>
      <c r="G52" s="1048" t="s">
        <v>1772</v>
      </c>
      <c r="H52" s="962"/>
      <c r="I52" s="961"/>
      <c r="J52" s="964"/>
      <c r="K52" s="193"/>
      <c r="L52" s="193"/>
      <c r="P52" s="14"/>
    </row>
    <row r="53" spans="2:16" s="403" customFormat="1" ht="15.75" thickBot="1">
      <c r="B53" s="1750"/>
      <c r="C53" s="960"/>
      <c r="D53" s="1051"/>
      <c r="E53" s="1764"/>
      <c r="F53" s="1767"/>
      <c r="G53" s="1048" t="s">
        <v>1773</v>
      </c>
      <c r="H53" s="962"/>
      <c r="I53" s="961"/>
      <c r="J53" s="959"/>
      <c r="K53" s="193"/>
      <c r="L53" s="193"/>
      <c r="P53" s="14"/>
    </row>
    <row r="54" spans="2:16" s="403" customFormat="1" ht="24.75" thickBot="1">
      <c r="B54" s="1750"/>
      <c r="C54" s="960"/>
      <c r="D54" s="1051"/>
      <c r="E54" s="1764"/>
      <c r="F54" s="1767"/>
      <c r="G54" s="1048" t="s">
        <v>1853</v>
      </c>
      <c r="H54" s="962"/>
      <c r="I54" s="961"/>
      <c r="J54" s="964"/>
      <c r="K54" s="193"/>
      <c r="L54" s="193" t="s">
        <v>517</v>
      </c>
      <c r="P54" s="14"/>
    </row>
    <row r="55" spans="2:16" s="403" customFormat="1" ht="24.75" thickBot="1">
      <c r="B55" s="1750"/>
      <c r="C55" s="960"/>
      <c r="D55" s="1051"/>
      <c r="E55" s="1764"/>
      <c r="F55" s="1767"/>
      <c r="G55" s="1048" t="s">
        <v>1852</v>
      </c>
      <c r="H55" s="962"/>
      <c r="I55" s="961"/>
      <c r="J55" s="959"/>
      <c r="K55" s="193"/>
      <c r="L55" s="193" t="s">
        <v>517</v>
      </c>
      <c r="P55" s="14"/>
    </row>
    <row r="56" spans="2:16" s="403" customFormat="1" ht="15.75" thickBot="1">
      <c r="B56" s="1750"/>
      <c r="C56" s="960"/>
      <c r="D56" s="1052"/>
      <c r="E56" s="1765"/>
      <c r="F56" s="1768"/>
      <c r="G56" s="1397" t="s">
        <v>1774</v>
      </c>
      <c r="H56" s="962"/>
      <c r="I56" s="961"/>
      <c r="J56" s="964"/>
      <c r="K56" s="193"/>
      <c r="L56" s="1398" t="s">
        <v>518</v>
      </c>
      <c r="P56" s="14"/>
    </row>
    <row r="57" spans="2:16" s="403" customFormat="1" ht="24.75" thickBot="1">
      <c r="B57" s="1750"/>
      <c r="C57" s="1047"/>
      <c r="D57" s="1043"/>
      <c r="E57" s="1043" t="s">
        <v>1668</v>
      </c>
      <c r="F57" s="1043" t="s">
        <v>1670</v>
      </c>
      <c r="G57" s="1397" t="s">
        <v>1854</v>
      </c>
      <c r="H57" s="962"/>
      <c r="I57" s="961"/>
      <c r="J57" s="875"/>
      <c r="K57" s="193"/>
      <c r="L57" s="1398" t="s">
        <v>517</v>
      </c>
      <c r="P57" s="14"/>
    </row>
    <row r="58" spans="2:16" s="403" customFormat="1" ht="24.75" thickBot="1">
      <c r="B58" s="1750"/>
      <c r="C58" s="371"/>
      <c r="D58" s="1043"/>
      <c r="E58" s="1043" t="s">
        <v>1668</v>
      </c>
      <c r="F58" s="1043" t="s">
        <v>1670</v>
      </c>
      <c r="G58" s="1397" t="s">
        <v>1856</v>
      </c>
      <c r="H58" s="962"/>
      <c r="I58" s="961"/>
      <c r="J58" s="875"/>
      <c r="K58" s="193"/>
      <c r="L58" s="1398" t="s">
        <v>516</v>
      </c>
      <c r="P58" s="14"/>
    </row>
    <row r="59" spans="2:16" s="403" customFormat="1" ht="24.75" thickBot="1">
      <c r="B59" s="1750"/>
      <c r="C59" s="371"/>
      <c r="D59" s="1043"/>
      <c r="E59" s="1043" t="s">
        <v>1668</v>
      </c>
      <c r="F59" s="1043" t="s">
        <v>1670</v>
      </c>
      <c r="G59" s="1048" t="s">
        <v>1857</v>
      </c>
      <c r="H59" s="962"/>
      <c r="I59" s="961"/>
      <c r="J59" s="875"/>
      <c r="K59" s="193"/>
      <c r="L59" s="193"/>
      <c r="P59" s="14"/>
    </row>
    <row r="60" spans="2:16" s="403" customFormat="1" ht="24.75" thickBot="1">
      <c r="B60" s="1750"/>
      <c r="C60" s="371"/>
      <c r="D60" s="1043"/>
      <c r="E60" s="1043" t="s">
        <v>1668</v>
      </c>
      <c r="F60" s="1043" t="s">
        <v>1670</v>
      </c>
      <c r="G60" s="1397" t="s">
        <v>1858</v>
      </c>
      <c r="H60" s="962"/>
      <c r="I60" s="961"/>
      <c r="J60" s="875"/>
      <c r="K60" s="193"/>
      <c r="L60" s="1398" t="s">
        <v>518</v>
      </c>
      <c r="P60" s="14"/>
    </row>
    <row r="61" spans="2:16" s="403" customFormat="1" ht="15.75" thickBot="1">
      <c r="B61" s="1750"/>
      <c r="C61" s="371"/>
      <c r="D61" s="1043"/>
      <c r="E61" s="1043" t="s">
        <v>1668</v>
      </c>
      <c r="F61" s="1043" t="s">
        <v>1670</v>
      </c>
      <c r="G61" s="1048" t="s">
        <v>1859</v>
      </c>
      <c r="H61" s="962"/>
      <c r="I61" s="961"/>
      <c r="J61" s="875"/>
      <c r="K61" s="193"/>
      <c r="L61" s="193"/>
      <c r="P61" s="14"/>
    </row>
    <row r="62" spans="2:16" s="403" customFormat="1" ht="15.75" thickBot="1">
      <c r="B62" s="1750"/>
      <c r="C62" s="371"/>
      <c r="D62" s="1271"/>
      <c r="E62" s="1271" t="s">
        <v>1668</v>
      </c>
      <c r="F62" s="1271" t="s">
        <v>1670</v>
      </c>
      <c r="G62" s="1048" t="s">
        <v>1990</v>
      </c>
      <c r="H62" s="962"/>
      <c r="I62" s="961"/>
      <c r="J62" s="875"/>
      <c r="K62" s="193"/>
      <c r="L62" s="193" t="s">
        <v>1989</v>
      </c>
      <c r="P62" s="14"/>
    </row>
    <row r="63" spans="2:16" s="403" customFormat="1" ht="15.75" thickBot="1">
      <c r="B63" s="1750"/>
      <c r="C63" s="371"/>
      <c r="D63" s="1271"/>
      <c r="E63" s="1271" t="s">
        <v>1668</v>
      </c>
      <c r="F63" s="1271" t="s">
        <v>1670</v>
      </c>
      <c r="G63" s="1048" t="s">
        <v>1991</v>
      </c>
      <c r="H63" s="962"/>
      <c r="I63" s="961"/>
      <c r="J63" s="875"/>
      <c r="K63" s="193"/>
      <c r="L63" s="193" t="s">
        <v>1989</v>
      </c>
      <c r="P63" s="14"/>
    </row>
    <row r="64" spans="2:16" s="403" customFormat="1" ht="24.75" thickBot="1">
      <c r="B64" s="1750"/>
      <c r="C64" s="371"/>
      <c r="D64" s="1043"/>
      <c r="E64" s="1043" t="s">
        <v>1668</v>
      </c>
      <c r="F64" s="1043" t="s">
        <v>1670</v>
      </c>
      <c r="G64" s="1048" t="s">
        <v>1860</v>
      </c>
      <c r="H64" s="962"/>
      <c r="I64" s="961"/>
      <c r="J64" s="875"/>
      <c r="K64" s="193"/>
      <c r="L64" s="193"/>
      <c r="P64" s="14"/>
    </row>
    <row r="65" spans="2:16" ht="27" customHeight="1" thickBot="1">
      <c r="B65" s="1750"/>
      <c r="C65" s="371"/>
      <c r="D65" s="30"/>
      <c r="E65" s="1043" t="s">
        <v>1668</v>
      </c>
      <c r="F65" s="1043" t="s">
        <v>1670</v>
      </c>
      <c r="G65" s="1397" t="s">
        <v>1861</v>
      </c>
      <c r="H65" s="962"/>
      <c r="I65" s="961"/>
      <c r="J65" s="875"/>
      <c r="K65" s="193"/>
      <c r="L65" s="1398" t="s">
        <v>518</v>
      </c>
      <c r="P65" s="14"/>
    </row>
    <row r="66" spans="2:16" s="403" customFormat="1" ht="27" customHeight="1" thickBot="1">
      <c r="B66" s="1750"/>
      <c r="C66" s="371"/>
      <c r="D66" s="30"/>
      <c r="E66" s="1387"/>
      <c r="F66" s="1387"/>
      <c r="G66" s="1048"/>
      <c r="H66" s="962"/>
      <c r="I66" s="1388"/>
      <c r="J66" s="875"/>
      <c r="K66" s="193"/>
      <c r="L66" s="193"/>
      <c r="P66" s="14"/>
    </row>
    <row r="67" spans="2:16" s="403" customFormat="1" ht="27" customHeight="1" thickBot="1">
      <c r="B67" s="1750"/>
      <c r="C67" s="371"/>
      <c r="D67" s="30"/>
      <c r="E67" s="1387"/>
      <c r="F67" s="1387"/>
      <c r="G67" s="1048"/>
      <c r="H67" s="962"/>
      <c r="I67" s="1388"/>
      <c r="J67" s="875"/>
      <c r="K67" s="193"/>
      <c r="L67" s="193"/>
      <c r="P67" s="14"/>
    </row>
    <row r="68" spans="2:16" s="403" customFormat="1" ht="27" customHeight="1" thickBot="1">
      <c r="B68" s="1750"/>
      <c r="C68" s="371"/>
      <c r="D68" s="30"/>
      <c r="E68" s="1387"/>
      <c r="F68" s="1387"/>
      <c r="G68" s="1048"/>
      <c r="H68" s="962"/>
      <c r="I68" s="1388"/>
      <c r="J68" s="875"/>
      <c r="K68" s="193"/>
      <c r="L68" s="193"/>
      <c r="P68" s="14"/>
    </row>
    <row r="69" spans="2:16" s="403" customFormat="1" ht="27" customHeight="1" thickBot="1">
      <c r="B69" s="1750"/>
      <c r="C69" s="371"/>
      <c r="D69" s="30"/>
      <c r="E69" s="1387"/>
      <c r="F69" s="1387"/>
      <c r="G69" s="1048"/>
      <c r="H69" s="962"/>
      <c r="I69" s="1388"/>
      <c r="J69" s="875"/>
      <c r="K69" s="193"/>
      <c r="L69" s="193"/>
      <c r="P69" s="14"/>
    </row>
    <row r="70" spans="2:16" s="403" customFormat="1" ht="27" customHeight="1" thickBot="1">
      <c r="B70" s="1750"/>
      <c r="C70" s="371"/>
      <c r="D70" s="30"/>
      <c r="E70" s="1387"/>
      <c r="F70" s="1387"/>
      <c r="G70" s="1048"/>
      <c r="H70" s="962"/>
      <c r="I70" s="1388"/>
      <c r="J70" s="875"/>
      <c r="K70" s="193"/>
      <c r="L70" s="193"/>
      <c r="P70" s="14"/>
    </row>
    <row r="71" spans="2:16" s="403" customFormat="1" ht="27" customHeight="1" thickBot="1">
      <c r="B71" s="1750"/>
      <c r="C71" s="371"/>
      <c r="D71" s="30"/>
      <c r="E71" s="1387"/>
      <c r="F71" s="1387"/>
      <c r="G71" s="1048"/>
      <c r="H71" s="962"/>
      <c r="I71" s="1388"/>
      <c r="J71" s="875"/>
      <c r="K71" s="193"/>
      <c r="L71" s="193"/>
      <c r="P71" s="14"/>
    </row>
    <row r="72" spans="2:16" s="403" customFormat="1" ht="27" customHeight="1" thickBot="1">
      <c r="B72" s="1750"/>
      <c r="C72" s="371"/>
      <c r="D72" s="30"/>
      <c r="E72" s="1387"/>
      <c r="F72" s="1387"/>
      <c r="G72" s="1048"/>
      <c r="H72" s="962"/>
      <c r="I72" s="1388"/>
      <c r="J72" s="875"/>
      <c r="K72" s="193"/>
      <c r="L72" s="193"/>
      <c r="P72" s="14"/>
    </row>
    <row r="73" spans="2:16" s="403" customFormat="1" ht="27" customHeight="1" thickBot="1">
      <c r="B73" s="1750"/>
      <c r="C73" s="371"/>
      <c r="D73" s="30"/>
      <c r="E73" s="1387"/>
      <c r="F73" s="1387"/>
      <c r="G73" s="1048"/>
      <c r="H73" s="962"/>
      <c r="I73" s="1388"/>
      <c r="J73" s="875"/>
      <c r="K73" s="193"/>
      <c r="L73" s="193"/>
      <c r="P73" s="14"/>
    </row>
    <row r="74" spans="2:16" ht="15.75" thickBot="1">
      <c r="B74" s="1751"/>
      <c r="C74" s="110"/>
      <c r="D74" s="40" t="s">
        <v>157</v>
      </c>
      <c r="E74" s="27"/>
      <c r="F74" s="27"/>
      <c r="G74" s="27"/>
      <c r="H74" s="873">
        <f>SUM(H31:H65)</f>
        <v>0</v>
      </c>
      <c r="I74" s="873">
        <f>SUM(I31:I65)</f>
        <v>0</v>
      </c>
      <c r="J74" s="873">
        <f>SUM(J31:J65)</f>
        <v>0</v>
      </c>
      <c r="K74" s="873">
        <f>SUM(K31:K65)</f>
        <v>0</v>
      </c>
      <c r="L74" s="193"/>
      <c r="M74" s="15"/>
      <c r="N74" s="15"/>
      <c r="P74" s="11"/>
    </row>
    <row r="75" spans="2:16" ht="24" customHeight="1" thickBot="1">
      <c r="B75" s="72" t="s">
        <v>39</v>
      </c>
      <c r="C75" s="107"/>
      <c r="D75" s="1680" t="s">
        <v>529</v>
      </c>
      <c r="E75" s="1681"/>
      <c r="F75" s="1681"/>
      <c r="G75" s="1681"/>
      <c r="H75" s="1681"/>
      <c r="I75" s="1681"/>
      <c r="J75" s="1681"/>
      <c r="K75" s="1681"/>
      <c r="L75" s="1752"/>
      <c r="M75" s="1752"/>
      <c r="N75" s="1752"/>
      <c r="O75" s="1752"/>
      <c r="P75" s="1720"/>
    </row>
    <row r="76" spans="2:16" ht="23.25" thickBot="1">
      <c r="B76" s="72" t="s">
        <v>41</v>
      </c>
      <c r="C76" s="107"/>
      <c r="D76" s="1680" t="s">
        <v>354</v>
      </c>
      <c r="E76" s="1681"/>
      <c r="F76" s="1681"/>
      <c r="G76" s="1681"/>
      <c r="H76" s="1681"/>
      <c r="I76" s="1681"/>
      <c r="J76" s="1681"/>
      <c r="K76" s="1681"/>
      <c r="L76" s="1752"/>
      <c r="M76" s="1752"/>
      <c r="N76" s="1752"/>
      <c r="O76" s="1752"/>
      <c r="P76" s="1720"/>
    </row>
    <row r="77" spans="2:16" ht="15.75" thickBot="1">
      <c r="B77" s="2"/>
      <c r="C77" s="75"/>
      <c r="D77" s="6"/>
      <c r="E77" s="6"/>
      <c r="F77" s="6"/>
      <c r="G77" s="6"/>
      <c r="H77" s="6"/>
      <c r="I77" s="6"/>
      <c r="J77" s="6"/>
      <c r="K77" s="6"/>
    </row>
    <row r="78" spans="2:16" ht="24" customHeight="1" thickBot="1">
      <c r="B78" s="1671" t="s">
        <v>43</v>
      </c>
      <c r="C78" s="1672"/>
      <c r="D78" s="1672"/>
      <c r="E78" s="1673"/>
      <c r="F78" s="6"/>
      <c r="G78" s="6"/>
      <c r="H78" s="6"/>
      <c r="I78" s="6"/>
      <c r="J78" s="6"/>
      <c r="K78" s="6"/>
    </row>
    <row r="79" spans="2:16" ht="15.75" thickBot="1">
      <c r="B79" s="1668">
        <v>1</v>
      </c>
      <c r="C79" s="93"/>
      <c r="D79" s="49" t="s">
        <v>44</v>
      </c>
      <c r="E79" s="31" t="s">
        <v>1616</v>
      </c>
      <c r="F79" s="6"/>
      <c r="G79" s="6"/>
      <c r="H79" s="6"/>
      <c r="I79" s="6"/>
      <c r="J79" s="6"/>
      <c r="K79" s="6"/>
    </row>
    <row r="80" spans="2:16" ht="15.75" thickBot="1">
      <c r="B80" s="1669"/>
      <c r="C80" s="93"/>
      <c r="D80" s="41" t="s">
        <v>45</v>
      </c>
      <c r="E80" s="31" t="s">
        <v>1817</v>
      </c>
      <c r="F80" s="6"/>
      <c r="G80" s="6"/>
      <c r="H80" s="6"/>
      <c r="I80" s="6"/>
      <c r="J80" s="6"/>
      <c r="K80" s="6"/>
    </row>
    <row r="81" spans="2:11" ht="15.75" thickBot="1">
      <c r="B81" s="1669"/>
      <c r="C81" s="93"/>
      <c r="D81" s="41" t="s">
        <v>46</v>
      </c>
      <c r="E81" s="31" t="s">
        <v>2032</v>
      </c>
      <c r="F81" s="6"/>
      <c r="G81" s="6"/>
      <c r="H81" s="6"/>
      <c r="I81" s="6"/>
      <c r="J81" s="6"/>
      <c r="K81" s="6"/>
    </row>
    <row r="82" spans="2:11" ht="15.75" thickBot="1">
      <c r="B82" s="1669"/>
      <c r="C82" s="93"/>
      <c r="D82" s="41" t="s">
        <v>47</v>
      </c>
      <c r="E82" s="31" t="s">
        <v>2041</v>
      </c>
      <c r="F82" s="6"/>
      <c r="G82" s="6"/>
      <c r="H82" s="6"/>
      <c r="I82" s="6"/>
      <c r="J82" s="6"/>
      <c r="K82" s="6"/>
    </row>
    <row r="83" spans="2:11" ht="15.75" thickBot="1">
      <c r="B83" s="1669"/>
      <c r="C83" s="93"/>
      <c r="D83" s="41" t="s">
        <v>48</v>
      </c>
      <c r="E83" s="31" t="s">
        <v>2014</v>
      </c>
      <c r="F83" s="6"/>
      <c r="G83" s="6"/>
      <c r="H83" s="6"/>
      <c r="I83" s="6"/>
      <c r="J83" s="6"/>
      <c r="K83" s="6"/>
    </row>
    <row r="84" spans="2:11" ht="15.75" thickBot="1">
      <c r="B84" s="1669"/>
      <c r="C84" s="93"/>
      <c r="D84" s="41" t="s">
        <v>49</v>
      </c>
      <c r="E84" s="31" t="s">
        <v>1724</v>
      </c>
      <c r="F84" s="6"/>
      <c r="G84" s="6"/>
      <c r="H84" s="6"/>
      <c r="I84" s="6"/>
      <c r="J84" s="6"/>
      <c r="K84" s="6"/>
    </row>
    <row r="85" spans="2:11" ht="15.75" thickBot="1">
      <c r="B85" s="1670"/>
      <c r="C85" s="3"/>
      <c r="D85" s="41" t="s">
        <v>50</v>
      </c>
      <c r="E85" s="31" t="s">
        <v>1682</v>
      </c>
      <c r="F85" s="6"/>
      <c r="G85" s="6"/>
      <c r="H85" s="6"/>
      <c r="I85" s="6"/>
      <c r="J85" s="6"/>
      <c r="K85" s="6"/>
    </row>
    <row r="86" spans="2:11" ht="15.75" thickBot="1">
      <c r="B86" s="2"/>
      <c r="C86" s="75"/>
      <c r="D86" s="6"/>
      <c r="E86" s="6"/>
      <c r="F86" s="6"/>
      <c r="G86" s="6"/>
      <c r="H86" s="6"/>
      <c r="I86" s="6"/>
      <c r="J86" s="6"/>
      <c r="K86" s="6"/>
    </row>
    <row r="87" spans="2:11" ht="15.75" thickBot="1">
      <c r="B87" s="1671" t="s">
        <v>51</v>
      </c>
      <c r="C87" s="1672"/>
      <c r="D87" s="1672"/>
      <c r="E87" s="1673"/>
      <c r="F87" s="6"/>
      <c r="G87" s="6"/>
      <c r="H87" s="6"/>
      <c r="I87" s="6"/>
      <c r="J87" s="6"/>
      <c r="K87" s="6"/>
    </row>
    <row r="88" spans="2:11" ht="15.75" thickBot="1">
      <c r="B88" s="1668">
        <v>1</v>
      </c>
      <c r="C88" s="93"/>
      <c r="D88" s="49" t="s">
        <v>44</v>
      </c>
      <c r="E88" s="432" t="s">
        <v>530</v>
      </c>
      <c r="F88" s="6"/>
      <c r="G88" s="6"/>
      <c r="H88" s="6"/>
      <c r="I88" s="6"/>
      <c r="J88" s="6"/>
      <c r="K88" s="6"/>
    </row>
    <row r="89" spans="2:11" ht="15.75" thickBot="1">
      <c r="B89" s="1669"/>
      <c r="C89" s="93"/>
      <c r="D89" s="41" t="s">
        <v>45</v>
      </c>
      <c r="E89" s="432" t="s">
        <v>53</v>
      </c>
      <c r="F89" s="6"/>
      <c r="G89" s="6"/>
      <c r="H89" s="6"/>
      <c r="I89" s="6"/>
      <c r="J89" s="6"/>
      <c r="K89" s="6"/>
    </row>
    <row r="90" spans="2:11" ht="15.75" thickBot="1">
      <c r="B90" s="1669"/>
      <c r="C90" s="93"/>
      <c r="D90" s="41" t="s">
        <v>46</v>
      </c>
      <c r="E90" s="307"/>
      <c r="F90" s="6"/>
      <c r="G90" s="6"/>
      <c r="H90" s="6"/>
      <c r="I90" s="6"/>
      <c r="J90" s="6"/>
      <c r="K90" s="6"/>
    </row>
    <row r="91" spans="2:11" ht="15.75" thickBot="1">
      <c r="B91" s="1669"/>
      <c r="C91" s="93"/>
      <c r="D91" s="41" t="s">
        <v>47</v>
      </c>
      <c r="E91" s="307"/>
      <c r="F91" s="6"/>
      <c r="G91" s="6"/>
      <c r="H91" s="6"/>
      <c r="I91" s="6"/>
      <c r="J91" s="6"/>
      <c r="K91" s="6"/>
    </row>
    <row r="92" spans="2:11" ht="15.75" thickBot="1">
      <c r="B92" s="1669"/>
      <c r="C92" s="93"/>
      <c r="D92" s="41" t="s">
        <v>48</v>
      </c>
      <c r="E92" s="307"/>
      <c r="F92" s="6"/>
      <c r="G92" s="6"/>
      <c r="H92" s="6"/>
      <c r="I92" s="6"/>
      <c r="J92" s="6"/>
      <c r="K92" s="6"/>
    </row>
    <row r="93" spans="2:11" ht="15.75" thickBot="1">
      <c r="B93" s="1669"/>
      <c r="C93" s="93"/>
      <c r="D93" s="41" t="s">
        <v>49</v>
      </c>
      <c r="E93" s="307"/>
      <c r="F93" s="6"/>
      <c r="G93" s="6"/>
      <c r="H93" s="6"/>
      <c r="I93" s="6"/>
      <c r="J93" s="6"/>
      <c r="K93" s="6"/>
    </row>
    <row r="94" spans="2:11" ht="15.75" thickBot="1">
      <c r="B94" s="1670"/>
      <c r="C94" s="3"/>
      <c r="D94" s="41" t="s">
        <v>50</v>
      </c>
      <c r="E94" s="307"/>
      <c r="F94" s="6"/>
      <c r="G94" s="6"/>
      <c r="H94" s="6"/>
      <c r="I94" s="6"/>
      <c r="J94" s="6"/>
      <c r="K94" s="6"/>
    </row>
    <row r="95" spans="2:11">
      <c r="B95" s="2"/>
      <c r="C95" s="75"/>
      <c r="D95" s="6"/>
      <c r="E95" s="6"/>
      <c r="F95" s="6"/>
      <c r="G95" s="6"/>
      <c r="H95" s="6"/>
      <c r="I95" s="6"/>
      <c r="J95" s="6"/>
      <c r="K95" s="6"/>
    </row>
    <row r="96" spans="2:11" ht="15.75" thickBot="1">
      <c r="B96" s="2"/>
      <c r="C96" s="75"/>
      <c r="D96" s="6"/>
      <c r="E96" s="6"/>
      <c r="F96" s="6"/>
      <c r="G96" s="6"/>
      <c r="H96" s="6"/>
      <c r="I96" s="6"/>
      <c r="J96" s="6"/>
      <c r="K96" s="6"/>
    </row>
    <row r="97" spans="2:11" ht="15.75" customHeight="1" thickBot="1">
      <c r="B97" s="1760" t="s">
        <v>54</v>
      </c>
      <c r="C97" s="1761"/>
      <c r="D97" s="1761"/>
      <c r="E97" s="1762"/>
      <c r="F97" s="876"/>
      <c r="G97" s="6"/>
      <c r="H97" s="6"/>
      <c r="I97" s="6"/>
      <c r="J97" s="6"/>
      <c r="K97" s="6"/>
    </row>
    <row r="98" spans="2:11" ht="24.75" thickBot="1">
      <c r="B98" s="48" t="s">
        <v>55</v>
      </c>
      <c r="C98" s="41" t="s">
        <v>56</v>
      </c>
      <c r="D98" s="41" t="s">
        <v>57</v>
      </c>
      <c r="E98" s="41" t="s">
        <v>58</v>
      </c>
      <c r="F98" s="6"/>
      <c r="G98" s="6"/>
      <c r="H98" s="6"/>
      <c r="I98" s="6"/>
      <c r="J98" s="6"/>
    </row>
    <row r="99" spans="2:11" ht="72.75" thickBot="1">
      <c r="B99" s="50">
        <v>42401</v>
      </c>
      <c r="C99" s="41">
        <v>0.01</v>
      </c>
      <c r="D99" s="51" t="s">
        <v>531</v>
      </c>
      <c r="E99" s="41"/>
      <c r="F99" s="6"/>
      <c r="G99" s="6"/>
      <c r="H99" s="6"/>
      <c r="I99" s="6"/>
      <c r="J99" s="6"/>
    </row>
    <row r="100" spans="2:11" ht="15.75" thickBot="1">
      <c r="B100" s="4"/>
      <c r="C100" s="94"/>
      <c r="D100" s="6"/>
      <c r="E100" s="6"/>
      <c r="F100" s="6"/>
      <c r="G100" s="6"/>
      <c r="H100" s="6"/>
      <c r="I100" s="6"/>
      <c r="J100" s="6"/>
      <c r="K100" s="6"/>
    </row>
    <row r="101" spans="2:11" ht="24.75" thickBot="1">
      <c r="B101" s="5" t="s">
        <v>60</v>
      </c>
      <c r="C101" s="95"/>
      <c r="D101" s="6"/>
      <c r="E101" s="6"/>
      <c r="F101" s="6"/>
      <c r="G101" s="6"/>
      <c r="H101" s="6"/>
      <c r="I101" s="6"/>
      <c r="J101" s="6"/>
      <c r="K101" s="6"/>
    </row>
    <row r="102" spans="2:11" s="137" customFormat="1">
      <c r="B102" s="1756" t="s">
        <v>532</v>
      </c>
      <c r="C102" s="1757"/>
      <c r="D102" s="1757"/>
      <c r="E102" s="1757"/>
      <c r="F102" s="1757"/>
      <c r="G102" s="1757"/>
      <c r="H102" s="136"/>
      <c r="I102" s="136"/>
      <c r="J102" s="136"/>
      <c r="K102" s="136"/>
    </row>
    <row r="103" spans="2:11" s="137" customFormat="1">
      <c r="B103" s="1756" t="s">
        <v>533</v>
      </c>
      <c r="C103" s="1757"/>
      <c r="D103" s="1757"/>
      <c r="E103" s="1757"/>
      <c r="F103" s="1757"/>
      <c r="G103" s="1757"/>
      <c r="H103" s="136"/>
      <c r="I103" s="136"/>
      <c r="J103" s="136"/>
      <c r="K103" s="136"/>
    </row>
    <row r="104" spans="2:11" s="137" customFormat="1" ht="35.450000000000003" customHeight="1">
      <c r="B104" s="1744"/>
      <c r="C104" s="1745"/>
      <c r="D104" s="1745"/>
      <c r="E104" s="1745"/>
      <c r="F104" s="1745"/>
      <c r="G104" s="1745"/>
      <c r="H104" s="136"/>
      <c r="I104" s="136"/>
      <c r="J104" s="136"/>
      <c r="K104" s="136"/>
    </row>
    <row r="105" spans="2:11" ht="15.75" thickBot="1">
      <c r="B105" s="2"/>
      <c r="C105" s="75"/>
      <c r="D105" s="6"/>
      <c r="E105" s="6"/>
      <c r="F105" s="6"/>
      <c r="G105" s="6"/>
      <c r="H105" s="6"/>
      <c r="I105" s="6"/>
      <c r="J105" s="6"/>
      <c r="K105" s="6"/>
    </row>
    <row r="106" spans="2:11" ht="24.75" thickBot="1">
      <c r="B106" s="52" t="s">
        <v>61</v>
      </c>
      <c r="C106" s="96"/>
      <c r="D106" s="6"/>
      <c r="E106" s="6"/>
      <c r="F106" s="6"/>
      <c r="G106" s="6"/>
      <c r="H106" s="6"/>
      <c r="I106" s="6"/>
      <c r="J106" s="6"/>
      <c r="K106" s="6"/>
    </row>
    <row r="107" spans="2:11" ht="15.75" thickBot="1">
      <c r="B107" s="38"/>
      <c r="C107" s="87"/>
      <c r="D107" s="6"/>
      <c r="E107" s="6"/>
      <c r="F107" s="6"/>
      <c r="G107" s="6"/>
      <c r="H107" s="6"/>
      <c r="I107" s="6"/>
      <c r="J107" s="6"/>
      <c r="K107" s="6"/>
    </row>
    <row r="108" spans="2:11" ht="84.75" thickBot="1">
      <c r="B108" s="53" t="s">
        <v>62</v>
      </c>
      <c r="C108" s="97"/>
      <c r="D108" s="44" t="s">
        <v>489</v>
      </c>
      <c r="E108" s="6"/>
      <c r="F108" s="6"/>
      <c r="G108" s="6"/>
      <c r="H108" s="6"/>
      <c r="I108" s="6"/>
      <c r="J108" s="6"/>
      <c r="K108" s="6"/>
    </row>
    <row r="109" spans="2:11">
      <c r="B109" s="1668" t="s">
        <v>64</v>
      </c>
      <c r="C109" s="93"/>
      <c r="D109" s="54" t="s">
        <v>65</v>
      </c>
      <c r="E109" s="6"/>
      <c r="F109" s="6"/>
      <c r="G109" s="6"/>
      <c r="H109" s="6"/>
      <c r="I109" s="6"/>
      <c r="J109" s="6"/>
      <c r="K109" s="6"/>
    </row>
    <row r="110" spans="2:11" ht="120">
      <c r="B110" s="1669"/>
      <c r="C110" s="93"/>
      <c r="D110" s="47" t="s">
        <v>490</v>
      </c>
      <c r="E110" s="6"/>
      <c r="F110" s="6"/>
      <c r="G110" s="6"/>
      <c r="H110" s="6"/>
      <c r="I110" s="6"/>
      <c r="J110" s="6"/>
      <c r="K110" s="6"/>
    </row>
    <row r="111" spans="2:11">
      <c r="B111" s="1669"/>
      <c r="C111" s="93"/>
      <c r="D111" s="54" t="s">
        <v>68</v>
      </c>
      <c r="E111" s="6"/>
      <c r="F111" s="6"/>
      <c r="G111" s="6"/>
      <c r="H111" s="6"/>
      <c r="I111" s="6"/>
      <c r="J111" s="6"/>
      <c r="K111" s="6"/>
    </row>
    <row r="112" spans="2:11" ht="72">
      <c r="B112" s="1669"/>
      <c r="C112" s="93"/>
      <c r="D112" s="47" t="s">
        <v>491</v>
      </c>
      <c r="E112" s="6"/>
      <c r="F112" s="6"/>
      <c r="G112" s="6"/>
      <c r="H112" s="6"/>
      <c r="I112" s="6"/>
      <c r="J112" s="6"/>
      <c r="K112" s="6"/>
    </row>
    <row r="113" spans="2:11">
      <c r="B113" s="1669"/>
      <c r="C113" s="93"/>
      <c r="D113" s="47" t="s">
        <v>70</v>
      </c>
      <c r="E113" s="6"/>
      <c r="F113" s="6"/>
      <c r="G113" s="6"/>
      <c r="H113" s="6"/>
      <c r="I113" s="6"/>
      <c r="J113" s="6"/>
      <c r="K113" s="6"/>
    </row>
    <row r="114" spans="2:11">
      <c r="B114" s="1669"/>
      <c r="C114" s="93"/>
      <c r="D114" s="47" t="s">
        <v>492</v>
      </c>
      <c r="E114" s="6"/>
      <c r="F114" s="6"/>
      <c r="G114" s="6"/>
      <c r="H114" s="6"/>
      <c r="I114" s="6"/>
      <c r="J114" s="6"/>
      <c r="K114" s="6"/>
    </row>
    <row r="115" spans="2:11">
      <c r="B115" s="1669"/>
      <c r="C115" s="93"/>
      <c r="D115" s="47" t="s">
        <v>493</v>
      </c>
      <c r="E115" s="6"/>
      <c r="F115" s="6"/>
      <c r="G115" s="6"/>
      <c r="H115" s="6"/>
      <c r="I115" s="6"/>
      <c r="J115" s="6"/>
      <c r="K115" s="6"/>
    </row>
    <row r="116" spans="2:11">
      <c r="B116" s="1669"/>
      <c r="C116" s="93"/>
      <c r="D116" s="54" t="s">
        <v>296</v>
      </c>
      <c r="E116" s="6"/>
      <c r="F116" s="6"/>
      <c r="G116" s="6"/>
      <c r="H116" s="6"/>
      <c r="I116" s="6"/>
      <c r="J116" s="6"/>
      <c r="K116" s="6"/>
    </row>
    <row r="117" spans="2:11" ht="36.75" thickBot="1">
      <c r="B117" s="1670"/>
      <c r="C117" s="3"/>
      <c r="D117" s="41" t="s">
        <v>462</v>
      </c>
      <c r="E117" s="6"/>
      <c r="F117" s="6"/>
      <c r="G117" s="6"/>
      <c r="H117" s="6"/>
      <c r="I117" s="6"/>
      <c r="J117" s="6"/>
      <c r="K117" s="6"/>
    </row>
    <row r="118" spans="2:11" ht="24.75" thickBot="1">
      <c r="B118" s="48" t="s">
        <v>77</v>
      </c>
      <c r="C118" s="3"/>
      <c r="D118" s="41"/>
      <c r="E118" s="6"/>
      <c r="F118" s="6"/>
      <c r="G118" s="6"/>
      <c r="H118" s="6"/>
      <c r="I118" s="6"/>
      <c r="J118" s="6"/>
      <c r="K118" s="6"/>
    </row>
    <row r="119" spans="2:11" ht="48">
      <c r="B119" s="1668" t="s">
        <v>78</v>
      </c>
      <c r="C119" s="93"/>
      <c r="D119" s="47" t="s">
        <v>494</v>
      </c>
      <c r="E119" s="6"/>
      <c r="F119" s="6"/>
      <c r="G119" s="6"/>
      <c r="H119" s="6"/>
      <c r="I119" s="6"/>
      <c r="J119" s="6"/>
      <c r="K119" s="6"/>
    </row>
    <row r="120" spans="2:11" ht="60">
      <c r="B120" s="1669"/>
      <c r="C120" s="93"/>
      <c r="D120" s="26" t="s">
        <v>495</v>
      </c>
      <c r="E120" s="6"/>
      <c r="F120" s="6"/>
      <c r="G120" s="6"/>
      <c r="H120" s="6"/>
      <c r="I120" s="6"/>
      <c r="J120" s="6"/>
      <c r="K120" s="6"/>
    </row>
    <row r="121" spans="2:11" ht="36">
      <c r="B121" s="1669"/>
      <c r="C121" s="93"/>
      <c r="D121" s="26" t="s">
        <v>496</v>
      </c>
      <c r="E121" s="6"/>
      <c r="F121" s="6"/>
      <c r="G121" s="6"/>
      <c r="H121" s="6"/>
      <c r="I121" s="6"/>
      <c r="J121" s="6"/>
      <c r="K121" s="6"/>
    </row>
    <row r="122" spans="2:11" ht="48">
      <c r="B122" s="1669"/>
      <c r="C122" s="93"/>
      <c r="D122" s="26" t="s">
        <v>497</v>
      </c>
      <c r="E122" s="6"/>
      <c r="F122" s="6"/>
      <c r="G122" s="6"/>
      <c r="H122" s="6"/>
      <c r="I122" s="6"/>
      <c r="J122" s="6"/>
      <c r="K122" s="6"/>
    </row>
    <row r="123" spans="2:11" ht="36">
      <c r="B123" s="1669"/>
      <c r="C123" s="93"/>
      <c r="D123" s="26" t="s">
        <v>498</v>
      </c>
      <c r="E123" s="6"/>
      <c r="F123" s="6"/>
      <c r="G123" s="6"/>
      <c r="H123" s="6"/>
      <c r="I123" s="6"/>
      <c r="J123" s="6"/>
      <c r="K123" s="6"/>
    </row>
    <row r="124" spans="2:11" ht="96">
      <c r="B124" s="1669"/>
      <c r="C124" s="93"/>
      <c r="D124" s="47" t="s">
        <v>499</v>
      </c>
      <c r="E124" s="6"/>
      <c r="F124" s="6"/>
      <c r="G124" s="6"/>
      <c r="H124" s="6"/>
      <c r="I124" s="6"/>
      <c r="J124" s="6"/>
      <c r="K124" s="6"/>
    </row>
    <row r="125" spans="2:11" ht="48">
      <c r="B125" s="1669"/>
      <c r="C125" s="93"/>
      <c r="D125" s="47" t="s">
        <v>500</v>
      </c>
      <c r="E125" s="6"/>
      <c r="F125" s="6"/>
      <c r="G125" s="6"/>
      <c r="H125" s="6"/>
      <c r="I125" s="6"/>
      <c r="J125" s="6"/>
      <c r="K125" s="6"/>
    </row>
    <row r="126" spans="2:11" ht="36">
      <c r="B126" s="1669"/>
      <c r="C126" s="93"/>
      <c r="D126" s="47" t="s">
        <v>501</v>
      </c>
      <c r="E126" s="6"/>
      <c r="F126" s="6"/>
      <c r="G126" s="6"/>
      <c r="H126" s="6"/>
      <c r="I126" s="6"/>
      <c r="J126" s="6"/>
      <c r="K126" s="6"/>
    </row>
    <row r="127" spans="2:11" ht="36">
      <c r="B127" s="1669"/>
      <c r="C127" s="93"/>
      <c r="D127" s="47" t="s">
        <v>502</v>
      </c>
      <c r="E127" s="6"/>
      <c r="F127" s="6"/>
      <c r="G127" s="6"/>
      <c r="H127" s="6"/>
      <c r="I127" s="6"/>
      <c r="J127" s="6"/>
      <c r="K127" s="6"/>
    </row>
    <row r="128" spans="2:11" ht="96.75" thickBot="1">
      <c r="B128" s="1670"/>
      <c r="C128" s="3"/>
      <c r="D128" s="41" t="s">
        <v>503</v>
      </c>
      <c r="E128" s="6"/>
      <c r="F128" s="6"/>
      <c r="G128" s="6"/>
      <c r="H128" s="6"/>
      <c r="I128" s="6"/>
      <c r="J128" s="6"/>
      <c r="K128" s="6"/>
    </row>
    <row r="129" spans="2:11" ht="24">
      <c r="B129" s="1668" t="s">
        <v>95</v>
      </c>
      <c r="C129" s="93"/>
      <c r="D129" s="54" t="s">
        <v>504</v>
      </c>
      <c r="E129" s="6"/>
      <c r="F129" s="6"/>
      <c r="G129" s="6"/>
      <c r="H129" s="6"/>
      <c r="I129" s="6"/>
      <c r="J129" s="6"/>
      <c r="K129" s="6"/>
    </row>
    <row r="130" spans="2:11">
      <c r="B130" s="1669"/>
      <c r="C130" s="93"/>
      <c r="D130" s="47" t="s">
        <v>505</v>
      </c>
      <c r="E130" s="6"/>
      <c r="F130" s="6"/>
      <c r="G130" s="6"/>
      <c r="H130" s="6"/>
      <c r="I130" s="6"/>
      <c r="J130" s="6"/>
      <c r="K130" s="6"/>
    </row>
    <row r="131" spans="2:11">
      <c r="B131" s="1669"/>
      <c r="C131" s="93"/>
      <c r="D131" s="47" t="s">
        <v>96</v>
      </c>
      <c r="E131" s="6"/>
      <c r="F131" s="6"/>
      <c r="G131" s="6"/>
      <c r="H131" s="6"/>
      <c r="I131" s="6"/>
      <c r="J131" s="6"/>
      <c r="K131" s="6"/>
    </row>
    <row r="132" spans="2:11" ht="49.5">
      <c r="B132" s="1669"/>
      <c r="C132" s="93"/>
      <c r="D132" s="47" t="s">
        <v>506</v>
      </c>
      <c r="E132" s="6"/>
      <c r="F132" s="6"/>
      <c r="G132" s="6"/>
      <c r="H132" s="6"/>
      <c r="I132" s="6"/>
      <c r="J132" s="6"/>
      <c r="K132" s="6"/>
    </row>
    <row r="133" spans="2:11" ht="49.5">
      <c r="B133" s="1669"/>
      <c r="C133" s="93"/>
      <c r="D133" s="47" t="s">
        <v>507</v>
      </c>
      <c r="E133" s="6"/>
      <c r="F133" s="6"/>
      <c r="G133" s="6"/>
      <c r="H133" s="6"/>
      <c r="I133" s="6"/>
      <c r="J133" s="6"/>
      <c r="K133" s="6"/>
    </row>
    <row r="134" spans="2:11" ht="49.5">
      <c r="B134" s="1669"/>
      <c r="C134" s="93"/>
      <c r="D134" s="47" t="s">
        <v>508</v>
      </c>
      <c r="E134" s="6"/>
      <c r="F134" s="6"/>
      <c r="G134" s="6"/>
      <c r="H134" s="6"/>
      <c r="I134" s="6"/>
      <c r="J134" s="6"/>
      <c r="K134" s="6"/>
    </row>
    <row r="135" spans="2:11">
      <c r="B135" s="1669"/>
      <c r="C135" s="93"/>
      <c r="D135" s="54" t="s">
        <v>254</v>
      </c>
      <c r="E135" s="6"/>
      <c r="F135" s="6"/>
      <c r="G135" s="6"/>
      <c r="H135" s="6"/>
      <c r="I135" s="6"/>
      <c r="J135" s="6"/>
      <c r="K135" s="6"/>
    </row>
    <row r="136" spans="2:11" ht="36">
      <c r="B136" s="1669"/>
      <c r="C136" s="93"/>
      <c r="D136" s="54" t="s">
        <v>509</v>
      </c>
      <c r="E136" s="6"/>
      <c r="F136" s="6"/>
      <c r="G136" s="6"/>
      <c r="H136" s="6"/>
      <c r="I136" s="6"/>
      <c r="J136" s="6"/>
      <c r="K136" s="6"/>
    </row>
    <row r="137" spans="2:11">
      <c r="B137" s="1669"/>
      <c r="C137" s="93"/>
      <c r="D137" s="17"/>
      <c r="E137" s="6"/>
      <c r="F137" s="6"/>
      <c r="G137" s="6"/>
      <c r="H137" s="6"/>
      <c r="I137" s="6"/>
      <c r="J137" s="6"/>
      <c r="K137" s="6"/>
    </row>
    <row r="138" spans="2:11">
      <c r="B138" s="1669"/>
      <c r="C138" s="93"/>
      <c r="D138" s="47" t="s">
        <v>96</v>
      </c>
      <c r="E138" s="6"/>
      <c r="F138" s="6"/>
      <c r="G138" s="6"/>
      <c r="H138" s="6"/>
      <c r="I138" s="6"/>
      <c r="J138" s="6"/>
      <c r="K138" s="6"/>
    </row>
    <row r="139" spans="2:11" ht="49.5">
      <c r="B139" s="1669"/>
      <c r="C139" s="93"/>
      <c r="D139" s="47" t="s">
        <v>510</v>
      </c>
      <c r="E139" s="6"/>
      <c r="F139" s="6"/>
      <c r="G139" s="6"/>
      <c r="H139" s="6"/>
      <c r="I139" s="6"/>
      <c r="J139" s="6"/>
      <c r="K139" s="6"/>
    </row>
    <row r="140" spans="2:11" ht="50.25" thickBot="1">
      <c r="B140" s="1670"/>
      <c r="C140" s="3"/>
      <c r="D140" s="41" t="s">
        <v>511</v>
      </c>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row r="187" spans="2:11">
      <c r="B187" s="6"/>
      <c r="D187" s="6"/>
      <c r="E187" s="6"/>
      <c r="F187" s="6"/>
      <c r="G187" s="6"/>
      <c r="H187" s="6"/>
      <c r="I187" s="6"/>
      <c r="J187" s="6"/>
      <c r="K187" s="6"/>
    </row>
    <row r="188" spans="2:11">
      <c r="B188" s="6"/>
      <c r="D188" s="6"/>
      <c r="E188" s="6"/>
      <c r="F188" s="6"/>
      <c r="G188" s="6"/>
      <c r="H188" s="6"/>
      <c r="I188" s="6"/>
      <c r="J188" s="6"/>
      <c r="K188" s="6"/>
    </row>
    <row r="189" spans="2:11">
      <c r="B189" s="6"/>
      <c r="D189" s="6"/>
      <c r="E189" s="6"/>
      <c r="F189" s="6"/>
      <c r="G189" s="6"/>
      <c r="H189" s="6"/>
      <c r="I189" s="6"/>
      <c r="J189" s="6"/>
      <c r="K189" s="6"/>
    </row>
    <row r="190" spans="2:11">
      <c r="B190" s="6"/>
      <c r="D190" s="6"/>
      <c r="E190" s="6"/>
      <c r="F190" s="6"/>
      <c r="G190" s="6"/>
      <c r="H190" s="6"/>
      <c r="I190" s="6"/>
      <c r="J190" s="6"/>
      <c r="K190" s="6"/>
    </row>
    <row r="191" spans="2:11">
      <c r="B191" s="6"/>
      <c r="D191" s="6"/>
      <c r="E191" s="6"/>
      <c r="F191" s="6"/>
      <c r="G191" s="6"/>
      <c r="H191" s="6"/>
      <c r="I191" s="6"/>
      <c r="J191" s="6"/>
      <c r="K191" s="6"/>
    </row>
    <row r="192" spans="2:11">
      <c r="B192" s="6"/>
      <c r="D192" s="6"/>
      <c r="E192" s="6"/>
      <c r="F192" s="6"/>
      <c r="G192" s="6"/>
      <c r="H192" s="6"/>
      <c r="I192" s="6"/>
      <c r="J192" s="6"/>
      <c r="K192" s="6"/>
    </row>
    <row r="193" spans="2:11">
      <c r="B193" s="6"/>
      <c r="D193" s="6"/>
      <c r="E193" s="6"/>
      <c r="F193" s="6"/>
      <c r="G193" s="6"/>
      <c r="H193" s="6"/>
      <c r="I193" s="6"/>
      <c r="J193" s="6"/>
      <c r="K193" s="6"/>
    </row>
    <row r="194" spans="2:11">
      <c r="B194" s="6"/>
      <c r="D194" s="6"/>
      <c r="E194" s="6"/>
      <c r="F194" s="6"/>
      <c r="G194" s="6"/>
      <c r="H194" s="6"/>
      <c r="I194" s="6"/>
      <c r="J194" s="6"/>
      <c r="K194" s="6"/>
    </row>
    <row r="195" spans="2:11">
      <c r="B195" s="6"/>
      <c r="D195" s="6"/>
      <c r="E195" s="6"/>
      <c r="F195" s="6"/>
      <c r="G195" s="6"/>
      <c r="H195" s="6"/>
      <c r="I195" s="6"/>
      <c r="J195" s="6"/>
      <c r="K195" s="6"/>
    </row>
    <row r="196" spans="2:11">
      <c r="B196" s="6"/>
      <c r="D196" s="6"/>
      <c r="E196" s="6"/>
      <c r="F196" s="6"/>
      <c r="G196" s="6"/>
      <c r="H196" s="6"/>
      <c r="I196" s="6"/>
      <c r="J196" s="6"/>
      <c r="K196" s="6"/>
    </row>
    <row r="197" spans="2:11">
      <c r="B197" s="6"/>
      <c r="D197" s="6"/>
      <c r="E197" s="6"/>
      <c r="F197" s="6"/>
      <c r="G197" s="6"/>
      <c r="H197" s="6"/>
      <c r="I197" s="6"/>
      <c r="J197" s="6"/>
      <c r="K197" s="6"/>
    </row>
    <row r="198" spans="2:11">
      <c r="B198" s="6"/>
      <c r="D198" s="6"/>
      <c r="E198" s="6"/>
      <c r="F198" s="6"/>
      <c r="G198" s="6"/>
      <c r="H198" s="6"/>
      <c r="I198" s="6"/>
      <c r="J198" s="6"/>
      <c r="K198" s="6"/>
    </row>
    <row r="199" spans="2:11">
      <c r="B199" s="6"/>
      <c r="D199" s="6"/>
      <c r="E199" s="6"/>
      <c r="F199" s="6"/>
      <c r="G199" s="6"/>
      <c r="H199" s="6"/>
      <c r="I199" s="6"/>
      <c r="J199" s="6"/>
      <c r="K199" s="6"/>
    </row>
    <row r="200" spans="2:11">
      <c r="B200" s="6"/>
      <c r="D200" s="6"/>
      <c r="E200" s="6"/>
      <c r="F200" s="6"/>
      <c r="G200" s="6"/>
      <c r="H200" s="6"/>
      <c r="I200" s="6"/>
      <c r="J200" s="6"/>
      <c r="K200" s="6"/>
    </row>
    <row r="201" spans="2:11">
      <c r="B201" s="6"/>
      <c r="D201" s="6"/>
      <c r="E201" s="6"/>
      <c r="F201" s="6"/>
      <c r="G201" s="6"/>
      <c r="H201" s="6"/>
      <c r="I201" s="6"/>
      <c r="J201" s="6"/>
      <c r="K201" s="6"/>
    </row>
    <row r="202" spans="2:11">
      <c r="B202" s="6"/>
      <c r="D202" s="6"/>
      <c r="E202" s="6"/>
      <c r="F202" s="6"/>
      <c r="G202" s="6"/>
      <c r="H202" s="6"/>
      <c r="I202" s="6"/>
      <c r="J202" s="6"/>
      <c r="K202" s="6"/>
    </row>
    <row r="203" spans="2:11">
      <c r="B203" s="6"/>
      <c r="D203" s="6"/>
      <c r="E203" s="6"/>
      <c r="F203" s="6"/>
      <c r="G203" s="6"/>
      <c r="H203" s="6"/>
      <c r="I203" s="6"/>
      <c r="J203" s="6"/>
      <c r="K203" s="6"/>
    </row>
    <row r="204" spans="2:11">
      <c r="B204" s="6"/>
      <c r="D204" s="6"/>
      <c r="E204" s="6"/>
      <c r="F204" s="6"/>
      <c r="G204" s="6"/>
      <c r="H204" s="6"/>
      <c r="I204" s="6"/>
      <c r="J204" s="6"/>
      <c r="K204" s="6"/>
    </row>
    <row r="205" spans="2:11">
      <c r="B205" s="6"/>
      <c r="D205" s="6"/>
      <c r="E205" s="6"/>
      <c r="F205" s="6"/>
      <c r="G205" s="6"/>
      <c r="H205" s="6"/>
      <c r="I205" s="6"/>
      <c r="J205" s="6"/>
      <c r="K205" s="6"/>
    </row>
    <row r="206" spans="2:11">
      <c r="B206" s="6"/>
      <c r="D206" s="6"/>
      <c r="E206" s="6"/>
      <c r="F206" s="6"/>
      <c r="G206" s="6"/>
      <c r="H206" s="6"/>
      <c r="I206" s="6"/>
      <c r="J206" s="6"/>
      <c r="K206" s="6"/>
    </row>
    <row r="207" spans="2:11">
      <c r="B207" s="6"/>
      <c r="D207" s="6"/>
      <c r="E207" s="6"/>
      <c r="F207" s="6"/>
      <c r="G207" s="6"/>
      <c r="H207" s="6"/>
      <c r="I207" s="6"/>
      <c r="J207" s="6"/>
      <c r="K207" s="6"/>
    </row>
    <row r="208" spans="2:11">
      <c r="B208" s="6"/>
      <c r="D208" s="6"/>
      <c r="E208" s="6"/>
      <c r="F208" s="6"/>
      <c r="G208" s="6"/>
      <c r="H208" s="6"/>
      <c r="I208" s="6"/>
      <c r="J208" s="6"/>
      <c r="K208" s="6"/>
    </row>
    <row r="209" spans="2:11">
      <c r="B209" s="6"/>
      <c r="D209" s="6"/>
      <c r="E209" s="6"/>
      <c r="F209" s="6"/>
      <c r="G209" s="6"/>
      <c r="H209" s="6"/>
      <c r="I209" s="6"/>
      <c r="J209" s="6"/>
      <c r="K209" s="6"/>
    </row>
    <row r="210" spans="2:11">
      <c r="B210" s="6"/>
      <c r="D210" s="6"/>
      <c r="E210" s="6"/>
      <c r="F210" s="6"/>
      <c r="G210" s="6"/>
      <c r="H210" s="6"/>
      <c r="I210" s="6"/>
      <c r="J210" s="6"/>
      <c r="K210" s="6"/>
    </row>
    <row r="211" spans="2:11">
      <c r="B211" s="6"/>
      <c r="D211" s="6"/>
      <c r="E211" s="6"/>
      <c r="F211" s="6"/>
      <c r="G211" s="6"/>
      <c r="H211" s="6"/>
      <c r="I211" s="6"/>
      <c r="J211" s="6"/>
      <c r="K211" s="6"/>
    </row>
    <row r="212" spans="2:11">
      <c r="B212" s="6"/>
      <c r="D212" s="6"/>
      <c r="E212" s="6"/>
      <c r="F212" s="6"/>
      <c r="G212" s="6"/>
      <c r="H212" s="6"/>
      <c r="I212" s="6"/>
      <c r="J212" s="6"/>
      <c r="K212" s="6"/>
    </row>
    <row r="213" spans="2:11">
      <c r="B213" s="6"/>
      <c r="D213" s="6"/>
      <c r="E213" s="6"/>
      <c r="F213" s="6"/>
      <c r="G213" s="6"/>
      <c r="H213" s="6"/>
      <c r="I213" s="6"/>
      <c r="J213" s="6"/>
      <c r="K213" s="6"/>
    </row>
  </sheetData>
  <sheetProtection sheet="1" objects="1" scenarios="1"/>
  <mergeCells count="53">
    <mergeCell ref="C29:C30"/>
    <mergeCell ref="B97:E97"/>
    <mergeCell ref="E51:E56"/>
    <mergeCell ref="F51:F56"/>
    <mergeCell ref="D76:P76"/>
    <mergeCell ref="B78:E78"/>
    <mergeCell ref="K29:K30"/>
    <mergeCell ref="E43:E44"/>
    <mergeCell ref="F43:F44"/>
    <mergeCell ref="D43:D44"/>
    <mergeCell ref="C43:C44"/>
    <mergeCell ref="D27:P27"/>
    <mergeCell ref="D28:P28"/>
    <mergeCell ref="D29:D30"/>
    <mergeCell ref="F29:F30"/>
    <mergeCell ref="G29:G30"/>
    <mergeCell ref="J29:J30"/>
    <mergeCell ref="L29:L30"/>
    <mergeCell ref="B129:B140"/>
    <mergeCell ref="D16:D18"/>
    <mergeCell ref="E16:J16"/>
    <mergeCell ref="E17:G17"/>
    <mergeCell ref="H17:J17"/>
    <mergeCell ref="B15:B74"/>
    <mergeCell ref="D15:P15"/>
    <mergeCell ref="D23:P23"/>
    <mergeCell ref="D24:P24"/>
    <mergeCell ref="D25:P25"/>
    <mergeCell ref="D26:P26"/>
    <mergeCell ref="K16:P16"/>
    <mergeCell ref="D75:P75"/>
    <mergeCell ref="B102:G102"/>
    <mergeCell ref="B103:G103"/>
    <mergeCell ref="E29:E30"/>
    <mergeCell ref="B109:B117"/>
    <mergeCell ref="B119:B128"/>
    <mergeCell ref="B104:G104"/>
    <mergeCell ref="B79:B85"/>
    <mergeCell ref="B87:E87"/>
    <mergeCell ref="B88:B94"/>
    <mergeCell ref="A1:P1"/>
    <mergeCell ref="A2:P2"/>
    <mergeCell ref="A3:P3"/>
    <mergeCell ref="A4:D4"/>
    <mergeCell ref="A5:P5"/>
    <mergeCell ref="Q15:Q18"/>
    <mergeCell ref="B10:D10"/>
    <mergeCell ref="F10:S10"/>
    <mergeCell ref="F11:S11"/>
    <mergeCell ref="E12:R12"/>
    <mergeCell ref="E13:R13"/>
    <mergeCell ref="K17:M17"/>
    <mergeCell ref="N17:P17"/>
  </mergeCells>
  <conditionalFormatting sqref="F10">
    <cfRule type="notContainsBlanks" dxfId="78" priority="4">
      <formula>LEN(TRIM(F10))&gt;0</formula>
    </cfRule>
  </conditionalFormatting>
  <conditionalFormatting sqref="F11:S11">
    <cfRule type="expression" dxfId="77" priority="2">
      <formula>E11="NO SE REPORTA"</formula>
    </cfRule>
    <cfRule type="expression" dxfId="76" priority="3">
      <formula>E10="NO APLICA"</formula>
    </cfRule>
  </conditionalFormatting>
  <conditionalFormatting sqref="E12:R12">
    <cfRule type="expression" dxfId="7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 type="whole" operator="greaterThanOrEqual" allowBlank="1" showInputMessage="1" showErrorMessage="1" errorTitle="ERROR" error="Valor en PESOS (sin centavos)" sqref="I31:J51 K31:K73 H31:H73">
      <formula1>0</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tabSelected="1" topLeftCell="E86" zoomScale="178" zoomScaleNormal="178" zoomScaleSheetLayoutView="75" workbookViewId="0">
      <selection activeCell="I89" sqref="I89:I93"/>
    </sheetView>
  </sheetViews>
  <sheetFormatPr baseColWidth="10" defaultRowHeight="12.75"/>
  <cols>
    <col min="1" max="1" width="7.42578125" style="521" customWidth="1"/>
    <col min="2" max="2" width="6.42578125" style="521" customWidth="1"/>
    <col min="3" max="3" width="8" style="521" customWidth="1"/>
    <col min="4" max="4" width="7" style="521" customWidth="1"/>
    <col min="5" max="5" width="27.140625" style="521" customWidth="1"/>
    <col min="6" max="6" width="9.5703125" style="521" customWidth="1"/>
    <col min="7" max="7" width="15.140625" style="521" customWidth="1"/>
    <col min="8" max="8" width="12.140625" style="521" customWidth="1"/>
    <col min="9" max="10" width="13" style="521" customWidth="1"/>
    <col min="11" max="11" width="19.42578125" style="521" customWidth="1"/>
    <col min="12" max="12" width="10.140625" style="521" customWidth="1"/>
    <col min="13" max="13" width="12.85546875" style="521" customWidth="1"/>
    <col min="14" max="14" width="14.28515625" style="521" customWidth="1"/>
    <col min="15" max="15" width="16.42578125" style="521" customWidth="1"/>
    <col min="16" max="16" width="19.140625" style="521" customWidth="1"/>
    <col min="17" max="17" width="20.5703125" style="521" customWidth="1"/>
    <col min="18" max="18" width="25" style="521" customWidth="1"/>
    <col min="19" max="19" width="18" style="521" customWidth="1"/>
    <col min="20" max="20" width="18.7109375" style="521" customWidth="1"/>
    <col min="21" max="21" width="12.42578125" style="521" customWidth="1"/>
    <col min="22" max="22" width="17.5703125" style="521" customWidth="1"/>
    <col min="23" max="16384" width="11.42578125" style="521"/>
  </cols>
  <sheetData>
    <row r="1" spans="1:22" ht="130.5" customHeight="1" thickBot="1">
      <c r="A1" s="520"/>
      <c r="B1" s="520"/>
      <c r="C1" s="520"/>
      <c r="D1" s="520"/>
      <c r="E1" s="520"/>
      <c r="F1" s="520"/>
      <c r="G1" s="520"/>
      <c r="H1" s="520"/>
      <c r="I1" s="520"/>
      <c r="J1" s="520"/>
      <c r="K1" s="520"/>
      <c r="L1" s="520"/>
      <c r="M1" s="520"/>
      <c r="N1" s="520"/>
      <c r="O1" s="520"/>
      <c r="P1" s="520"/>
      <c r="Q1" s="520"/>
      <c r="R1" s="1525"/>
      <c r="S1" s="1525"/>
      <c r="T1" s="1525"/>
      <c r="U1" s="1525"/>
      <c r="V1" s="1525"/>
    </row>
    <row r="2" spans="1:22" ht="19.5" customHeight="1">
      <c r="A2" s="1438" t="s">
        <v>1282</v>
      </c>
      <c r="B2" s="1438"/>
      <c r="C2" s="1438"/>
      <c r="D2" s="1438"/>
      <c r="E2" s="1438"/>
      <c r="F2" s="1438"/>
      <c r="G2" s="1438"/>
      <c r="H2" s="1438"/>
      <c r="I2" s="1438"/>
      <c r="J2" s="1438"/>
      <c r="K2" s="1438"/>
      <c r="L2" s="1438"/>
      <c r="M2" s="1438"/>
      <c r="N2" s="1438"/>
      <c r="O2" s="1438"/>
      <c r="P2" s="1438"/>
      <c r="Q2" s="1438"/>
      <c r="R2" s="1438"/>
    </row>
    <row r="3" spans="1:22" ht="18.75" thickBot="1">
      <c r="A3" s="518"/>
      <c r="B3" s="518"/>
      <c r="C3" s="518"/>
      <c r="D3" s="518"/>
      <c r="E3" s="1462" t="s">
        <v>1781</v>
      </c>
      <c r="F3" s="1462"/>
      <c r="G3" s="1462"/>
      <c r="H3" s="1462"/>
      <c r="I3" s="1462"/>
      <c r="J3" s="1462"/>
      <c r="K3" s="1462"/>
      <c r="L3" s="1462"/>
      <c r="M3" s="1462"/>
      <c r="N3" s="1462"/>
      <c r="O3" s="1462"/>
      <c r="P3" s="1462"/>
      <c r="Q3" s="1462"/>
      <c r="R3" s="1462"/>
      <c r="S3" s="1462"/>
      <c r="T3" s="1462"/>
      <c r="U3" s="1462"/>
      <c r="V3" s="1462"/>
    </row>
    <row r="4" spans="1:22" ht="23.25" customHeight="1" thickBot="1">
      <c r="A4" s="1463" t="s">
        <v>1415</v>
      </c>
      <c r="B4" s="1464"/>
      <c r="C4" s="1464"/>
      <c r="D4" s="1465" t="s">
        <v>1416</v>
      </c>
      <c r="E4" s="1468" t="s">
        <v>1417</v>
      </c>
      <c r="F4" s="1468"/>
      <c r="G4" s="1468"/>
      <c r="H4" s="1468"/>
      <c r="I4" s="1468"/>
      <c r="J4" s="1468"/>
      <c r="K4" s="1468"/>
      <c r="L4" s="1468"/>
      <c r="M4" s="1468"/>
      <c r="N4" s="1468"/>
      <c r="O4" s="1468"/>
      <c r="P4" s="1468"/>
      <c r="Q4" s="1468"/>
      <c r="R4" s="1468"/>
      <c r="S4" s="1468"/>
      <c r="T4" s="1468"/>
      <c r="U4" s="1468"/>
      <c r="V4" s="1469"/>
    </row>
    <row r="5" spans="1:22" ht="19.5" customHeight="1" thickBot="1">
      <c r="A5" s="1470" t="s">
        <v>1418</v>
      </c>
      <c r="B5" s="1473" t="s">
        <v>1419</v>
      </c>
      <c r="C5" s="1476" t="s">
        <v>1420</v>
      </c>
      <c r="D5" s="1466"/>
      <c r="E5" s="1479" t="s">
        <v>2088</v>
      </c>
      <c r="F5" s="1480"/>
      <c r="G5" s="1480"/>
      <c r="H5" s="1480"/>
      <c r="I5" s="1480"/>
      <c r="J5" s="1480"/>
      <c r="K5" s="1480"/>
      <c r="L5" s="1480"/>
      <c r="M5" s="1480"/>
      <c r="N5" s="1480"/>
      <c r="O5" s="1480"/>
      <c r="P5" s="1480"/>
      <c r="Q5" s="1480"/>
      <c r="R5" s="1480"/>
      <c r="S5" s="1480"/>
      <c r="T5" s="1480"/>
      <c r="U5" s="1480"/>
      <c r="V5" s="1481"/>
    </row>
    <row r="6" spans="1:22" ht="59.25" customHeight="1" thickBot="1">
      <c r="A6" s="1471"/>
      <c r="B6" s="1474"/>
      <c r="C6" s="1477"/>
      <c r="D6" s="1466"/>
      <c r="E6" s="1482" t="s">
        <v>1421</v>
      </c>
      <c r="F6" s="1484" t="s">
        <v>1795</v>
      </c>
      <c r="G6" s="1484"/>
      <c r="H6" s="1484"/>
      <c r="I6" s="1484"/>
      <c r="J6" s="1484"/>
      <c r="K6" s="1484"/>
      <c r="L6" s="1484"/>
      <c r="M6" s="1485"/>
      <c r="N6" s="1485"/>
      <c r="O6" s="1485"/>
      <c r="P6" s="1486" t="s">
        <v>1794</v>
      </c>
      <c r="Q6" s="1487"/>
      <c r="R6" s="1487"/>
      <c r="S6" s="1487"/>
      <c r="T6" s="1487"/>
      <c r="U6" s="1487"/>
      <c r="V6" s="1488" t="s">
        <v>1270</v>
      </c>
    </row>
    <row r="7" spans="1:22" ht="142.5" customHeight="1" thickBot="1">
      <c r="A7" s="1472"/>
      <c r="B7" s="1475"/>
      <c r="C7" s="1478"/>
      <c r="D7" s="1467"/>
      <c r="E7" s="1483"/>
      <c r="F7" s="1302" t="s">
        <v>1422</v>
      </c>
      <c r="G7" s="1303" t="s">
        <v>2020</v>
      </c>
      <c r="H7" s="1304" t="s">
        <v>1271</v>
      </c>
      <c r="I7" s="1303" t="s">
        <v>1272</v>
      </c>
      <c r="J7" s="544" t="s">
        <v>1273</v>
      </c>
      <c r="K7" s="1303" t="s">
        <v>1274</v>
      </c>
      <c r="L7" s="1305" t="s">
        <v>898</v>
      </c>
      <c r="M7" s="1305" t="s">
        <v>1275</v>
      </c>
      <c r="N7" s="1306" t="s">
        <v>1276</v>
      </c>
      <c r="O7" s="1305" t="s">
        <v>1423</v>
      </c>
      <c r="P7" s="545" t="s">
        <v>1872</v>
      </c>
      <c r="Q7" s="545" t="s">
        <v>1277</v>
      </c>
      <c r="R7" s="1078" t="s">
        <v>1278</v>
      </c>
      <c r="S7" s="1077" t="s">
        <v>1424</v>
      </c>
      <c r="T7" s="1077" t="s">
        <v>1279</v>
      </c>
      <c r="U7" s="546" t="s">
        <v>1280</v>
      </c>
      <c r="V7" s="1489"/>
    </row>
    <row r="8" spans="1:22" ht="27" customHeight="1" thickBot="1">
      <c r="A8" s="1439" t="s">
        <v>1425</v>
      </c>
      <c r="B8" s="1442" t="s">
        <v>1426</v>
      </c>
      <c r="C8" s="1445" t="s">
        <v>1427</v>
      </c>
      <c r="D8" s="1448" t="s">
        <v>1428</v>
      </c>
      <c r="E8" s="1450" t="s">
        <v>1429</v>
      </c>
      <c r="F8" s="1451"/>
      <c r="G8" s="1451"/>
      <c r="H8" s="1452"/>
      <c r="I8" s="547">
        <f>+(I9+I25+I19)/3</f>
        <v>0.82</v>
      </c>
      <c r="J8" s="547"/>
      <c r="K8" s="547"/>
      <c r="L8" s="547"/>
      <c r="M8" s="547"/>
      <c r="N8" s="550">
        <f>(N10+N11+N12+N13+N14+N15+N16+N17+N18+N20+N21+N22+N23+N24+N26+N27+N28+N29)/18</f>
        <v>0.86</v>
      </c>
      <c r="O8" s="925">
        <f>O9+O19+O25</f>
        <v>0.21840000000000001</v>
      </c>
      <c r="P8" s="799">
        <f>P9+P19+P25</f>
        <v>6100307804.4899998</v>
      </c>
      <c r="Q8" s="800">
        <f>Q9+Q19+Q25</f>
        <v>2153029282.4000001</v>
      </c>
      <c r="R8" s="810">
        <f>Q8/P8</f>
        <v>0.35</v>
      </c>
      <c r="S8" s="800">
        <f>S9+S19+S25</f>
        <v>22065655597</v>
      </c>
      <c r="T8" s="799">
        <f>T9+T19+T25</f>
        <v>20593232174.490002</v>
      </c>
      <c r="U8" s="801">
        <f>T8/S8</f>
        <v>0.93</v>
      </c>
      <c r="V8" s="802"/>
    </row>
    <row r="9" spans="1:22" ht="18" customHeight="1" thickBot="1">
      <c r="A9" s="1440"/>
      <c r="B9" s="1443"/>
      <c r="C9" s="1446"/>
      <c r="D9" s="1449"/>
      <c r="E9" s="1453" t="s">
        <v>1430</v>
      </c>
      <c r="F9" s="1454"/>
      <c r="G9" s="1454"/>
      <c r="H9" s="1455"/>
      <c r="I9" s="553">
        <f>(I10+I11+I12+I13+I14+I15+I16+I17+I18)/9</f>
        <v>0.62</v>
      </c>
      <c r="J9" s="547"/>
      <c r="K9" s="968"/>
      <c r="L9" s="612"/>
      <c r="M9" s="930"/>
      <c r="N9" s="703">
        <f>(N10+N11+N12+N13+N14+N15+N16+N17+N18)/9</f>
        <v>0.81</v>
      </c>
      <c r="O9" s="556">
        <v>7.8600000000000003E-2</v>
      </c>
      <c r="P9" s="803">
        <f>'Anexo 5-2 Gastos'!K30</f>
        <v>1646462271.0899999</v>
      </c>
      <c r="Q9" s="804">
        <f>'Anexo 5-2 Gastos'!L30</f>
        <v>1001229729</v>
      </c>
      <c r="R9" s="809">
        <f>Q9/P9</f>
        <v>0.61</v>
      </c>
      <c r="S9" s="805">
        <f>273122362+( 6406000+101863724+114057753)+290581533+(-1262501+23000000+31800000)+300900109+(133819430)+312925366+(207024354+579289384+547223162)</f>
        <v>2920750676</v>
      </c>
      <c r="T9" s="806">
        <f>495449839+309331486+427762569+P9</f>
        <v>2879006165.0900002</v>
      </c>
      <c r="U9" s="807">
        <f>T9/S9</f>
        <v>0.99</v>
      </c>
      <c r="V9" s="808"/>
    </row>
    <row r="10" spans="1:22" ht="77.25" customHeight="1">
      <c r="A10" s="1440"/>
      <c r="B10" s="1443"/>
      <c r="C10" s="1446"/>
      <c r="D10" s="1446"/>
      <c r="E10" s="755" t="s">
        <v>1431</v>
      </c>
      <c r="F10" s="558" t="s">
        <v>1432</v>
      </c>
      <c r="G10" s="559">
        <v>0.16</v>
      </c>
      <c r="H10" s="560" t="str">
        <f ca="1">'1POMCAS'!D8</f>
        <v>N.A.</v>
      </c>
      <c r="I10" s="559">
        <v>0</v>
      </c>
      <c r="J10" s="558"/>
      <c r="K10" s="969" t="s">
        <v>2102</v>
      </c>
      <c r="L10" s="599">
        <v>1</v>
      </c>
      <c r="M10" s="562">
        <f>0.4+0.31+0.33</f>
        <v>1.04</v>
      </c>
      <c r="N10" s="562">
        <v>1</v>
      </c>
      <c r="O10" s="563"/>
      <c r="P10" s="564"/>
      <c r="Q10" s="564"/>
      <c r="R10" s="564"/>
      <c r="S10" s="564"/>
      <c r="T10" s="564"/>
      <c r="U10" s="564"/>
      <c r="V10" s="565"/>
    </row>
    <row r="11" spans="1:22" ht="53.25" customHeight="1">
      <c r="A11" s="1440"/>
      <c r="B11" s="1443"/>
      <c r="C11" s="1446"/>
      <c r="D11" s="1446"/>
      <c r="E11" s="756" t="s">
        <v>403</v>
      </c>
      <c r="F11" s="566" t="s">
        <v>1432</v>
      </c>
      <c r="G11" s="567">
        <v>1</v>
      </c>
      <c r="H11" s="568" t="s">
        <v>1433</v>
      </c>
      <c r="I11" s="559">
        <v>0</v>
      </c>
      <c r="J11" s="566"/>
      <c r="K11" s="969"/>
      <c r="L11" s="576">
        <v>1</v>
      </c>
      <c r="M11" s="576">
        <v>0</v>
      </c>
      <c r="N11" s="572">
        <f t="shared" ref="N11:N24" si="0">M11/L11</f>
        <v>0</v>
      </c>
      <c r="O11" s="573"/>
      <c r="P11" s="574"/>
      <c r="Q11" s="574"/>
      <c r="R11" s="574"/>
      <c r="S11" s="574"/>
      <c r="T11" s="574"/>
      <c r="U11" s="574"/>
      <c r="V11" s="969" t="s">
        <v>1803</v>
      </c>
    </row>
    <row r="12" spans="1:22" ht="115.5" customHeight="1">
      <c r="A12" s="1440"/>
      <c r="B12" s="1443"/>
      <c r="C12" s="1446"/>
      <c r="D12" s="1446"/>
      <c r="E12" s="756" t="s">
        <v>1434</v>
      </c>
      <c r="F12" s="566" t="s">
        <v>1432</v>
      </c>
      <c r="G12" s="567">
        <v>1</v>
      </c>
      <c r="H12" s="568">
        <f>'24POT'!D7</f>
        <v>1</v>
      </c>
      <c r="I12" s="569">
        <f t="shared" ref="I12:I18" si="1">H12/G12</f>
        <v>1</v>
      </c>
      <c r="J12" s="566"/>
      <c r="K12" s="970"/>
      <c r="L12" s="576">
        <v>1</v>
      </c>
      <c r="M12" s="576">
        <f>(1+1+1+H12)/4</f>
        <v>1</v>
      </c>
      <c r="N12" s="572">
        <f t="shared" si="0"/>
        <v>1</v>
      </c>
      <c r="O12" s="573"/>
      <c r="P12" s="574"/>
      <c r="Q12" s="574"/>
      <c r="R12" s="574"/>
      <c r="S12" s="574"/>
      <c r="T12" s="574"/>
      <c r="U12" s="574"/>
      <c r="V12" s="575"/>
    </row>
    <row r="13" spans="1:22" ht="36">
      <c r="A13" s="1440"/>
      <c r="B13" s="1443"/>
      <c r="C13" s="1446"/>
      <c r="D13" s="1446"/>
      <c r="E13" s="756" t="s">
        <v>1435</v>
      </c>
      <c r="F13" s="577" t="s">
        <v>1432</v>
      </c>
      <c r="G13" s="569">
        <v>1</v>
      </c>
      <c r="H13" s="568">
        <f>'26SIAC'!D8</f>
        <v>0.46</v>
      </c>
      <c r="I13" s="569">
        <f t="shared" si="1"/>
        <v>0.46</v>
      </c>
      <c r="J13" s="566"/>
      <c r="K13" s="971"/>
      <c r="L13" s="576">
        <v>1</v>
      </c>
      <c r="M13" s="576">
        <f>(0.54+0.71+0.7+H13)/3</f>
        <v>0.8</v>
      </c>
      <c r="N13" s="572">
        <f t="shared" si="0"/>
        <v>0.8</v>
      </c>
      <c r="O13" s="578"/>
      <c r="P13" s="579"/>
      <c r="Q13" s="579"/>
      <c r="R13" s="579"/>
      <c r="S13" s="579"/>
      <c r="T13" s="579"/>
      <c r="U13" s="579"/>
      <c r="V13" s="580"/>
    </row>
    <row r="14" spans="1:22" ht="76.5" customHeight="1">
      <c r="A14" s="1440"/>
      <c r="B14" s="1443"/>
      <c r="C14" s="1446"/>
      <c r="D14" s="1446"/>
      <c r="E14" s="581" t="s">
        <v>1436</v>
      </c>
      <c r="F14" s="566" t="s">
        <v>1432</v>
      </c>
      <c r="G14" s="567">
        <v>1</v>
      </c>
      <c r="H14" s="568">
        <v>1</v>
      </c>
      <c r="I14" s="582">
        <f t="shared" si="1"/>
        <v>1</v>
      </c>
      <c r="J14" s="566"/>
      <c r="K14" s="971"/>
      <c r="L14" s="576">
        <v>1</v>
      </c>
      <c r="M14" s="576">
        <f>(0.5+1+1+H14)/4</f>
        <v>0.88</v>
      </c>
      <c r="N14" s="572">
        <f t="shared" si="0"/>
        <v>0.88</v>
      </c>
      <c r="O14" s="578"/>
      <c r="P14" s="579"/>
      <c r="Q14" s="579"/>
      <c r="R14" s="579"/>
      <c r="S14" s="579"/>
      <c r="T14" s="579"/>
      <c r="U14" s="579"/>
      <c r="V14" s="580"/>
    </row>
    <row r="15" spans="1:22" ht="27.75" customHeight="1">
      <c r="A15" s="1440"/>
      <c r="B15" s="1443"/>
      <c r="C15" s="1446"/>
      <c r="D15" s="1446"/>
      <c r="E15" s="581" t="s">
        <v>1437</v>
      </c>
      <c r="F15" s="566" t="s">
        <v>1432</v>
      </c>
      <c r="G15" s="567">
        <v>1</v>
      </c>
      <c r="H15" s="568">
        <v>1</v>
      </c>
      <c r="I15" s="582">
        <f t="shared" si="1"/>
        <v>1</v>
      </c>
      <c r="J15" s="566"/>
      <c r="K15" s="972"/>
      <c r="L15" s="576">
        <v>1</v>
      </c>
      <c r="M15" s="576">
        <f>(1+1+1+H15)/4</f>
        <v>1</v>
      </c>
      <c r="N15" s="572">
        <f t="shared" si="0"/>
        <v>1</v>
      </c>
      <c r="O15" s="578"/>
      <c r="P15" s="579"/>
      <c r="Q15" s="579"/>
      <c r="R15" s="579"/>
      <c r="S15" s="579"/>
      <c r="T15" s="579"/>
      <c r="U15" s="579"/>
      <c r="V15" s="580"/>
    </row>
    <row r="16" spans="1:22" ht="63.75" customHeight="1">
      <c r="A16" s="1440"/>
      <c r="B16" s="1443"/>
      <c r="C16" s="1446"/>
      <c r="D16" s="1446"/>
      <c r="E16" s="581" t="s">
        <v>1438</v>
      </c>
      <c r="F16" s="566" t="s">
        <v>1432</v>
      </c>
      <c r="G16" s="567">
        <v>1</v>
      </c>
      <c r="H16" s="568">
        <v>0.66</v>
      </c>
      <c r="I16" s="582">
        <f t="shared" si="1"/>
        <v>0.66</v>
      </c>
      <c r="J16" s="566"/>
      <c r="K16" s="971"/>
      <c r="L16" s="576">
        <v>1</v>
      </c>
      <c r="M16" s="576">
        <f>(1+0.5+1+H16)/4</f>
        <v>0.79</v>
      </c>
      <c r="N16" s="572">
        <f t="shared" si="0"/>
        <v>0.79</v>
      </c>
      <c r="O16" s="578"/>
      <c r="P16" s="579"/>
      <c r="Q16" s="579"/>
      <c r="R16" s="579"/>
      <c r="S16" s="579"/>
      <c r="T16" s="579"/>
      <c r="U16" s="579"/>
      <c r="V16" s="580"/>
    </row>
    <row r="17" spans="1:22" ht="24">
      <c r="A17" s="1440"/>
      <c r="B17" s="1443"/>
      <c r="C17" s="1446"/>
      <c r="D17" s="1446"/>
      <c r="E17" s="581" t="s">
        <v>1439</v>
      </c>
      <c r="F17" s="566" t="s">
        <v>1432</v>
      </c>
      <c r="G17" s="567">
        <v>1</v>
      </c>
      <c r="H17" s="568">
        <v>1</v>
      </c>
      <c r="I17" s="569">
        <f t="shared" si="1"/>
        <v>1</v>
      </c>
      <c r="J17" s="566"/>
      <c r="K17" s="972"/>
      <c r="L17" s="576">
        <v>1</v>
      </c>
      <c r="M17" s="576">
        <f>(1+1+1+H17)/4</f>
        <v>1</v>
      </c>
      <c r="N17" s="572">
        <f t="shared" si="0"/>
        <v>1</v>
      </c>
      <c r="O17" s="578"/>
      <c r="P17" s="579"/>
      <c r="Q17" s="579"/>
      <c r="R17" s="579"/>
      <c r="S17" s="579"/>
      <c r="T17" s="579"/>
      <c r="U17" s="579"/>
      <c r="V17" s="580"/>
    </row>
    <row r="18" spans="1:22" ht="28.5" customHeight="1" thickBot="1">
      <c r="A18" s="1440"/>
      <c r="B18" s="1443"/>
      <c r="C18" s="1446"/>
      <c r="D18" s="1446"/>
      <c r="E18" s="584" t="s">
        <v>1440</v>
      </c>
      <c r="F18" s="585" t="s">
        <v>1432</v>
      </c>
      <c r="G18" s="586">
        <v>1</v>
      </c>
      <c r="H18" s="587">
        <v>0.5</v>
      </c>
      <c r="I18" s="588">
        <f t="shared" si="1"/>
        <v>0.5</v>
      </c>
      <c r="J18" s="585"/>
      <c r="K18" s="973"/>
      <c r="L18" s="610">
        <v>1</v>
      </c>
      <c r="M18" s="610">
        <f>0.19+0.19+0.19+(H18*0.43)</f>
        <v>0.79</v>
      </c>
      <c r="N18" s="590">
        <f t="shared" si="0"/>
        <v>0.79</v>
      </c>
      <c r="O18" s="591"/>
      <c r="P18" s="592"/>
      <c r="Q18" s="592"/>
      <c r="R18" s="592"/>
      <c r="S18" s="592"/>
      <c r="T18" s="592"/>
      <c r="U18" s="592"/>
      <c r="V18" s="593"/>
    </row>
    <row r="19" spans="1:22" ht="13.5" customHeight="1" thickBot="1">
      <c r="A19" s="1440"/>
      <c r="B19" s="1443"/>
      <c r="C19" s="1446"/>
      <c r="D19" s="1449"/>
      <c r="E19" s="1456" t="s">
        <v>1441</v>
      </c>
      <c r="F19" s="1457"/>
      <c r="G19" s="1457"/>
      <c r="H19" s="1458"/>
      <c r="I19" s="547">
        <f>(I20+I21+I22+I23+I24)/5</f>
        <v>0.83</v>
      </c>
      <c r="J19" s="594"/>
      <c r="K19" s="929"/>
      <c r="L19" s="596"/>
      <c r="M19" s="595"/>
      <c r="N19" s="597">
        <f>(N20+N21+N22+N23+N24)/5</f>
        <v>0.85</v>
      </c>
      <c r="O19" s="598">
        <v>8.3000000000000004E-2</v>
      </c>
      <c r="P19" s="877">
        <f>'Anexo 5-2 Gastos'!K31</f>
        <v>4244589493.4000001</v>
      </c>
      <c r="Q19" s="883">
        <f>'Anexo 5-2 Gastos'!L31</f>
        <v>1045418233.4</v>
      </c>
      <c r="R19" s="887">
        <f>Q19/P19</f>
        <v>0.25</v>
      </c>
      <c r="S19" s="806">
        <f>187999197+(3623000+7642252977+3390941561+1225877827+1270767976)+207331988+(-5000000+1262501)+224901010+244115723+(-27948211+4028421981)</f>
        <v>18394547530</v>
      </c>
      <c r="T19" s="880">
        <f>12450699562+157628995+164099217+P19</f>
        <v>17017017267.4</v>
      </c>
      <c r="U19" s="888">
        <f>T19/S19</f>
        <v>0.93</v>
      </c>
      <c r="V19" s="889"/>
    </row>
    <row r="20" spans="1:22" ht="85.5" customHeight="1">
      <c r="A20" s="1440"/>
      <c r="B20" s="1443"/>
      <c r="C20" s="1446"/>
      <c r="D20" s="1446"/>
      <c r="E20" s="753" t="s">
        <v>288</v>
      </c>
      <c r="F20" s="558" t="s">
        <v>1432</v>
      </c>
      <c r="G20" s="559">
        <v>1</v>
      </c>
      <c r="H20" s="560">
        <f>'7Clima'!D8</f>
        <v>0.94</v>
      </c>
      <c r="I20" s="559">
        <f>H20/G20</f>
        <v>0.94</v>
      </c>
      <c r="J20" s="558"/>
      <c r="K20" s="558"/>
      <c r="L20" s="599">
        <v>1</v>
      </c>
      <c r="M20" s="599">
        <f>(0.69+1+1+H20)/4</f>
        <v>0.91</v>
      </c>
      <c r="N20" s="600">
        <f>M20/L20</f>
        <v>0.91</v>
      </c>
      <c r="O20" s="601"/>
      <c r="P20" s="602"/>
      <c r="Q20" s="602"/>
      <c r="R20" s="602"/>
      <c r="S20" s="602"/>
      <c r="T20" s="602"/>
      <c r="U20" s="602"/>
      <c r="V20" s="603"/>
    </row>
    <row r="21" spans="1:22" ht="31.5" customHeight="1">
      <c r="A21" s="1440"/>
      <c r="B21" s="1443"/>
      <c r="C21" s="1446"/>
      <c r="D21" s="1446"/>
      <c r="E21" s="754" t="s">
        <v>1442</v>
      </c>
      <c r="F21" s="566" t="s">
        <v>1432</v>
      </c>
      <c r="G21" s="567">
        <v>1</v>
      </c>
      <c r="H21" s="568">
        <f>'25Redes'!D8</f>
        <v>0.35</v>
      </c>
      <c r="I21" s="567">
        <f>H21/G21</f>
        <v>0.35</v>
      </c>
      <c r="J21" s="566"/>
      <c r="K21" s="566"/>
      <c r="L21" s="576">
        <v>1</v>
      </c>
      <c r="M21" s="576">
        <f>(0.15+0.66+0.91+H21)/4</f>
        <v>0.52</v>
      </c>
      <c r="N21" s="600">
        <f>M21/L21</f>
        <v>0.52</v>
      </c>
      <c r="O21" s="604"/>
      <c r="P21" s="605"/>
      <c r="Q21" s="605"/>
      <c r="R21" s="605"/>
      <c r="S21" s="605"/>
      <c r="T21" s="605"/>
      <c r="U21" s="605"/>
      <c r="V21" s="606"/>
    </row>
    <row r="22" spans="1:22" ht="44.25" customHeight="1">
      <c r="A22" s="1440"/>
      <c r="B22" s="1443"/>
      <c r="C22" s="1446"/>
      <c r="D22" s="1446"/>
      <c r="E22" s="607" t="s">
        <v>1443</v>
      </c>
      <c r="F22" s="566" t="s">
        <v>1432</v>
      </c>
      <c r="G22" s="567">
        <v>0.2</v>
      </c>
      <c r="H22" s="568">
        <v>0.18</v>
      </c>
      <c r="I22" s="567">
        <f>H22/G22</f>
        <v>0.9</v>
      </c>
      <c r="J22" s="566"/>
      <c r="K22" s="566"/>
      <c r="L22" s="576">
        <v>1</v>
      </c>
      <c r="M22" s="576">
        <f>0.2+0.25+0.3+H22</f>
        <v>0.93</v>
      </c>
      <c r="N22" s="583">
        <f t="shared" si="0"/>
        <v>0.93</v>
      </c>
      <c r="O22" s="578"/>
      <c r="P22" s="579"/>
      <c r="Q22" s="579"/>
      <c r="R22" s="579"/>
      <c r="S22" s="579"/>
      <c r="T22" s="579"/>
      <c r="U22" s="579"/>
      <c r="V22" s="580"/>
    </row>
    <row r="23" spans="1:22" ht="52.5" customHeight="1">
      <c r="A23" s="1440"/>
      <c r="B23" s="1443"/>
      <c r="C23" s="1446"/>
      <c r="D23" s="1446"/>
      <c r="E23" s="607" t="s">
        <v>1444</v>
      </c>
      <c r="F23" s="566" t="s">
        <v>1445</v>
      </c>
      <c r="G23" s="566">
        <v>2</v>
      </c>
      <c r="H23" s="608">
        <v>2</v>
      </c>
      <c r="I23" s="567">
        <f>H23/G23</f>
        <v>1</v>
      </c>
      <c r="J23" s="566"/>
      <c r="K23" s="566"/>
      <c r="L23" s="571">
        <v>6</v>
      </c>
      <c r="M23" s="571">
        <f>0+2+2+H23</f>
        <v>6</v>
      </c>
      <c r="N23" s="583">
        <f t="shared" si="0"/>
        <v>1</v>
      </c>
      <c r="O23" s="578"/>
      <c r="P23" s="579"/>
      <c r="Q23" s="579"/>
      <c r="R23" s="579"/>
      <c r="S23" s="579"/>
      <c r="T23" s="579"/>
      <c r="U23" s="579"/>
      <c r="V23" s="580"/>
    </row>
    <row r="24" spans="1:22" ht="51.75" customHeight="1" thickBot="1">
      <c r="A24" s="1440"/>
      <c r="B24" s="1444"/>
      <c r="C24" s="1447"/>
      <c r="D24" s="1447"/>
      <c r="E24" s="609" t="s">
        <v>1446</v>
      </c>
      <c r="F24" s="585" t="s">
        <v>1432</v>
      </c>
      <c r="G24" s="586">
        <v>0.2</v>
      </c>
      <c r="H24" s="587">
        <v>0.19</v>
      </c>
      <c r="I24" s="586">
        <f>H24/G24</f>
        <v>0.95</v>
      </c>
      <c r="J24" s="585"/>
      <c r="K24" s="585"/>
      <c r="L24" s="610">
        <v>1</v>
      </c>
      <c r="M24" s="610">
        <f>0.2+0.2+0.3+H24</f>
        <v>0.89</v>
      </c>
      <c r="N24" s="590">
        <f t="shared" si="0"/>
        <v>0.89</v>
      </c>
      <c r="O24" s="591"/>
      <c r="P24" s="592"/>
      <c r="Q24" s="592"/>
      <c r="R24" s="592"/>
      <c r="S24" s="592"/>
      <c r="T24" s="592"/>
      <c r="U24" s="592"/>
      <c r="V24" s="593"/>
    </row>
    <row r="25" spans="1:22" ht="13.5" customHeight="1" thickBot="1">
      <c r="A25" s="1440"/>
      <c r="B25" s="1459" t="s">
        <v>1447</v>
      </c>
      <c r="C25" s="1490"/>
      <c r="D25" s="1491" t="s">
        <v>1448</v>
      </c>
      <c r="E25" s="1456" t="s">
        <v>1449</v>
      </c>
      <c r="F25" s="1457"/>
      <c r="G25" s="1457"/>
      <c r="H25" s="1458"/>
      <c r="I25" s="547">
        <f>(I27+I28)/2</f>
        <v>1</v>
      </c>
      <c r="J25" s="611"/>
      <c r="K25" s="547"/>
      <c r="L25" s="597"/>
      <c r="M25" s="612"/>
      <c r="N25" s="597">
        <f>(N26+N27+N28+N29)/4</f>
        <v>1</v>
      </c>
      <c r="O25" s="598">
        <v>5.6800000000000003E-2</v>
      </c>
      <c r="P25" s="877">
        <f>'Anexo 5-2 Gastos'!K32</f>
        <v>209256040</v>
      </c>
      <c r="Q25" s="883">
        <f>'Anexo 5-2 Gastos'!L32</f>
        <v>106381320</v>
      </c>
      <c r="R25" s="890">
        <f>Q25/P25</f>
        <v>0.51</v>
      </c>
      <c r="S25" s="806">
        <f>166566316+(4267000)+184682954+(21000000-31800000)+201385081+(-5000000)+219388889+(-10132849)</f>
        <v>750357391</v>
      </c>
      <c r="T25" s="880">
        <f>170833316+161484366+155635020+P25</f>
        <v>697208742</v>
      </c>
      <c r="U25" s="888">
        <f>T25/S25</f>
        <v>0.93</v>
      </c>
      <c r="V25" s="889"/>
    </row>
    <row r="26" spans="1:22" ht="36">
      <c r="A26" s="1440"/>
      <c r="B26" s="1460"/>
      <c r="C26" s="1490"/>
      <c r="D26" s="1460"/>
      <c r="E26" s="613" t="s">
        <v>1450</v>
      </c>
      <c r="F26" s="558" t="s">
        <v>1451</v>
      </c>
      <c r="G26" s="614">
        <v>0</v>
      </c>
      <c r="H26" s="615">
        <v>0</v>
      </c>
      <c r="I26" s="569" t="s">
        <v>1433</v>
      </c>
      <c r="J26" s="617"/>
      <c r="K26" s="617"/>
      <c r="L26" s="618">
        <v>2</v>
      </c>
      <c r="M26" s="561">
        <f>0+0+1+1+H26</f>
        <v>2</v>
      </c>
      <c r="N26" s="600">
        <f>M26/L26</f>
        <v>1</v>
      </c>
      <c r="O26" s="619"/>
      <c r="P26" s="620"/>
      <c r="Q26" s="620"/>
      <c r="R26" s="621"/>
      <c r="S26" s="622"/>
      <c r="T26" s="622"/>
      <c r="U26" s="622"/>
      <c r="V26" s="603"/>
    </row>
    <row r="27" spans="1:22" ht="24">
      <c r="A27" s="1440"/>
      <c r="B27" s="1460"/>
      <c r="C27" s="1490"/>
      <c r="D27" s="1460"/>
      <c r="E27" s="581" t="s">
        <v>1452</v>
      </c>
      <c r="F27" s="566" t="s">
        <v>1432</v>
      </c>
      <c r="G27" s="623">
        <v>1</v>
      </c>
      <c r="H27" s="568">
        <v>1</v>
      </c>
      <c r="I27" s="569">
        <f>H27/G27</f>
        <v>1</v>
      </c>
      <c r="J27" s="624"/>
      <c r="K27" s="624"/>
      <c r="L27" s="576">
        <v>1</v>
      </c>
      <c r="M27" s="576">
        <f>(1+1+1+H27)/4</f>
        <v>1</v>
      </c>
      <c r="N27" s="600">
        <f>M27/L27</f>
        <v>1</v>
      </c>
      <c r="O27" s="625"/>
      <c r="P27" s="626"/>
      <c r="Q27" s="626"/>
      <c r="R27" s="627"/>
      <c r="S27" s="628"/>
      <c r="T27" s="628"/>
      <c r="U27" s="628"/>
      <c r="V27" s="580"/>
    </row>
    <row r="28" spans="1:22" ht="24">
      <c r="A28" s="1440"/>
      <c r="B28" s="1460"/>
      <c r="C28" s="1490"/>
      <c r="D28" s="1460"/>
      <c r="E28" s="581" t="s">
        <v>1453</v>
      </c>
      <c r="F28" s="566" t="s">
        <v>1451</v>
      </c>
      <c r="G28" s="629">
        <v>8</v>
      </c>
      <c r="H28" s="630">
        <v>16</v>
      </c>
      <c r="I28" s="569">
        <v>1</v>
      </c>
      <c r="J28" s="624"/>
      <c r="K28" s="624"/>
      <c r="L28" s="631">
        <v>27</v>
      </c>
      <c r="M28" s="571">
        <f>6+11+8+H28</f>
        <v>41</v>
      </c>
      <c r="N28" s="583">
        <v>1</v>
      </c>
      <c r="O28" s="625"/>
      <c r="P28" s="626"/>
      <c r="Q28" s="626"/>
      <c r="R28" s="627"/>
      <c r="S28" s="628"/>
      <c r="T28" s="628"/>
      <c r="U28" s="628"/>
      <c r="V28" s="580"/>
    </row>
    <row r="29" spans="1:22" ht="52.5" customHeight="1" thickBot="1">
      <c r="A29" s="1440"/>
      <c r="B29" s="1461"/>
      <c r="C29" s="1490"/>
      <c r="D29" s="1461"/>
      <c r="E29" s="632" t="s">
        <v>1454</v>
      </c>
      <c r="F29" s="585" t="s">
        <v>1451</v>
      </c>
      <c r="G29" s="633">
        <v>0</v>
      </c>
      <c r="H29" s="634">
        <v>0</v>
      </c>
      <c r="I29" s="569" t="s">
        <v>1433</v>
      </c>
      <c r="J29" s="635"/>
      <c r="K29" s="635"/>
      <c r="L29" s="636">
        <v>50</v>
      </c>
      <c r="M29" s="589">
        <f>45+0+39+H29</f>
        <v>84</v>
      </c>
      <c r="N29" s="590">
        <v>1</v>
      </c>
      <c r="O29" s="637"/>
      <c r="P29" s="638"/>
      <c r="Q29" s="638"/>
      <c r="R29" s="639"/>
      <c r="S29" s="640"/>
      <c r="T29" s="640"/>
      <c r="U29" s="640"/>
      <c r="V29" s="593"/>
    </row>
    <row r="30" spans="1:22" ht="13.5" customHeight="1" thickBot="1">
      <c r="A30" s="1440"/>
      <c r="B30" s="641"/>
      <c r="C30" s="1492" t="s">
        <v>1427</v>
      </c>
      <c r="D30" s="1495" t="s">
        <v>1455</v>
      </c>
      <c r="E30" s="1450" t="s">
        <v>1456</v>
      </c>
      <c r="F30" s="1451"/>
      <c r="G30" s="1451"/>
      <c r="H30" s="1452"/>
      <c r="I30" s="642">
        <f>+(I40+I31)/2</f>
        <v>0.47</v>
      </c>
      <c r="J30" s="912"/>
      <c r="K30" s="643"/>
      <c r="L30" s="644"/>
      <c r="M30" s="645"/>
      <c r="N30" s="646">
        <f>(N32+N33+N34+N35+N36+N37+N38+N39+N41+N42+N43+N44+N45+N46+N47)/15</f>
        <v>0.59</v>
      </c>
      <c r="O30" s="647">
        <f>O31+O40</f>
        <v>0.1353</v>
      </c>
      <c r="P30" s="800">
        <f>P31+P40</f>
        <v>27861817948.459999</v>
      </c>
      <c r="Q30" s="891">
        <f>Q31+Q40</f>
        <v>5273886776.46</v>
      </c>
      <c r="R30" s="892">
        <f>Q30/P30</f>
        <v>0.19</v>
      </c>
      <c r="S30" s="800">
        <f>S31+S40</f>
        <v>35426168101</v>
      </c>
      <c r="T30" s="799">
        <f>T31+T40</f>
        <v>34387732287.459999</v>
      </c>
      <c r="U30" s="801">
        <f>T30/S30</f>
        <v>0.97</v>
      </c>
      <c r="V30" s="802"/>
    </row>
    <row r="31" spans="1:22" ht="25.5" customHeight="1" thickBot="1">
      <c r="A31" s="1440"/>
      <c r="B31" s="648"/>
      <c r="C31" s="1493"/>
      <c r="D31" s="1496"/>
      <c r="E31" s="1456" t="s">
        <v>1457</v>
      </c>
      <c r="F31" s="1457"/>
      <c r="G31" s="1457"/>
      <c r="H31" s="1458"/>
      <c r="I31" s="547">
        <f>(+I32+I33+I34+I35+I36+I37+I38+I39)/8</f>
        <v>0.23</v>
      </c>
      <c r="J31" s="1328"/>
      <c r="K31" s="912"/>
      <c r="L31" s="555"/>
      <c r="M31" s="649"/>
      <c r="N31" s="650">
        <f>SUM(N32+N33+N34+N35+N36+N37+N38+N39)/8</f>
        <v>0.37</v>
      </c>
      <c r="O31" s="598">
        <v>7.4200000000000002E-2</v>
      </c>
      <c r="P31" s="805">
        <f>'Anexo 5-2 Gastos'!K34</f>
        <v>27187788386.459999</v>
      </c>
      <c r="Q31" s="806">
        <f>'Anexo 5-2 Gastos'!L34</f>
        <v>5068147603.46</v>
      </c>
      <c r="R31" s="801">
        <f>Q31/P31</f>
        <v>0.19</v>
      </c>
      <c r="S31" s="805">
        <f>633220535+(-13791506+43214000+132460670+310905000 +1172249882)+665861382+(6000000+139502092+12531620.5+1372889793.5+200000000+76000000)+742515208+(200000000+130691520)+832384944+(395898888+25959504563)</f>
        <v>33012038592</v>
      </c>
      <c r="T31" s="806">
        <f>1106008699+2562463174+1117342519+P31</f>
        <v>31973602778.459999</v>
      </c>
      <c r="U31" s="807">
        <f>T31/S31</f>
        <v>0.97</v>
      </c>
      <c r="V31" s="1299"/>
    </row>
    <row r="32" spans="1:22" ht="51.75" customHeight="1">
      <c r="A32" s="1440"/>
      <c r="B32" s="648"/>
      <c r="C32" s="1493"/>
      <c r="D32" s="1443"/>
      <c r="E32" s="753" t="s">
        <v>136</v>
      </c>
      <c r="F32" s="558" t="s">
        <v>1432</v>
      </c>
      <c r="G32" s="559">
        <v>0.33</v>
      </c>
      <c r="H32" s="828" t="str">
        <f>'2PORH'!D8</f>
        <v>SIN INFORMACION</v>
      </c>
      <c r="I32" s="559">
        <v>0</v>
      </c>
      <c r="J32" s="951"/>
      <c r="K32" s="969" t="s">
        <v>2103</v>
      </c>
      <c r="L32" s="599">
        <v>0.33</v>
      </c>
      <c r="M32" s="599">
        <f>0%+0%+0%</f>
        <v>0</v>
      </c>
      <c r="N32" s="600">
        <f>M32/L32</f>
        <v>0</v>
      </c>
      <c r="O32" s="601"/>
      <c r="P32" s="602"/>
      <c r="Q32" s="602"/>
      <c r="R32" s="602"/>
      <c r="S32" s="602"/>
      <c r="T32" s="602"/>
      <c r="U32" s="602"/>
      <c r="V32" s="1298" t="s">
        <v>1999</v>
      </c>
    </row>
    <row r="33" spans="1:22" ht="36.75" customHeight="1">
      <c r="A33" s="1440"/>
      <c r="B33" s="648"/>
      <c r="C33" s="1493"/>
      <c r="D33" s="1443"/>
      <c r="E33" s="607" t="s">
        <v>1458</v>
      </c>
      <c r="F33" s="566" t="s">
        <v>1432</v>
      </c>
      <c r="G33" s="567">
        <v>0.17</v>
      </c>
      <c r="H33" s="568">
        <v>0</v>
      </c>
      <c r="I33" s="559">
        <f>H33/G33</f>
        <v>0</v>
      </c>
      <c r="J33" s="654"/>
      <c r="K33" s="566"/>
      <c r="L33" s="576">
        <v>0.17</v>
      </c>
      <c r="M33" s="576">
        <f>0%+0%+0%+H33</f>
        <v>0</v>
      </c>
      <c r="N33" s="583">
        <f t="shared" ref="N33:N39" si="2">M33/L33</f>
        <v>0</v>
      </c>
      <c r="O33" s="578"/>
      <c r="P33" s="579"/>
      <c r="Q33" s="579"/>
      <c r="R33" s="579"/>
      <c r="S33" s="579"/>
      <c r="T33" s="579"/>
      <c r="U33" s="579"/>
      <c r="V33" s="746" t="s">
        <v>2000</v>
      </c>
    </row>
    <row r="34" spans="1:22" ht="36">
      <c r="A34" s="1440"/>
      <c r="B34" s="648"/>
      <c r="C34" s="1493"/>
      <c r="D34" s="1443"/>
      <c r="E34" s="754" t="s">
        <v>1459</v>
      </c>
      <c r="F34" s="566" t="s">
        <v>1432</v>
      </c>
      <c r="G34" s="567">
        <v>0.08</v>
      </c>
      <c r="H34" s="568" t="str">
        <f>'4UsoAguas'!D8</f>
        <v>SIN INFORMACION</v>
      </c>
      <c r="I34" s="559">
        <v>0</v>
      </c>
      <c r="J34" s="654"/>
      <c r="K34" s="969"/>
      <c r="L34" s="576">
        <v>0.08</v>
      </c>
      <c r="M34" s="576">
        <f>0%+0%+0%</f>
        <v>0</v>
      </c>
      <c r="N34" s="583">
        <f t="shared" si="2"/>
        <v>0</v>
      </c>
      <c r="O34" s="578"/>
      <c r="P34" s="579"/>
      <c r="Q34" s="579"/>
      <c r="R34" s="579"/>
      <c r="S34" s="579"/>
      <c r="T34" s="579"/>
      <c r="U34" s="579"/>
      <c r="V34" s="1298" t="s">
        <v>1803</v>
      </c>
    </row>
    <row r="35" spans="1:22" ht="24">
      <c r="A35" s="1440"/>
      <c r="B35" s="648"/>
      <c r="C35" s="1493"/>
      <c r="D35" s="1443"/>
      <c r="E35" s="607" t="s">
        <v>1460</v>
      </c>
      <c r="F35" s="566" t="s">
        <v>1432</v>
      </c>
      <c r="G35" s="567">
        <v>0.9</v>
      </c>
      <c r="H35" s="568">
        <v>0.23</v>
      </c>
      <c r="I35" s="559">
        <f>H35/G35</f>
        <v>0.26</v>
      </c>
      <c r="J35" s="654"/>
      <c r="K35" s="566"/>
      <c r="L35" s="576">
        <v>0.9</v>
      </c>
      <c r="M35" s="576">
        <v>0.85</v>
      </c>
      <c r="N35" s="583">
        <f t="shared" si="2"/>
        <v>0.94</v>
      </c>
      <c r="O35" s="578"/>
      <c r="P35" s="579"/>
      <c r="Q35" s="579"/>
      <c r="R35" s="579"/>
      <c r="S35" s="579"/>
      <c r="T35" s="579"/>
      <c r="U35" s="579"/>
      <c r="V35" s="653"/>
    </row>
    <row r="36" spans="1:22" ht="63.75" customHeight="1">
      <c r="A36" s="1440"/>
      <c r="B36" s="648"/>
      <c r="C36" s="1493"/>
      <c r="D36" s="1443"/>
      <c r="E36" s="607" t="s">
        <v>1461</v>
      </c>
      <c r="F36" s="566" t="s">
        <v>1451</v>
      </c>
      <c r="G36" s="566">
        <v>2000</v>
      </c>
      <c r="H36" s="608">
        <v>1100</v>
      </c>
      <c r="I36" s="559">
        <f>H36/G36</f>
        <v>0.55000000000000004</v>
      </c>
      <c r="J36" s="654"/>
      <c r="K36" s="566"/>
      <c r="L36" s="571">
        <v>12000</v>
      </c>
      <c r="M36" s="571">
        <f>4976+4460+3010+H36</f>
        <v>13546</v>
      </c>
      <c r="N36" s="583">
        <v>1</v>
      </c>
      <c r="O36" s="578"/>
      <c r="P36" s="579"/>
      <c r="Q36" s="579"/>
      <c r="R36" s="579"/>
      <c r="S36" s="579"/>
      <c r="T36" s="579"/>
      <c r="U36" s="579"/>
      <c r="V36" s="655"/>
    </row>
    <row r="37" spans="1:22" ht="37.5" customHeight="1">
      <c r="A37" s="1440"/>
      <c r="B37" s="648"/>
      <c r="C37" s="1493"/>
      <c r="D37" s="1443"/>
      <c r="E37" s="607" t="s">
        <v>1462</v>
      </c>
      <c r="F37" s="566" t="s">
        <v>1451</v>
      </c>
      <c r="G37" s="566">
        <v>4</v>
      </c>
      <c r="H37" s="608">
        <v>0</v>
      </c>
      <c r="I37" s="559">
        <f>H37/G37</f>
        <v>0</v>
      </c>
      <c r="J37" s="654"/>
      <c r="K37" s="969"/>
      <c r="L37" s="571">
        <v>4</v>
      </c>
      <c r="M37" s="571">
        <f>0+0+0+H37</f>
        <v>0</v>
      </c>
      <c r="N37" s="656">
        <f>M37/L37</f>
        <v>0</v>
      </c>
      <c r="O37" s="578"/>
      <c r="P37" s="579"/>
      <c r="Q37" s="579"/>
      <c r="R37" s="579"/>
      <c r="S37" s="579"/>
      <c r="T37" s="579"/>
      <c r="U37" s="657"/>
      <c r="V37" s="1298" t="s">
        <v>1803</v>
      </c>
    </row>
    <row r="38" spans="1:22" ht="88.5" customHeight="1">
      <c r="A38" s="1440"/>
      <c r="B38" s="648"/>
      <c r="C38" s="1493"/>
      <c r="D38" s="1443"/>
      <c r="E38" s="607" t="s">
        <v>1463</v>
      </c>
      <c r="F38" s="566" t="s">
        <v>1464</v>
      </c>
      <c r="G38" s="566">
        <v>5</v>
      </c>
      <c r="H38" s="608">
        <v>5</v>
      </c>
      <c r="I38" s="652">
        <f>H38/G38</f>
        <v>1</v>
      </c>
      <c r="J38" s="952"/>
      <c r="K38" s="654"/>
      <c r="L38" s="571">
        <v>13</v>
      </c>
      <c r="M38" s="571">
        <f>0+0+10+H38</f>
        <v>15</v>
      </c>
      <c r="N38" s="583">
        <v>1</v>
      </c>
      <c r="O38" s="578"/>
      <c r="P38" s="579"/>
      <c r="Q38" s="579"/>
      <c r="R38" s="579"/>
      <c r="S38" s="579"/>
      <c r="T38" s="579"/>
      <c r="U38" s="657"/>
      <c r="V38" s="579"/>
    </row>
    <row r="39" spans="1:22" ht="24.75" thickBot="1">
      <c r="A39" s="1440"/>
      <c r="B39" s="648"/>
      <c r="C39" s="1493"/>
      <c r="D39" s="1443"/>
      <c r="E39" s="609" t="s">
        <v>1465</v>
      </c>
      <c r="F39" s="585" t="s">
        <v>1451</v>
      </c>
      <c r="G39" s="585">
        <v>1</v>
      </c>
      <c r="H39" s="658"/>
      <c r="I39" s="652">
        <f>H39/G39</f>
        <v>0</v>
      </c>
      <c r="J39" s="953"/>
      <c r="K39" s="969"/>
      <c r="L39" s="589">
        <v>1</v>
      </c>
      <c r="M39" s="589">
        <f>0+0+0+H39</f>
        <v>0</v>
      </c>
      <c r="N39" s="590">
        <f t="shared" si="2"/>
        <v>0</v>
      </c>
      <c r="O39" s="591"/>
      <c r="P39" s="592"/>
      <c r="Q39" s="592"/>
      <c r="R39" s="592"/>
      <c r="S39" s="592"/>
      <c r="T39" s="592"/>
      <c r="U39" s="592"/>
      <c r="V39" s="969" t="s">
        <v>1803</v>
      </c>
    </row>
    <row r="40" spans="1:22" ht="15.75" customHeight="1" thickBot="1">
      <c r="A40" s="1440"/>
      <c r="B40" s="648"/>
      <c r="C40" s="1493"/>
      <c r="D40" s="1496"/>
      <c r="E40" s="1497" t="s">
        <v>1466</v>
      </c>
      <c r="F40" s="1498"/>
      <c r="G40" s="1498"/>
      <c r="H40" s="1499"/>
      <c r="I40" s="659">
        <f>(+I41+I42+I43+I44+I45+I46+I47)/7</f>
        <v>0.71</v>
      </c>
      <c r="J40" s="660"/>
      <c r="K40" s="661"/>
      <c r="L40" s="662"/>
      <c r="M40" s="663"/>
      <c r="N40" s="664">
        <f>(N41+N42+N43+N44+N45+N46+N47)/7</f>
        <v>0.84</v>
      </c>
      <c r="O40" s="665">
        <v>6.1100000000000002E-2</v>
      </c>
      <c r="P40" s="806">
        <f>'Anexo 5-2 Gastos'!K35</f>
        <v>674029562</v>
      </c>
      <c r="Q40" s="806">
        <f>'Anexo 5-2 Gastos'!L35</f>
        <v>205739173</v>
      </c>
      <c r="R40" s="890">
        <f>Q40/P40</f>
        <v>0.31</v>
      </c>
      <c r="S40" s="806">
        <f>450208494+(13791506+12210000)+451456834+(202337245)+521996964+(88098904)+601942445+(72087117)</f>
        <v>2414129509</v>
      </c>
      <c r="T40" s="880">
        <f>476210000+653794079+610095868+P40</f>
        <v>2414129509</v>
      </c>
      <c r="U40" s="888">
        <f>T40/S40</f>
        <v>1</v>
      </c>
      <c r="V40" s="893"/>
    </row>
    <row r="41" spans="1:22" ht="61.5" customHeight="1">
      <c r="A41" s="1440"/>
      <c r="B41" s="648"/>
      <c r="C41" s="1493"/>
      <c r="D41" s="1443"/>
      <c r="E41" s="666" t="s">
        <v>1467</v>
      </c>
      <c r="F41" s="558" t="s">
        <v>1451</v>
      </c>
      <c r="G41" s="558">
        <v>60</v>
      </c>
      <c r="H41" s="667">
        <v>40</v>
      </c>
      <c r="I41" s="616">
        <f t="shared" ref="I41:I47" si="3">H41/G41</f>
        <v>0.67</v>
      </c>
      <c r="J41" s="558"/>
      <c r="K41" s="558"/>
      <c r="L41" s="561">
        <v>60</v>
      </c>
      <c r="M41" s="561">
        <v>42</v>
      </c>
      <c r="N41" s="562">
        <f t="shared" ref="N41:N47" si="4">M41/L41</f>
        <v>0.7</v>
      </c>
      <c r="O41" s="601"/>
      <c r="P41" s="602"/>
      <c r="Q41" s="602"/>
      <c r="R41" s="602"/>
      <c r="S41" s="602"/>
      <c r="T41" s="602"/>
      <c r="U41" s="602"/>
      <c r="V41" s="969" t="s">
        <v>2002</v>
      </c>
    </row>
    <row r="42" spans="1:22" ht="63" customHeight="1">
      <c r="A42" s="1440"/>
      <c r="B42" s="648"/>
      <c r="C42" s="1493"/>
      <c r="D42" s="1443"/>
      <c r="E42" s="668" t="s">
        <v>1468</v>
      </c>
      <c r="F42" s="669" t="s">
        <v>1451</v>
      </c>
      <c r="G42" s="670">
        <v>36</v>
      </c>
      <c r="H42" s="671">
        <v>26</v>
      </c>
      <c r="I42" s="616">
        <f t="shared" si="3"/>
        <v>0.72</v>
      </c>
      <c r="J42" s="558"/>
      <c r="K42" s="566"/>
      <c r="L42" s="570">
        <v>36</v>
      </c>
      <c r="M42" s="570">
        <v>33</v>
      </c>
      <c r="N42" s="562">
        <f t="shared" si="4"/>
        <v>0.92</v>
      </c>
      <c r="O42" s="578"/>
      <c r="P42" s="579"/>
      <c r="Q42" s="579"/>
      <c r="R42" s="579"/>
      <c r="S42" s="579"/>
      <c r="T42" s="579"/>
      <c r="U42" s="579"/>
      <c r="V42" s="672"/>
    </row>
    <row r="43" spans="1:22" ht="41.25" customHeight="1">
      <c r="A43" s="1440"/>
      <c r="B43" s="648"/>
      <c r="C43" s="1493"/>
      <c r="D43" s="1443"/>
      <c r="E43" s="668" t="s">
        <v>1469</v>
      </c>
      <c r="F43" s="566" t="s">
        <v>1451</v>
      </c>
      <c r="G43" s="566">
        <v>27</v>
      </c>
      <c r="H43" s="608">
        <v>19</v>
      </c>
      <c r="I43" s="569">
        <f t="shared" si="3"/>
        <v>0.7</v>
      </c>
      <c r="J43" s="558"/>
      <c r="K43" s="566"/>
      <c r="L43" s="571">
        <v>27</v>
      </c>
      <c r="M43" s="571">
        <v>27</v>
      </c>
      <c r="N43" s="562">
        <f t="shared" si="4"/>
        <v>1</v>
      </c>
      <c r="O43" s="578"/>
      <c r="P43" s="579"/>
      <c r="Q43" s="579"/>
      <c r="R43" s="579"/>
      <c r="S43" s="579"/>
      <c r="T43" s="579"/>
      <c r="U43" s="579"/>
      <c r="V43" s="672"/>
    </row>
    <row r="44" spans="1:22" ht="48">
      <c r="A44" s="1440"/>
      <c r="B44" s="648"/>
      <c r="C44" s="1493"/>
      <c r="D44" s="1443"/>
      <c r="E44" s="668" t="s">
        <v>1470</v>
      </c>
      <c r="F44" s="566" t="s">
        <v>1451</v>
      </c>
      <c r="G44" s="566">
        <v>25</v>
      </c>
      <c r="H44" s="608">
        <v>25</v>
      </c>
      <c r="I44" s="569">
        <f t="shared" si="3"/>
        <v>1</v>
      </c>
      <c r="J44" s="558"/>
      <c r="K44" s="566"/>
      <c r="L44" s="571">
        <v>25</v>
      </c>
      <c r="M44" s="571">
        <v>25</v>
      </c>
      <c r="N44" s="562">
        <f t="shared" si="4"/>
        <v>1</v>
      </c>
      <c r="O44" s="578"/>
      <c r="P44" s="579"/>
      <c r="Q44" s="579"/>
      <c r="R44" s="579"/>
      <c r="S44" s="579"/>
      <c r="T44" s="579"/>
      <c r="U44" s="579"/>
      <c r="V44" s="672"/>
    </row>
    <row r="45" spans="1:22" ht="48">
      <c r="A45" s="1440"/>
      <c r="B45" s="648"/>
      <c r="C45" s="1493"/>
      <c r="D45" s="1443"/>
      <c r="E45" s="668" t="s">
        <v>1471</v>
      </c>
      <c r="F45" s="567" t="s">
        <v>1451</v>
      </c>
      <c r="G45" s="670">
        <v>60</v>
      </c>
      <c r="H45" s="671">
        <v>15</v>
      </c>
      <c r="I45" s="569">
        <f t="shared" si="3"/>
        <v>0.25</v>
      </c>
      <c r="J45" s="558"/>
      <c r="K45" s="566"/>
      <c r="L45" s="570">
        <v>60</v>
      </c>
      <c r="M45" s="570">
        <v>40</v>
      </c>
      <c r="N45" s="562">
        <f t="shared" si="4"/>
        <v>0.67</v>
      </c>
      <c r="O45" s="578"/>
      <c r="P45" s="579"/>
      <c r="Q45" s="579"/>
      <c r="R45" s="579"/>
      <c r="S45" s="579"/>
      <c r="T45" s="579"/>
      <c r="U45" s="579"/>
      <c r="V45" s="672"/>
    </row>
    <row r="46" spans="1:22" ht="36">
      <c r="A46" s="1440"/>
      <c r="B46" s="648"/>
      <c r="C46" s="1493"/>
      <c r="D46" s="1443"/>
      <c r="E46" s="607" t="s">
        <v>1472</v>
      </c>
      <c r="F46" s="566" t="s">
        <v>1451</v>
      </c>
      <c r="G46" s="566">
        <v>23</v>
      </c>
      <c r="H46" s="608">
        <v>20</v>
      </c>
      <c r="I46" s="569">
        <f t="shared" si="3"/>
        <v>0.87</v>
      </c>
      <c r="J46" s="558"/>
      <c r="K46" s="566"/>
      <c r="L46" s="571">
        <v>23</v>
      </c>
      <c r="M46" s="571">
        <v>20</v>
      </c>
      <c r="N46" s="562">
        <f t="shared" si="4"/>
        <v>0.87</v>
      </c>
      <c r="O46" s="578"/>
      <c r="P46" s="579"/>
      <c r="Q46" s="579"/>
      <c r="R46" s="579"/>
      <c r="S46" s="579"/>
      <c r="T46" s="579"/>
      <c r="U46" s="579"/>
      <c r="V46" s="672"/>
    </row>
    <row r="47" spans="1:22" ht="36.75" thickBot="1">
      <c r="A47" s="1440"/>
      <c r="B47" s="648"/>
      <c r="C47" s="1494"/>
      <c r="D47" s="1444"/>
      <c r="E47" s="609" t="s">
        <v>1473</v>
      </c>
      <c r="F47" s="585" t="s">
        <v>1451</v>
      </c>
      <c r="G47" s="585">
        <v>15</v>
      </c>
      <c r="H47" s="658">
        <v>11</v>
      </c>
      <c r="I47" s="588">
        <f t="shared" si="3"/>
        <v>0.73</v>
      </c>
      <c r="J47" s="558"/>
      <c r="K47" s="585"/>
      <c r="L47" s="589">
        <v>15</v>
      </c>
      <c r="M47" s="589">
        <v>11</v>
      </c>
      <c r="N47" s="590">
        <f t="shared" si="4"/>
        <v>0.73</v>
      </c>
      <c r="O47" s="673"/>
      <c r="P47" s="674"/>
      <c r="Q47" s="674"/>
      <c r="R47" s="674"/>
      <c r="S47" s="674"/>
      <c r="T47" s="674"/>
      <c r="U47" s="674"/>
      <c r="V47" s="1389" t="s">
        <v>1992</v>
      </c>
    </row>
    <row r="48" spans="1:22" ht="13.5" customHeight="1" thickBot="1">
      <c r="A48" s="1440"/>
      <c r="B48" s="1500" t="s">
        <v>1474</v>
      </c>
      <c r="C48" s="1501" t="s">
        <v>1427</v>
      </c>
      <c r="D48" s="1502" t="s">
        <v>1475</v>
      </c>
      <c r="E48" s="1506" t="s">
        <v>1476</v>
      </c>
      <c r="F48" s="1507"/>
      <c r="G48" s="1507"/>
      <c r="H48" s="1508"/>
      <c r="I48" s="547">
        <f>(I49+I60+I67)/3</f>
        <v>0.57999999999999996</v>
      </c>
      <c r="J48" s="548"/>
      <c r="K48" s="549"/>
      <c r="L48" s="928"/>
      <c r="M48" s="929"/>
      <c r="N48" s="646">
        <f>SUM(N49+N50+N51+N52+N53+N54+N55+N56+N57+N58+N61+N62+N63+N64+N65+N66+N68)/17</f>
        <v>0.71</v>
      </c>
      <c r="O48" s="675">
        <f>O49+O60+O67</f>
        <v>0.23580000000000001</v>
      </c>
      <c r="P48" s="878">
        <f>P49+P60+P67</f>
        <v>19668827269.220001</v>
      </c>
      <c r="Q48" s="676">
        <f>Q49+Q60+Q67</f>
        <v>2834779745.8600001</v>
      </c>
      <c r="R48" s="551">
        <f>Q48/P48</f>
        <v>0.14000000000000001</v>
      </c>
      <c r="S48" s="676">
        <f>S49+S60+S67</f>
        <v>39033956086</v>
      </c>
      <c r="T48" s="676">
        <f>T49+T60+T67</f>
        <v>36859908463.220001</v>
      </c>
      <c r="U48" s="677">
        <f>T48/S48</f>
        <v>0.94</v>
      </c>
      <c r="V48" s="557"/>
    </row>
    <row r="49" spans="1:22" ht="13.5" customHeight="1" thickBot="1">
      <c r="A49" s="1440"/>
      <c r="B49" s="1500"/>
      <c r="C49" s="1501"/>
      <c r="D49" s="1503"/>
      <c r="E49" s="1509" t="s">
        <v>1477</v>
      </c>
      <c r="F49" s="1510"/>
      <c r="G49" s="1510"/>
      <c r="H49" s="1511"/>
      <c r="I49" s="547">
        <f>(+I50+I51+I52+I53+I54+I55+I56+I57+I58)/9</f>
        <v>0.56999999999999995</v>
      </c>
      <c r="J49" s="549"/>
      <c r="K49" s="678"/>
      <c r="L49" s="595"/>
      <c r="M49" s="679"/>
      <c r="N49" s="612">
        <f>SUM(N50+N51+N52+N53+N54+N55+N56+N57+N58+N59)/10</f>
        <v>0.67</v>
      </c>
      <c r="O49" s="680">
        <v>8.3000000000000004E-2</v>
      </c>
      <c r="P49" s="879">
        <f>'Anexo 5-2 Gastos'!K37</f>
        <v>17271257195.5</v>
      </c>
      <c r="Q49" s="894">
        <f>'Anexo 5-2 Gastos'!L37</f>
        <v>1188697254.5</v>
      </c>
      <c r="R49" s="888">
        <f>Q49/P49</f>
        <v>7.0000000000000007E-2</v>
      </c>
      <c r="S49" s="805">
        <f>731549993+(165000000+48190639+ 719616063+531328880+416274470+4373757917+343467682)+764794213+(154733813+87000000+10000000+2472433828)+799066756+(338271251+323229145+1488822644)+844033875+(276040994+16151182326)</f>
        <v>31038794489</v>
      </c>
      <c r="T49" s="806">
        <f>6985717962+3483060967+2626160651+P49</f>
        <v>30366196775.5</v>
      </c>
      <c r="U49" s="895">
        <f>T49/S49</f>
        <v>0.98</v>
      </c>
      <c r="V49" s="557"/>
    </row>
    <row r="50" spans="1:22" ht="60.75" customHeight="1">
      <c r="A50" s="1440"/>
      <c r="B50" s="1500"/>
      <c r="C50" s="1501"/>
      <c r="D50" s="1504"/>
      <c r="E50" s="753" t="s">
        <v>1478</v>
      </c>
      <c r="F50" s="558" t="s">
        <v>1432</v>
      </c>
      <c r="G50" s="559">
        <v>0.42</v>
      </c>
      <c r="H50" s="560">
        <f>'9RUNAP'!D9</f>
        <v>0</v>
      </c>
      <c r="I50" s="569">
        <f>H50/G50</f>
        <v>0</v>
      </c>
      <c r="J50" s="558"/>
      <c r="K50" s="969"/>
      <c r="L50" s="599">
        <v>1</v>
      </c>
      <c r="M50" s="562">
        <f>0.06+0+0.52+H50</f>
        <v>0.57999999999999996</v>
      </c>
      <c r="N50" s="600">
        <f>M50/L50</f>
        <v>0.57999999999999996</v>
      </c>
      <c r="O50" s="561"/>
      <c r="P50" s="602"/>
      <c r="Q50" s="602"/>
      <c r="R50" s="602"/>
      <c r="S50" s="602"/>
      <c r="T50" s="602"/>
      <c r="U50" s="602"/>
      <c r="V50" s="969" t="s">
        <v>2003</v>
      </c>
    </row>
    <row r="51" spans="1:22" ht="60.75" customHeight="1">
      <c r="A51" s="1440"/>
      <c r="B51" s="1500"/>
      <c r="C51" s="1501"/>
      <c r="D51" s="1504"/>
      <c r="E51" s="754" t="s">
        <v>1719</v>
      </c>
      <c r="F51" s="566" t="s">
        <v>1432</v>
      </c>
      <c r="G51" s="567">
        <v>0.41</v>
      </c>
      <c r="H51" s="568">
        <f>'6POMCASejec'!D8</f>
        <v>0.75</v>
      </c>
      <c r="I51" s="559">
        <v>1</v>
      </c>
      <c r="J51" s="558"/>
      <c r="K51" s="566"/>
      <c r="L51" s="576">
        <v>0.41</v>
      </c>
      <c r="M51" s="576">
        <f>(0.33+0.41+0.41+H51)/4</f>
        <v>0.48</v>
      </c>
      <c r="N51" s="600">
        <v>1</v>
      </c>
      <c r="O51" s="571"/>
      <c r="P51" s="579"/>
      <c r="Q51" s="579"/>
      <c r="R51" s="579"/>
      <c r="S51" s="579"/>
      <c r="T51" s="579"/>
      <c r="U51" s="579"/>
      <c r="V51" s="580"/>
    </row>
    <row r="52" spans="1:22" ht="36">
      <c r="A52" s="1440"/>
      <c r="B52" s="1500"/>
      <c r="C52" s="1501"/>
      <c r="D52" s="1504"/>
      <c r="E52" s="754" t="s">
        <v>322</v>
      </c>
      <c r="F52" s="566" t="s">
        <v>1432</v>
      </c>
      <c r="G52" s="567">
        <v>0.34</v>
      </c>
      <c r="H52" s="568">
        <v>1</v>
      </c>
      <c r="I52" s="559">
        <v>1</v>
      </c>
      <c r="J52" s="558"/>
      <c r="K52" s="566"/>
      <c r="L52" s="576">
        <v>1</v>
      </c>
      <c r="M52" s="576">
        <v>1</v>
      </c>
      <c r="N52" s="600">
        <f>M52/L52</f>
        <v>1</v>
      </c>
      <c r="O52" s="571"/>
      <c r="P52" s="579"/>
      <c r="Q52" s="579"/>
      <c r="R52" s="579"/>
      <c r="S52" s="579"/>
      <c r="T52" s="579"/>
      <c r="U52" s="579"/>
      <c r="V52" s="580"/>
    </row>
    <row r="53" spans="1:22" ht="36">
      <c r="A53" s="1440"/>
      <c r="B53" s="1500"/>
      <c r="C53" s="1501"/>
      <c r="D53" s="1504"/>
      <c r="E53" s="754" t="s">
        <v>1479</v>
      </c>
      <c r="F53" s="566" t="s">
        <v>1432</v>
      </c>
      <c r="G53" s="567">
        <v>1</v>
      </c>
      <c r="H53" s="568">
        <f>'12PlanesAP'!D8</f>
        <v>0.78</v>
      </c>
      <c r="I53" s="569">
        <f t="shared" ref="I53:I58" si="5">H53/G53</f>
        <v>0.78</v>
      </c>
      <c r="J53" s="558"/>
      <c r="K53" s="566"/>
      <c r="L53" s="576">
        <v>1</v>
      </c>
      <c r="M53" s="576">
        <f>(1+1+H53)/2</f>
        <v>1.39</v>
      </c>
      <c r="N53" s="583">
        <v>1</v>
      </c>
      <c r="O53" s="571"/>
      <c r="P53" s="579"/>
      <c r="Q53" s="579"/>
      <c r="R53" s="579"/>
      <c r="S53" s="579"/>
      <c r="T53" s="579"/>
      <c r="U53" s="579"/>
      <c r="V53" s="580"/>
    </row>
    <row r="54" spans="1:22" ht="49.5" customHeight="1">
      <c r="A54" s="1440"/>
      <c r="B54" s="1500"/>
      <c r="C54" s="1501"/>
      <c r="D54" s="1504"/>
      <c r="E54" s="754" t="s">
        <v>1480</v>
      </c>
      <c r="F54" s="566" t="s">
        <v>1432</v>
      </c>
      <c r="G54" s="567">
        <v>0.25</v>
      </c>
      <c r="H54" s="568">
        <f>'15Restaura'!D8</f>
        <v>0.18</v>
      </c>
      <c r="I54" s="569">
        <f t="shared" si="5"/>
        <v>0.72</v>
      </c>
      <c r="J54" s="558"/>
      <c r="K54" s="566"/>
      <c r="L54" s="576">
        <v>1</v>
      </c>
      <c r="M54" s="576">
        <f>25%+25%+25%+I54</f>
        <v>1.47</v>
      </c>
      <c r="N54" s="583">
        <v>1</v>
      </c>
      <c r="O54" s="571"/>
      <c r="P54" s="579"/>
      <c r="Q54" s="579"/>
      <c r="R54" s="579"/>
      <c r="S54" s="579"/>
      <c r="T54" s="579"/>
      <c r="U54" s="579"/>
      <c r="V54" s="580"/>
    </row>
    <row r="55" spans="1:22" ht="36">
      <c r="A55" s="1440"/>
      <c r="B55" s="1500"/>
      <c r="C55" s="1501"/>
      <c r="D55" s="1504"/>
      <c r="E55" s="754" t="s">
        <v>593</v>
      </c>
      <c r="F55" s="566" t="s">
        <v>1432</v>
      </c>
      <c r="G55" s="567">
        <v>0.8</v>
      </c>
      <c r="H55" s="568">
        <f>'16MIZC'!D8</f>
        <v>0.48</v>
      </c>
      <c r="I55" s="569">
        <f t="shared" si="5"/>
        <v>0.6</v>
      </c>
      <c r="J55" s="558"/>
      <c r="K55" s="566"/>
      <c r="L55" s="576">
        <v>1</v>
      </c>
      <c r="M55" s="572">
        <f>0.16+0%+0</f>
        <v>0.16</v>
      </c>
      <c r="N55" s="583">
        <f>M55/L55</f>
        <v>0.16</v>
      </c>
      <c r="O55" s="571"/>
      <c r="P55" s="579"/>
      <c r="Q55" s="579"/>
      <c r="R55" s="579"/>
      <c r="S55" s="579"/>
      <c r="T55" s="579"/>
      <c r="U55" s="579"/>
      <c r="V55" s="580"/>
    </row>
    <row r="56" spans="1:22" ht="36">
      <c r="A56" s="1440"/>
      <c r="B56" s="1500"/>
      <c r="C56" s="1501"/>
      <c r="D56" s="1504"/>
      <c r="E56" s="607" t="s">
        <v>1481</v>
      </c>
      <c r="F56" s="566" t="s">
        <v>1451</v>
      </c>
      <c r="G56" s="566">
        <v>1</v>
      </c>
      <c r="H56" s="608">
        <v>0</v>
      </c>
      <c r="I56" s="569">
        <f t="shared" si="5"/>
        <v>0</v>
      </c>
      <c r="J56" s="558"/>
      <c r="K56" s="1273"/>
      <c r="L56" s="571">
        <v>1</v>
      </c>
      <c r="M56" s="571">
        <f>H56</f>
        <v>0</v>
      </c>
      <c r="N56" s="583">
        <f>M56/L56</f>
        <v>0</v>
      </c>
      <c r="O56" s="571"/>
      <c r="P56" s="579"/>
      <c r="Q56" s="579"/>
      <c r="R56" s="579"/>
      <c r="S56" s="579"/>
      <c r="T56" s="579"/>
      <c r="U56" s="579"/>
      <c r="V56" s="580"/>
    </row>
    <row r="57" spans="1:22" ht="47.25" customHeight="1">
      <c r="A57" s="1440"/>
      <c r="B57" s="1500"/>
      <c r="C57" s="1501"/>
      <c r="D57" s="1504"/>
      <c r="E57" s="681" t="s">
        <v>1802</v>
      </c>
      <c r="F57" s="566" t="s">
        <v>1451</v>
      </c>
      <c r="G57" s="566">
        <v>1</v>
      </c>
      <c r="H57" s="608">
        <v>1</v>
      </c>
      <c r="I57" s="569">
        <f t="shared" si="5"/>
        <v>1</v>
      </c>
      <c r="J57" s="558"/>
      <c r="K57" s="969"/>
      <c r="L57" s="571">
        <v>1</v>
      </c>
      <c r="M57" s="571">
        <f>0+0+H57</f>
        <v>1</v>
      </c>
      <c r="N57" s="583">
        <f>M57/L57</f>
        <v>1</v>
      </c>
      <c r="O57" s="571"/>
      <c r="P57" s="579"/>
      <c r="Q57" s="579"/>
      <c r="R57" s="579"/>
      <c r="S57" s="579"/>
      <c r="T57" s="579"/>
      <c r="U57" s="579"/>
      <c r="V57" s="969" t="s">
        <v>1803</v>
      </c>
    </row>
    <row r="58" spans="1:22" ht="48.75" customHeight="1">
      <c r="A58" s="1440"/>
      <c r="B58" s="1500"/>
      <c r="C58" s="1501"/>
      <c r="D58" s="1504"/>
      <c r="E58" s="681" t="s">
        <v>1482</v>
      </c>
      <c r="F58" s="566" t="s">
        <v>1464</v>
      </c>
      <c r="G58" s="566">
        <v>8</v>
      </c>
      <c r="H58" s="608">
        <v>0</v>
      </c>
      <c r="I58" s="569">
        <f t="shared" si="5"/>
        <v>0</v>
      </c>
      <c r="J58" s="558"/>
      <c r="K58" s="969"/>
      <c r="L58" s="571">
        <v>8</v>
      </c>
      <c r="M58" s="571">
        <f>0+0+H58</f>
        <v>0</v>
      </c>
      <c r="N58" s="583">
        <f>M58/L58</f>
        <v>0</v>
      </c>
      <c r="O58" s="571"/>
      <c r="P58" s="579"/>
      <c r="Q58" s="579"/>
      <c r="R58" s="579"/>
      <c r="S58" s="579"/>
      <c r="T58" s="579"/>
      <c r="U58" s="579"/>
      <c r="V58" s="969" t="s">
        <v>1803</v>
      </c>
    </row>
    <row r="59" spans="1:22" ht="36.75" thickBot="1">
      <c r="A59" s="1440"/>
      <c r="B59" s="1500"/>
      <c r="C59" s="1501"/>
      <c r="D59" s="1505"/>
      <c r="E59" s="682" t="s">
        <v>1483</v>
      </c>
      <c r="F59" s="585" t="s">
        <v>1451</v>
      </c>
      <c r="G59" s="585">
        <v>0</v>
      </c>
      <c r="H59" s="658">
        <v>0</v>
      </c>
      <c r="I59" s="569" t="s">
        <v>1433</v>
      </c>
      <c r="J59" s="558"/>
      <c r="K59" s="954"/>
      <c r="L59" s="589">
        <v>1</v>
      </c>
      <c r="M59" s="589">
        <f>0+1+H59</f>
        <v>1</v>
      </c>
      <c r="N59" s="590">
        <f>M59/L59</f>
        <v>1</v>
      </c>
      <c r="O59" s="589"/>
      <c r="P59" s="592"/>
      <c r="Q59" s="592"/>
      <c r="R59" s="592"/>
      <c r="S59" s="592"/>
      <c r="T59" s="592"/>
      <c r="U59" s="592"/>
      <c r="V59" s="593"/>
    </row>
    <row r="60" spans="1:22" ht="13.5" customHeight="1" thickBot="1">
      <c r="A60" s="1440"/>
      <c r="B60" s="683"/>
      <c r="C60" s="1544" t="s">
        <v>1484</v>
      </c>
      <c r="D60" s="1495" t="s">
        <v>1485</v>
      </c>
      <c r="E60" s="1453" t="s">
        <v>1486</v>
      </c>
      <c r="F60" s="1454"/>
      <c r="G60" s="1454"/>
      <c r="H60" s="1455"/>
      <c r="I60" s="547">
        <f>(I61+I62+I63+I64+I65+I66)/6</f>
        <v>0.61</v>
      </c>
      <c r="J60" s="611"/>
      <c r="K60" s="547"/>
      <c r="L60" s="597"/>
      <c r="M60" s="612"/>
      <c r="N60" s="597">
        <f>(N61+N62+N63+N64+N65+N66)/6</f>
        <v>0.8</v>
      </c>
      <c r="O60" s="598">
        <v>7.8600000000000003E-2</v>
      </c>
      <c r="P60" s="880">
        <f>'Anexo 5-2 Gastos'!K38</f>
        <v>2295957096.7199998</v>
      </c>
      <c r="Q60" s="806">
        <f>'Anexo 5-2 Gastos'!L38</f>
        <v>1627328356.3599999</v>
      </c>
      <c r="R60" s="896">
        <f>Q60/P60</f>
        <v>0.71</v>
      </c>
      <c r="S60" s="806">
        <f>640338090+(17900000+1339348894)+675396851+(38621330+32000000+189488034-161000000)+710820372+(-195414964)+755582314+(-10000000+1550374783)</f>
        <v>5583455704</v>
      </c>
      <c r="T60" s="880">
        <f>658238090+714018181+515405404+P60</f>
        <v>4183618771.7199998</v>
      </c>
      <c r="U60" s="888">
        <f>T60/S60</f>
        <v>0.75</v>
      </c>
      <c r="V60" s="889"/>
    </row>
    <row r="61" spans="1:22" ht="36">
      <c r="A61" s="1440"/>
      <c r="B61" s="683"/>
      <c r="C61" s="1545"/>
      <c r="D61" s="1443"/>
      <c r="E61" s="753" t="s">
        <v>1487</v>
      </c>
      <c r="F61" s="558" t="s">
        <v>1432</v>
      </c>
      <c r="G61" s="559">
        <v>1</v>
      </c>
      <c r="H61" s="828" t="str">
        <f>'11Forest'!D8</f>
        <v>SIN INFORMACION</v>
      </c>
      <c r="I61" s="569">
        <v>0</v>
      </c>
      <c r="J61" s="558"/>
      <c r="K61" s="558"/>
      <c r="L61" s="599">
        <v>1</v>
      </c>
      <c r="M61" s="1300">
        <f>0+0%+0</f>
        <v>0</v>
      </c>
      <c r="N61" s="600">
        <f t="shared" ref="N61:N66" si="6">M61/L61</f>
        <v>0</v>
      </c>
      <c r="O61" s="561"/>
      <c r="P61" s="602"/>
      <c r="Q61" s="602"/>
      <c r="R61" s="602"/>
      <c r="S61" s="602"/>
      <c r="T61" s="602"/>
      <c r="U61" s="602"/>
      <c r="V61" s="603"/>
    </row>
    <row r="62" spans="1:22" ht="51" customHeight="1">
      <c r="A62" s="1440"/>
      <c r="B62" s="683"/>
      <c r="C62" s="1545"/>
      <c r="D62" s="1443"/>
      <c r="E62" s="754" t="s">
        <v>1488</v>
      </c>
      <c r="F62" s="566" t="s">
        <v>1432</v>
      </c>
      <c r="G62" s="567">
        <v>1</v>
      </c>
      <c r="H62" s="568">
        <f>'13Amenaz'!D8</f>
        <v>0.66</v>
      </c>
      <c r="I62" s="569">
        <f>H62/G62</f>
        <v>0.66</v>
      </c>
      <c r="J62" s="558"/>
      <c r="K62" s="566"/>
      <c r="L62" s="576">
        <v>1</v>
      </c>
      <c r="M62" s="576">
        <f>(1+0.64+0.78)/3</f>
        <v>0.81</v>
      </c>
      <c r="N62" s="656">
        <f t="shared" si="6"/>
        <v>0.81</v>
      </c>
      <c r="O62" s="571"/>
      <c r="P62" s="579"/>
      <c r="Q62" s="579"/>
      <c r="R62" s="579"/>
      <c r="S62" s="579"/>
      <c r="T62" s="579"/>
      <c r="U62" s="579"/>
      <c r="V62" s="580"/>
    </row>
    <row r="63" spans="1:22" ht="36">
      <c r="A63" s="1440"/>
      <c r="B63" s="683"/>
      <c r="C63" s="1545"/>
      <c r="D63" s="1443"/>
      <c r="E63" s="754" t="s">
        <v>1489</v>
      </c>
      <c r="F63" s="567" t="s">
        <v>1432</v>
      </c>
      <c r="G63" s="567">
        <v>1</v>
      </c>
      <c r="H63" s="568">
        <f>'14Invasor'!D8</f>
        <v>1</v>
      </c>
      <c r="I63" s="569">
        <v>0</v>
      </c>
      <c r="J63" s="558"/>
      <c r="K63" s="566"/>
      <c r="L63" s="576">
        <v>1</v>
      </c>
      <c r="M63" s="576">
        <f>(1+1+1)/3</f>
        <v>1</v>
      </c>
      <c r="N63" s="583">
        <f t="shared" si="6"/>
        <v>1</v>
      </c>
      <c r="O63" s="571"/>
      <c r="P63" s="579"/>
      <c r="Q63" s="579"/>
      <c r="R63" s="579"/>
      <c r="S63" s="579"/>
      <c r="T63" s="579"/>
      <c r="U63" s="579"/>
      <c r="V63" s="580"/>
    </row>
    <row r="64" spans="1:22" ht="36">
      <c r="A64" s="1440"/>
      <c r="B64" s="683"/>
      <c r="C64" s="1545"/>
      <c r="D64" s="1443"/>
      <c r="E64" s="607" t="s">
        <v>1490</v>
      </c>
      <c r="F64" s="566" t="s">
        <v>1432</v>
      </c>
      <c r="G64" s="567">
        <v>1</v>
      </c>
      <c r="H64" s="568">
        <v>1</v>
      </c>
      <c r="I64" s="567">
        <f>H64/G64</f>
        <v>1</v>
      </c>
      <c r="J64" s="558"/>
      <c r="K64" s="566"/>
      <c r="L64" s="576">
        <v>1</v>
      </c>
      <c r="M64" s="576">
        <f>0+0.15+0.2+H64</f>
        <v>1.35</v>
      </c>
      <c r="N64" s="583">
        <v>1</v>
      </c>
      <c r="O64" s="571"/>
      <c r="P64" s="579"/>
      <c r="Q64" s="579"/>
      <c r="R64" s="579"/>
      <c r="S64" s="579"/>
      <c r="T64" s="579"/>
      <c r="U64" s="579"/>
      <c r="V64" s="580"/>
    </row>
    <row r="65" spans="1:22" ht="51" customHeight="1">
      <c r="A65" s="1440"/>
      <c r="B65" s="683"/>
      <c r="C65" s="1545"/>
      <c r="D65" s="1443"/>
      <c r="E65" s="607" t="s">
        <v>1491</v>
      </c>
      <c r="F65" s="566" t="s">
        <v>1451</v>
      </c>
      <c r="G65" s="566">
        <v>1</v>
      </c>
      <c r="H65" s="608">
        <v>1</v>
      </c>
      <c r="I65" s="567">
        <f>H65/G65</f>
        <v>1</v>
      </c>
      <c r="J65" s="558"/>
      <c r="K65" s="566"/>
      <c r="L65" s="571">
        <v>3</v>
      </c>
      <c r="M65" s="571">
        <f>0+1+1+H65</f>
        <v>3</v>
      </c>
      <c r="N65" s="583">
        <f t="shared" si="6"/>
        <v>1</v>
      </c>
      <c r="O65" s="571"/>
      <c r="P65" s="579"/>
      <c r="Q65" s="579"/>
      <c r="R65" s="579"/>
      <c r="S65" s="579"/>
      <c r="T65" s="579"/>
      <c r="U65" s="579"/>
      <c r="V65" s="580"/>
    </row>
    <row r="66" spans="1:22" ht="36.75" thickBot="1">
      <c r="A66" s="1440"/>
      <c r="B66" s="683"/>
      <c r="C66" s="1546"/>
      <c r="D66" s="1444"/>
      <c r="E66" s="609" t="s">
        <v>1492</v>
      </c>
      <c r="F66" s="585" t="s">
        <v>1451</v>
      </c>
      <c r="G66" s="684">
        <v>1</v>
      </c>
      <c r="H66" s="685">
        <v>1</v>
      </c>
      <c r="I66" s="567">
        <f>H66/G66</f>
        <v>1</v>
      </c>
      <c r="J66" s="686"/>
      <c r="K66" s="1274"/>
      <c r="L66" s="589">
        <v>3</v>
      </c>
      <c r="M66" s="589">
        <f>0+1+1+H66</f>
        <v>3</v>
      </c>
      <c r="N66" s="590">
        <f t="shared" si="6"/>
        <v>1</v>
      </c>
      <c r="O66" s="589"/>
      <c r="P66" s="592"/>
      <c r="Q66" s="592"/>
      <c r="R66" s="592"/>
      <c r="S66" s="592"/>
      <c r="T66" s="592"/>
      <c r="U66" s="592"/>
      <c r="V66" s="593"/>
    </row>
    <row r="67" spans="1:22" ht="13.5" thickBot="1">
      <c r="A67" s="1440"/>
      <c r="B67" s="1512"/>
      <c r="C67" s="1514" t="s">
        <v>1484</v>
      </c>
      <c r="D67" s="1491" t="s">
        <v>1448</v>
      </c>
      <c r="E67" s="1456" t="s">
        <v>1493</v>
      </c>
      <c r="F67" s="1457"/>
      <c r="G67" s="1457"/>
      <c r="H67" s="1457"/>
      <c r="I67" s="547">
        <f>I68</f>
        <v>0.56999999999999995</v>
      </c>
      <c r="J67" s="1396"/>
      <c r="K67" s="547"/>
      <c r="L67" s="597"/>
      <c r="M67" s="612"/>
      <c r="N67" s="597">
        <f>N68</f>
        <v>0.85</v>
      </c>
      <c r="O67" s="598">
        <v>7.4200000000000002E-2</v>
      </c>
      <c r="P67" s="880">
        <f>'Anexo 5-2 Gastos'!K39</f>
        <v>101612977</v>
      </c>
      <c r="Q67" s="806">
        <f>'Anexo 5-2 Gastos'!L39</f>
        <v>18754135</v>
      </c>
      <c r="R67" s="896">
        <f>Q67/P67</f>
        <v>0.18</v>
      </c>
      <c r="S67" s="806">
        <f>113192540+(1521000+2071143612)+122789910+(-37959417-32000000-2000000)+131338638+(-57933367)+140875444+(-39262467)</f>
        <v>2411705893</v>
      </c>
      <c r="T67" s="880">
        <f>2185857152+50830493+73405271</f>
        <v>2310092916</v>
      </c>
      <c r="U67" s="888">
        <f>T67/S67</f>
        <v>0.96</v>
      </c>
      <c r="V67" s="893"/>
    </row>
    <row r="68" spans="1:22" ht="43.5" customHeight="1" thickBot="1">
      <c r="A68" s="1440"/>
      <c r="B68" s="1513"/>
      <c r="C68" s="1514"/>
      <c r="D68" s="1461"/>
      <c r="E68" s="757" t="s">
        <v>789</v>
      </c>
      <c r="F68" s="686" t="s">
        <v>1432</v>
      </c>
      <c r="G68" s="687">
        <v>0.3</v>
      </c>
      <c r="H68" s="688">
        <f>'20Negoc'!D8</f>
        <v>0.17</v>
      </c>
      <c r="I68" s="687">
        <f>H68/G68</f>
        <v>0.56999999999999995</v>
      </c>
      <c r="J68" s="558"/>
      <c r="K68" s="686"/>
      <c r="L68" s="689">
        <v>1</v>
      </c>
      <c r="M68" s="689">
        <f>0.18+0.25+0.25+H68</f>
        <v>0.85</v>
      </c>
      <c r="N68" s="690">
        <f>M68/L68</f>
        <v>0.85</v>
      </c>
      <c r="O68" s="691"/>
      <c r="P68" s="692"/>
      <c r="Q68" s="692"/>
      <c r="R68" s="692"/>
      <c r="S68" s="692"/>
      <c r="T68" s="692"/>
      <c r="U68" s="692"/>
      <c r="V68" s="651"/>
    </row>
    <row r="69" spans="1:22" ht="13.5" thickBot="1">
      <c r="A69" s="1440"/>
      <c r="B69" s="1515"/>
      <c r="C69" s="1514"/>
      <c r="D69" s="1516" t="s">
        <v>1455</v>
      </c>
      <c r="E69" s="1520" t="s">
        <v>1494</v>
      </c>
      <c r="F69" s="1521"/>
      <c r="G69" s="1521"/>
      <c r="H69" s="1521"/>
      <c r="I69" s="547">
        <f>+(I70+I72)/2</f>
        <v>0.76</v>
      </c>
      <c r="J69" s="554"/>
      <c r="K69" s="643"/>
      <c r="L69" s="644"/>
      <c r="M69" s="926"/>
      <c r="N69" s="927">
        <f>(N71+N73)/2</f>
        <v>1</v>
      </c>
      <c r="O69" s="693">
        <f>O70+O72</f>
        <v>0.14410000000000001</v>
      </c>
      <c r="P69" s="800">
        <f>P70+P72</f>
        <v>1225186579.5</v>
      </c>
      <c r="Q69" s="800">
        <f>Q70+Q72</f>
        <v>762161711.5</v>
      </c>
      <c r="R69" s="801">
        <f>Q69/P69</f>
        <v>0.62</v>
      </c>
      <c r="S69" s="800">
        <f>S70+S72</f>
        <v>4997460127.5</v>
      </c>
      <c r="T69" s="799">
        <f>T70+T72</f>
        <v>3700406093</v>
      </c>
      <c r="U69" s="801">
        <f>T69/S69</f>
        <v>0.74</v>
      </c>
      <c r="V69" s="552"/>
    </row>
    <row r="70" spans="1:22" ht="13.5" thickBot="1">
      <c r="A70" s="1440"/>
      <c r="B70" s="1515"/>
      <c r="C70" s="1514"/>
      <c r="D70" s="1517"/>
      <c r="E70" s="1450" t="s">
        <v>1495</v>
      </c>
      <c r="F70" s="1451"/>
      <c r="G70" s="1451"/>
      <c r="H70" s="1452"/>
      <c r="I70" s="547">
        <f>I71</f>
        <v>0.52</v>
      </c>
      <c r="J70" s="678"/>
      <c r="K70" s="549"/>
      <c r="L70" s="679"/>
      <c r="M70" s="595"/>
      <c r="N70" s="612">
        <f>(N71)</f>
        <v>1</v>
      </c>
      <c r="O70" s="556">
        <v>7.8600000000000003E-2</v>
      </c>
      <c r="P70" s="806">
        <f>'Anexo 5-2 Gastos'!K41</f>
        <v>380810048</v>
      </c>
      <c r="Q70" s="806">
        <f>'Anexo 5-2 Gastos'!L41</f>
        <v>126506716</v>
      </c>
      <c r="R70" s="807">
        <f>Q70/P70</f>
        <v>0.33</v>
      </c>
      <c r="S70" s="806">
        <f>337772038+(140000000+208427000+65000000)+343074562+(-17368482+520000000)+363062048+(-45830392-28000000)+384893710+(-47726083+43642421)</f>
        <v>2266946822</v>
      </c>
      <c r="T70" s="806">
        <f>751199038+845706080+289231656</f>
        <v>1886136774</v>
      </c>
      <c r="U70" s="807">
        <f>T70/S70</f>
        <v>0.83</v>
      </c>
      <c r="V70" s="694"/>
    </row>
    <row r="71" spans="1:22" ht="24.75" thickBot="1">
      <c r="A71" s="1440"/>
      <c r="B71" s="1515"/>
      <c r="C71" s="1514"/>
      <c r="D71" s="1518"/>
      <c r="E71" s="758" t="s">
        <v>1496</v>
      </c>
      <c r="F71" s="695" t="s">
        <v>1432</v>
      </c>
      <c r="G71" s="687">
        <v>1</v>
      </c>
      <c r="H71" s="911">
        <f>'19GAU'!D8</f>
        <v>0.52</v>
      </c>
      <c r="I71" s="696">
        <f>H71/G71</f>
        <v>0.52</v>
      </c>
      <c r="J71" s="697"/>
      <c r="K71" s="697"/>
      <c r="L71" s="689">
        <v>1</v>
      </c>
      <c r="M71" s="689">
        <f>(0.17+0.44+0.7+H71)</f>
        <v>1.83</v>
      </c>
      <c r="N71" s="690">
        <v>1</v>
      </c>
      <c r="O71" s="698"/>
      <c r="P71" s="881"/>
      <c r="Q71" s="692"/>
      <c r="R71" s="692"/>
      <c r="S71" s="692"/>
      <c r="T71" s="692"/>
      <c r="U71" s="692"/>
      <c r="V71" s="651"/>
    </row>
    <row r="72" spans="1:22" ht="13.5" thickBot="1">
      <c r="A72" s="1440"/>
      <c r="B72" s="1515"/>
      <c r="C72" s="1514"/>
      <c r="D72" s="1517"/>
      <c r="E72" s="1450" t="s">
        <v>1497</v>
      </c>
      <c r="F72" s="1451"/>
      <c r="G72" s="1451"/>
      <c r="H72" s="1451"/>
      <c r="I72" s="547">
        <f>I73</f>
        <v>1</v>
      </c>
      <c r="J72" s="611"/>
      <c r="K72" s="547"/>
      <c r="L72" s="597"/>
      <c r="M72" s="612"/>
      <c r="N72" s="597">
        <f>(N73)</f>
        <v>1</v>
      </c>
      <c r="O72" s="699">
        <v>6.5500000000000003E-2</v>
      </c>
      <c r="P72" s="882">
        <f>'Anexo 5-2 Gastos'!K42</f>
        <v>844376531.5</v>
      </c>
      <c r="Q72" s="806">
        <f>'Anexo 5-2 Gastos'!L42</f>
        <v>635654995.5</v>
      </c>
      <c r="R72" s="888">
        <f>Q72/P72</f>
        <v>0.75</v>
      </c>
      <c r="S72" s="806">
        <f>337772038+(140000000+208427000+65000000)+343074562+(-17368482+520000000)+363062048+(-45830392-28000000)+384893710+(-38434849+497917670.5)</f>
        <v>2730513305.5</v>
      </c>
      <c r="T72" s="806">
        <f>399092733+686169172+729007414</f>
        <v>1814269319</v>
      </c>
      <c r="U72" s="897">
        <f>T72/S72</f>
        <v>0.66</v>
      </c>
      <c r="V72" s="898"/>
    </row>
    <row r="73" spans="1:22" ht="49.5" customHeight="1" thickBot="1">
      <c r="A73" s="1440"/>
      <c r="B73" s="1515"/>
      <c r="C73" s="1514"/>
      <c r="D73" s="1519"/>
      <c r="E73" s="758" t="s">
        <v>663</v>
      </c>
      <c r="F73" s="697" t="s">
        <v>1432</v>
      </c>
      <c r="G73" s="687">
        <v>0.25</v>
      </c>
      <c r="H73" s="688">
        <f>'18Sector'!D8</f>
        <v>0.25</v>
      </c>
      <c r="I73" s="696">
        <f>H73/G73</f>
        <v>1</v>
      </c>
      <c r="J73" s="697"/>
      <c r="K73" s="700"/>
      <c r="L73" s="689">
        <v>1</v>
      </c>
      <c r="M73" s="689">
        <f>0.25+0.25+0.25+H73</f>
        <v>1</v>
      </c>
      <c r="N73" s="690">
        <f>M73/L73</f>
        <v>1</v>
      </c>
      <c r="O73" s="701"/>
      <c r="P73" s="881"/>
      <c r="Q73" s="692"/>
      <c r="R73" s="692"/>
      <c r="S73" s="692"/>
      <c r="T73" s="692"/>
      <c r="U73" s="692"/>
      <c r="V73" s="651"/>
    </row>
    <row r="74" spans="1:22" ht="13.5" thickBot="1">
      <c r="A74" s="1440"/>
      <c r="B74" s="1459" t="s">
        <v>1447</v>
      </c>
      <c r="C74" s="1531" t="s">
        <v>1484</v>
      </c>
      <c r="D74" s="1533" t="s">
        <v>1498</v>
      </c>
      <c r="E74" s="1536" t="s">
        <v>1499</v>
      </c>
      <c r="F74" s="1537"/>
      <c r="G74" s="1537"/>
      <c r="H74" s="1538"/>
      <c r="I74" s="702">
        <f>SUM(I75+I77)/2</f>
        <v>0.48</v>
      </c>
      <c r="J74" s="554"/>
      <c r="K74" s="643"/>
      <c r="L74" s="644"/>
      <c r="M74" s="645"/>
      <c r="N74" s="646">
        <f>(N76+N78)/2</f>
        <v>0.7</v>
      </c>
      <c r="O74" s="704">
        <f>O75+O77</f>
        <v>0.13100000000000001</v>
      </c>
      <c r="P74" s="800">
        <f>P75+P77</f>
        <v>1046547705</v>
      </c>
      <c r="Q74" s="799">
        <f>Q75+Q77</f>
        <v>558500629</v>
      </c>
      <c r="R74" s="801">
        <f>Q74/P74</f>
        <v>0.53</v>
      </c>
      <c r="S74" s="799">
        <f>S75+S77</f>
        <v>3008460390</v>
      </c>
      <c r="T74" s="800">
        <f>T75+T77</f>
        <v>1912912685</v>
      </c>
      <c r="U74" s="801">
        <f>T74/S74</f>
        <v>0.64</v>
      </c>
      <c r="V74" s="808"/>
    </row>
    <row r="75" spans="1:22" ht="13.5" thickBot="1">
      <c r="A75" s="1440"/>
      <c r="B75" s="1460"/>
      <c r="C75" s="1532"/>
      <c r="D75" s="1533"/>
      <c r="E75" s="1539" t="s">
        <v>1500</v>
      </c>
      <c r="F75" s="1540"/>
      <c r="G75" s="1540"/>
      <c r="H75" s="1541"/>
      <c r="I75" s="547">
        <f>SUM(I76)</f>
        <v>0.48</v>
      </c>
      <c r="J75" s="678"/>
      <c r="K75" s="549"/>
      <c r="L75" s="612"/>
      <c r="M75" s="595"/>
      <c r="N75" s="612">
        <f>SUM(N76)</f>
        <v>0.7</v>
      </c>
      <c r="O75" s="699">
        <v>6.5500000000000003E-2</v>
      </c>
      <c r="P75" s="883">
        <f>'Anexo 5-2 Gastos'!K44</f>
        <v>789162678</v>
      </c>
      <c r="Q75" s="883">
        <f>'Anexo 5-2 Gastos'!L44</f>
        <v>486690804</v>
      </c>
      <c r="R75" s="888">
        <f>Q75/P75</f>
        <v>0.62</v>
      </c>
      <c r="S75" s="806">
        <f>413999764+(11171000)+433060064+(9484472-16000000+23000000+24000000)+450629158+(-53839181)+472214308+(-18812401+335760771)</f>
        <v>2084667955</v>
      </c>
      <c r="T75" s="805">
        <f>425170764+442544536+396789977</f>
        <v>1264505277</v>
      </c>
      <c r="U75" s="888">
        <f>T75/S75</f>
        <v>0.61</v>
      </c>
      <c r="V75" s="899"/>
    </row>
    <row r="76" spans="1:22" ht="26.25" thickBot="1">
      <c r="A76" s="1440"/>
      <c r="B76" s="1460"/>
      <c r="C76" s="1532"/>
      <c r="D76" s="1534"/>
      <c r="E76" s="1335" t="s">
        <v>1132</v>
      </c>
      <c r="F76" s="948" t="s">
        <v>1432</v>
      </c>
      <c r="G76" s="949">
        <v>1</v>
      </c>
      <c r="H76" s="986">
        <f>'27Educa'!D8</f>
        <v>0.48</v>
      </c>
      <c r="I76" s="696">
        <f>H76/G76</f>
        <v>0.48</v>
      </c>
      <c r="J76" s="697"/>
      <c r="K76" s="697"/>
      <c r="L76" s="689">
        <v>1</v>
      </c>
      <c r="M76" s="689">
        <v>0.7</v>
      </c>
      <c r="N76" s="690">
        <f>M76/L76</f>
        <v>0.7</v>
      </c>
      <c r="O76" s="705"/>
      <c r="P76" s="881"/>
      <c r="Q76" s="692"/>
      <c r="R76" s="692"/>
      <c r="S76" s="692"/>
      <c r="T76" s="692"/>
      <c r="U76" s="692"/>
      <c r="V76" s="651"/>
    </row>
    <row r="77" spans="1:22" ht="13.5" thickBot="1">
      <c r="A77" s="1440"/>
      <c r="B77" s="1460"/>
      <c r="C77" s="1532"/>
      <c r="D77" s="1533"/>
      <c r="E77" s="1542" t="s">
        <v>1501</v>
      </c>
      <c r="F77" s="1543"/>
      <c r="G77" s="1543"/>
      <c r="H77" s="1543"/>
      <c r="I77" s="547">
        <f>SUM(I78)</f>
        <v>0.48</v>
      </c>
      <c r="J77" s="594"/>
      <c r="K77" s="549"/>
      <c r="L77" s="597"/>
      <c r="M77" s="595"/>
      <c r="N77" s="597">
        <f>SUM(N78)</f>
        <v>0.7</v>
      </c>
      <c r="O77" s="699">
        <v>6.5500000000000003E-2</v>
      </c>
      <c r="P77" s="880">
        <f>'Anexo 5-2 Gastos'!K45</f>
        <v>257385027</v>
      </c>
      <c r="Q77" s="806">
        <f>'Anexo 5-2 Gastos'!L45</f>
        <v>71809825</v>
      </c>
      <c r="R77" s="897">
        <f>Q77/P77</f>
        <v>0.28000000000000003</v>
      </c>
      <c r="S77" s="806">
        <f>247240306+(6170000)+264243452+(-25767040-22000000)+274198844+(-45678154-50000000)+288367454+(-12982427)</f>
        <v>923792435</v>
      </c>
      <c r="T77" s="880">
        <f>253410306+216476412+178520690</f>
        <v>648407408</v>
      </c>
      <c r="U77" s="888">
        <f>T77/S77</f>
        <v>0.7</v>
      </c>
      <c r="V77" s="889"/>
    </row>
    <row r="78" spans="1:22" ht="26.25" thickBot="1">
      <c r="A78" s="1440"/>
      <c r="B78" s="1461"/>
      <c r="C78" s="1532"/>
      <c r="D78" s="1535"/>
      <c r="E78" s="1336" t="s">
        <v>1132</v>
      </c>
      <c r="F78" s="706" t="s">
        <v>1432</v>
      </c>
      <c r="G78" s="687">
        <v>1</v>
      </c>
      <c r="H78" s="986">
        <f>'27Educa'!D8</f>
        <v>0.48</v>
      </c>
      <c r="I78" s="707">
        <f>H78/G78</f>
        <v>0.48</v>
      </c>
      <c r="J78" s="706"/>
      <c r="K78" s="708"/>
      <c r="L78" s="689">
        <v>1</v>
      </c>
      <c r="M78" s="689">
        <v>0.7</v>
      </c>
      <c r="N78" s="690">
        <f>M78/L78</f>
        <v>0.7</v>
      </c>
      <c r="O78" s="698"/>
      <c r="P78" s="884"/>
      <c r="Q78" s="709"/>
      <c r="R78" s="709"/>
      <c r="S78" s="709"/>
      <c r="T78" s="709"/>
      <c r="U78" s="709"/>
      <c r="V78" s="710"/>
    </row>
    <row r="79" spans="1:22" ht="13.5" thickBot="1">
      <c r="A79" s="1440"/>
      <c r="B79" s="711"/>
      <c r="C79" s="712"/>
      <c r="D79" s="713"/>
      <c r="E79" s="1450" t="s">
        <v>1502</v>
      </c>
      <c r="F79" s="1451"/>
      <c r="G79" s="1451"/>
      <c r="H79" s="1452"/>
      <c r="I79" s="714">
        <f>+(I80+I88)/2</f>
        <v>0.31</v>
      </c>
      <c r="J79" s="644"/>
      <c r="K79" s="715"/>
      <c r="L79" s="644"/>
      <c r="M79" s="716"/>
      <c r="N79" s="646">
        <f>SUM(N81+N82+N83+N84+N85+N86+N87+N89+N90+N91+N92+N93)/12</f>
        <v>0.74</v>
      </c>
      <c r="O79" s="717">
        <f>O80+O88</f>
        <v>0.13539999999999999</v>
      </c>
      <c r="P79" s="885">
        <f>P80+P88</f>
        <v>5353393559.21</v>
      </c>
      <c r="Q79" s="900">
        <f>Q80+Q88</f>
        <v>699476151</v>
      </c>
      <c r="R79" s="801">
        <f>Q79/P79</f>
        <v>0.13</v>
      </c>
      <c r="S79" s="901">
        <f>S80+S88</f>
        <v>9319460893</v>
      </c>
      <c r="T79" s="800">
        <f>T80+T88</f>
        <v>4786890087</v>
      </c>
      <c r="U79" s="890">
        <f>T79/S79</f>
        <v>0.51</v>
      </c>
      <c r="V79" s="808"/>
    </row>
    <row r="80" spans="1:22" ht="24.75" customHeight="1" thickBot="1">
      <c r="A80" s="1440"/>
      <c r="B80" s="718"/>
      <c r="C80" s="1526" t="s">
        <v>1503</v>
      </c>
      <c r="D80" s="1528" t="s">
        <v>1455</v>
      </c>
      <c r="E80" s="1453" t="s">
        <v>1504</v>
      </c>
      <c r="F80" s="1454"/>
      <c r="G80" s="1454"/>
      <c r="H80" s="1455"/>
      <c r="I80" s="719">
        <f>SUM(I81+I82+I83+I84+I85+I86+I87)/7</f>
        <v>0.62</v>
      </c>
      <c r="J80" s="720"/>
      <c r="K80" s="720"/>
      <c r="L80" s="721"/>
      <c r="M80" s="561"/>
      <c r="N80" s="722">
        <f>(N81+N82+N83+N84+N85+N86+N87)/7</f>
        <v>0.79</v>
      </c>
      <c r="O80" s="723">
        <v>6.9900000000000004E-2</v>
      </c>
      <c r="P80" s="886">
        <f>'Anexo 5-2 Gastos'!K47</f>
        <v>1211099605</v>
      </c>
      <c r="Q80" s="902">
        <f>'Anexo 5-2 Gastos'!L47</f>
        <v>618411345</v>
      </c>
      <c r="R80" s="903">
        <f>Q80/P80</f>
        <v>0.51</v>
      </c>
      <c r="S80" s="904">
        <f>762514412+(95664567-74476565)+774477294+(6851405+5000000+54000000+37689958)+858800550+(111779256+176168494)+952403462+(258696143)</f>
        <v>4019568976</v>
      </c>
      <c r="T80" s="904">
        <f>783702414+866055775+1979533935</f>
        <v>3629292124</v>
      </c>
      <c r="U80" s="903">
        <f>T80/S80</f>
        <v>0.9</v>
      </c>
      <c r="V80" s="905"/>
    </row>
    <row r="81" spans="1:22" ht="51" customHeight="1">
      <c r="A81" s="1440"/>
      <c r="B81" s="725"/>
      <c r="C81" s="1526"/>
      <c r="D81" s="1529"/>
      <c r="E81" s="753" t="s">
        <v>168</v>
      </c>
      <c r="F81" s="726" t="s">
        <v>1432</v>
      </c>
      <c r="G81" s="616">
        <v>1</v>
      </c>
      <c r="H81" s="727">
        <f>'3PSMV'!D8</f>
        <v>1</v>
      </c>
      <c r="I81" s="569">
        <f>H81/G81</f>
        <v>1</v>
      </c>
      <c r="J81" s="728"/>
      <c r="K81" s="569"/>
      <c r="L81" s="576">
        <v>1</v>
      </c>
      <c r="M81" s="576">
        <f>(1+1+1+H81)/4</f>
        <v>1</v>
      </c>
      <c r="N81" s="572">
        <f>M81/L81</f>
        <v>1</v>
      </c>
      <c r="O81" s="631"/>
      <c r="P81" s="579"/>
      <c r="Q81" s="579"/>
      <c r="R81" s="729"/>
      <c r="S81" s="579"/>
      <c r="T81" s="579"/>
      <c r="U81" s="579"/>
      <c r="V81" s="593"/>
    </row>
    <row r="82" spans="1:22" ht="36">
      <c r="A82" s="1440"/>
      <c r="B82" s="725"/>
      <c r="C82" s="1526"/>
      <c r="D82" s="1529"/>
      <c r="E82" s="754" t="s">
        <v>207</v>
      </c>
      <c r="F82" s="730" t="s">
        <v>1432</v>
      </c>
      <c r="G82" s="569">
        <v>1</v>
      </c>
      <c r="H82" s="731">
        <f>'5PUEAA'!D8</f>
        <v>0.55000000000000004</v>
      </c>
      <c r="I82" s="569">
        <f t="shared" ref="I82:I87" si="7">H82/G82</f>
        <v>0.55000000000000004</v>
      </c>
      <c r="J82" s="728"/>
      <c r="K82" s="569"/>
      <c r="L82" s="576">
        <v>1</v>
      </c>
      <c r="M82" s="576">
        <f>(1+1+1+H82)/4</f>
        <v>0.89</v>
      </c>
      <c r="N82" s="572">
        <f>M82/L82</f>
        <v>0.89</v>
      </c>
      <c r="O82" s="631"/>
      <c r="P82" s="579"/>
      <c r="Q82" s="579"/>
      <c r="R82" s="579"/>
      <c r="S82" s="579"/>
      <c r="T82" s="579"/>
      <c r="U82" s="579"/>
      <c r="V82" s="593"/>
    </row>
    <row r="83" spans="1:22" ht="51" customHeight="1">
      <c r="A83" s="1440"/>
      <c r="B83" s="725"/>
      <c r="C83" s="1526"/>
      <c r="D83" s="1529"/>
      <c r="E83" s="754" t="s">
        <v>642</v>
      </c>
      <c r="F83" s="730" t="s">
        <v>1432</v>
      </c>
      <c r="G83" s="569">
        <v>1</v>
      </c>
      <c r="H83" s="732">
        <f>'17PGIRS'!D8</f>
        <v>0.93</v>
      </c>
      <c r="I83" s="569">
        <f t="shared" si="7"/>
        <v>0.93</v>
      </c>
      <c r="J83" s="728"/>
      <c r="K83" s="569"/>
      <c r="L83" s="576">
        <v>1</v>
      </c>
      <c r="M83" s="576">
        <f>(1+1+1+H83)/4</f>
        <v>0.98</v>
      </c>
      <c r="N83" s="572">
        <f>M83/L83</f>
        <v>0.98</v>
      </c>
      <c r="O83" s="631"/>
      <c r="P83" s="579"/>
      <c r="Q83" s="579"/>
      <c r="R83" s="579"/>
      <c r="S83" s="579"/>
      <c r="T83" s="579"/>
      <c r="U83" s="579"/>
      <c r="V83" s="593"/>
    </row>
    <row r="84" spans="1:22" ht="24">
      <c r="A84" s="1440"/>
      <c r="B84" s="725"/>
      <c r="C84" s="1526"/>
      <c r="D84" s="1529"/>
      <c r="E84" s="754" t="s">
        <v>1505</v>
      </c>
      <c r="F84" s="730" t="s">
        <v>1432</v>
      </c>
      <c r="G84" s="569">
        <v>1</v>
      </c>
      <c r="H84" s="731">
        <f>'22Autor'!D8</f>
        <v>0.56999999999999995</v>
      </c>
      <c r="I84" s="569">
        <f t="shared" si="7"/>
        <v>0.56999999999999995</v>
      </c>
      <c r="J84" s="728"/>
      <c r="K84" s="569"/>
      <c r="L84" s="576">
        <v>1</v>
      </c>
      <c r="M84" s="576">
        <f>(0.97+0.79+0.61)/3</f>
        <v>0.79</v>
      </c>
      <c r="N84" s="572">
        <f>M84/L84</f>
        <v>0.79</v>
      </c>
      <c r="O84" s="631"/>
      <c r="P84" s="579"/>
      <c r="Q84" s="579"/>
      <c r="R84" s="579"/>
      <c r="S84" s="579"/>
      <c r="T84" s="579"/>
      <c r="U84" s="579"/>
      <c r="V84" s="593"/>
    </row>
    <row r="85" spans="1:22" ht="54" customHeight="1">
      <c r="A85" s="1440"/>
      <c r="B85" s="725"/>
      <c r="C85" s="1526"/>
      <c r="D85" s="1529"/>
      <c r="E85" s="754" t="s">
        <v>1506</v>
      </c>
      <c r="F85" s="730" t="s">
        <v>1507</v>
      </c>
      <c r="G85" s="733">
        <v>90</v>
      </c>
      <c r="H85" s="671">
        <f>'21TiempoT'!E57</f>
        <v>135</v>
      </c>
      <c r="I85" s="569">
        <f>'21TiempoT'!D8</f>
        <v>0.67</v>
      </c>
      <c r="J85" s="624"/>
      <c r="K85" s="569"/>
      <c r="L85" s="570">
        <v>90</v>
      </c>
      <c r="M85" s="571">
        <f>123+94+84</f>
        <v>301</v>
      </c>
      <c r="N85" s="572">
        <f>IF(L85/M85&gt;1,1,L85/M85)</f>
        <v>0.3</v>
      </c>
      <c r="O85" s="631"/>
      <c r="P85" s="579"/>
      <c r="Q85" s="734"/>
      <c r="R85" s="579"/>
      <c r="S85" s="579"/>
      <c r="T85" s="579"/>
      <c r="U85" s="579"/>
      <c r="V85" s="1390" t="s">
        <v>1793</v>
      </c>
    </row>
    <row r="86" spans="1:22" ht="24">
      <c r="A86" s="1440"/>
      <c r="B86" s="725"/>
      <c r="C86" s="1526"/>
      <c r="D86" s="1529"/>
      <c r="E86" s="754" t="s">
        <v>1508</v>
      </c>
      <c r="F86" s="730" t="s">
        <v>1432</v>
      </c>
      <c r="G86" s="567">
        <v>0.95</v>
      </c>
      <c r="H86" s="731">
        <f>'23Sanc'!D8</f>
        <v>0.01</v>
      </c>
      <c r="I86" s="569">
        <f>H86/G86</f>
        <v>0.01</v>
      </c>
      <c r="J86" s="728"/>
      <c r="K86" s="569"/>
      <c r="L86" s="576">
        <v>0.95</v>
      </c>
      <c r="M86" s="576">
        <f>(0.48+0.11+0.08)</f>
        <v>0.67</v>
      </c>
      <c r="N86" s="572">
        <f>M86/L86</f>
        <v>0.71</v>
      </c>
      <c r="O86" s="631"/>
      <c r="P86" s="579"/>
      <c r="Q86" s="579"/>
      <c r="R86" s="579"/>
      <c r="S86" s="579"/>
      <c r="T86" s="579"/>
      <c r="U86" s="579"/>
      <c r="V86" s="593"/>
    </row>
    <row r="87" spans="1:22" ht="36.75" thickBot="1">
      <c r="A87" s="1440"/>
      <c r="B87" s="725"/>
      <c r="C87" s="1526"/>
      <c r="D87" s="1529"/>
      <c r="E87" s="609" t="s">
        <v>1509</v>
      </c>
      <c r="F87" s="730" t="s">
        <v>1451</v>
      </c>
      <c r="G87" s="735">
        <v>200</v>
      </c>
      <c r="H87" s="685">
        <v>128</v>
      </c>
      <c r="I87" s="588">
        <f t="shared" si="7"/>
        <v>0.64</v>
      </c>
      <c r="J87" s="736"/>
      <c r="K87" s="588"/>
      <c r="L87" s="737">
        <v>800</v>
      </c>
      <c r="M87" s="589">
        <f>198+191+187+H87</f>
        <v>704</v>
      </c>
      <c r="N87" s="738">
        <f>M87/L87</f>
        <v>0.88</v>
      </c>
      <c r="O87" s="636"/>
      <c r="P87" s="592"/>
      <c r="Q87" s="592"/>
      <c r="R87" s="592"/>
      <c r="S87" s="592"/>
      <c r="T87" s="592"/>
      <c r="U87" s="592"/>
      <c r="V87" s="593"/>
    </row>
    <row r="88" spans="1:22" ht="13.5" thickBot="1">
      <c r="A88" s="1440"/>
      <c r="B88" s="739"/>
      <c r="C88" s="1526"/>
      <c r="D88" s="1528"/>
      <c r="E88" s="1456" t="s">
        <v>1510</v>
      </c>
      <c r="F88" s="1457"/>
      <c r="G88" s="1457"/>
      <c r="H88" s="1457"/>
      <c r="I88" s="547">
        <f>(+I89+I90+I91+I92+I93)/5</f>
        <v>0</v>
      </c>
      <c r="J88" s="594"/>
      <c r="K88" s="549"/>
      <c r="L88" s="596"/>
      <c r="M88" s="595"/>
      <c r="N88" s="597">
        <f>(N89+N90+N91+N92+N93)/5</f>
        <v>0.66</v>
      </c>
      <c r="O88" s="598">
        <v>6.5500000000000003E-2</v>
      </c>
      <c r="P88" s="880">
        <f>'Anexo 5-2 Gastos'!K48</f>
        <v>4142293954.21</v>
      </c>
      <c r="Q88" s="806">
        <f>'Anexo 5-2 Gastos'!L48</f>
        <v>81064806</v>
      </c>
      <c r="R88" s="897">
        <f>Q88/P88</f>
        <v>0.02</v>
      </c>
      <c r="S88" s="806">
        <f>266529220+(256557001)+292674812+(-40162220+32000000+24000000+12000000)+312315583+(-39147939+40831506)+338286509+(-31386847+2216575889+1618818403)</f>
        <v>5299891917</v>
      </c>
      <c r="T88" s="806">
        <f>523086221+320512592+313999150</f>
        <v>1157597963</v>
      </c>
      <c r="U88" s="906">
        <f>T88/S88</f>
        <v>0.22</v>
      </c>
      <c r="V88" s="893"/>
    </row>
    <row r="89" spans="1:22" ht="51" customHeight="1">
      <c r="A89" s="1440"/>
      <c r="B89" s="739"/>
      <c r="C89" s="1526"/>
      <c r="D89" s="1529"/>
      <c r="E89" s="740" t="s">
        <v>1511</v>
      </c>
      <c r="F89" s="617" t="s">
        <v>1451</v>
      </c>
      <c r="G89" s="741">
        <v>115</v>
      </c>
      <c r="H89" s="615">
        <v>0</v>
      </c>
      <c r="I89" s="569">
        <f>H89/G89</f>
        <v>0</v>
      </c>
      <c r="J89" s="932"/>
      <c r="K89" s="617"/>
      <c r="L89" s="742">
        <v>200</v>
      </c>
      <c r="M89" s="561">
        <f>36+48+H89</f>
        <v>84</v>
      </c>
      <c r="N89" s="562">
        <f>M89/L89</f>
        <v>0.42</v>
      </c>
      <c r="O89" s="743"/>
      <c r="P89" s="622"/>
      <c r="Q89" s="622"/>
      <c r="R89" s="622"/>
      <c r="S89" s="622"/>
      <c r="T89" s="622"/>
      <c r="U89" s="622"/>
      <c r="V89" s="724" t="s">
        <v>2001</v>
      </c>
    </row>
    <row r="90" spans="1:22" ht="38.25">
      <c r="A90" s="1440"/>
      <c r="B90" s="739"/>
      <c r="C90" s="1526"/>
      <c r="D90" s="1529"/>
      <c r="E90" s="744" t="s">
        <v>1512</v>
      </c>
      <c r="F90" s="624" t="s">
        <v>1432</v>
      </c>
      <c r="G90" s="623">
        <v>1</v>
      </c>
      <c r="H90" s="568">
        <v>0</v>
      </c>
      <c r="I90" s="569">
        <f>H90/G90</f>
        <v>0</v>
      </c>
      <c r="J90" s="728"/>
      <c r="K90" s="624"/>
      <c r="L90" s="576">
        <v>1</v>
      </c>
      <c r="M90" s="576">
        <f>(1+0.98+H90)/3</f>
        <v>0.66</v>
      </c>
      <c r="N90" s="562">
        <f>M90/L90</f>
        <v>0.66</v>
      </c>
      <c r="O90" s="745"/>
      <c r="P90" s="628"/>
      <c r="Q90" s="628"/>
      <c r="R90" s="628"/>
      <c r="S90" s="628"/>
      <c r="T90" s="628"/>
      <c r="U90" s="1392"/>
      <c r="V90" s="1393" t="s">
        <v>2001</v>
      </c>
    </row>
    <row r="91" spans="1:22" ht="67.5" customHeight="1">
      <c r="A91" s="1440"/>
      <c r="B91" s="739"/>
      <c r="C91" s="1526"/>
      <c r="D91" s="1529"/>
      <c r="E91" s="744" t="s">
        <v>1513</v>
      </c>
      <c r="F91" s="629" t="s">
        <v>1514</v>
      </c>
      <c r="G91" s="747">
        <v>50</v>
      </c>
      <c r="H91" s="950">
        <v>0</v>
      </c>
      <c r="I91" s="569">
        <f>H91/G91</f>
        <v>0</v>
      </c>
      <c r="J91" s="624"/>
      <c r="K91" s="624"/>
      <c r="L91" s="631">
        <v>50</v>
      </c>
      <c r="M91" s="571">
        <f>(53.3+40+H91)/3</f>
        <v>31</v>
      </c>
      <c r="N91" s="562">
        <f>M91/L91</f>
        <v>0.62</v>
      </c>
      <c r="O91" s="745"/>
      <c r="P91" s="628"/>
      <c r="Q91" s="628"/>
      <c r="R91" s="628"/>
      <c r="S91" s="628"/>
      <c r="T91" s="628"/>
      <c r="U91" s="628"/>
      <c r="V91" s="724" t="s">
        <v>2001</v>
      </c>
    </row>
    <row r="92" spans="1:22" ht="67.5" customHeight="1">
      <c r="A92" s="1440"/>
      <c r="B92" s="739"/>
      <c r="C92" s="1526"/>
      <c r="D92" s="1529"/>
      <c r="E92" s="744" t="s">
        <v>1515</v>
      </c>
      <c r="F92" s="629" t="s">
        <v>1514</v>
      </c>
      <c r="G92" s="629">
        <v>100</v>
      </c>
      <c r="H92" s="950">
        <v>0</v>
      </c>
      <c r="I92" s="569">
        <f>H92/G92</f>
        <v>0</v>
      </c>
      <c r="J92" s="624"/>
      <c r="K92" s="624"/>
      <c r="L92" s="631">
        <v>100</v>
      </c>
      <c r="M92" s="571">
        <f>(109.1+75+H92)/3</f>
        <v>61</v>
      </c>
      <c r="N92" s="562">
        <f>M92/L92</f>
        <v>0.61</v>
      </c>
      <c r="O92" s="745"/>
      <c r="P92" s="628"/>
      <c r="Q92" s="628"/>
      <c r="R92" s="628"/>
      <c r="S92" s="628"/>
      <c r="T92" s="628"/>
      <c r="U92" s="628"/>
      <c r="V92" s="1391" t="s">
        <v>2001</v>
      </c>
    </row>
    <row r="93" spans="1:22" ht="24.75" thickBot="1">
      <c r="A93" s="1441"/>
      <c r="B93" s="739"/>
      <c r="C93" s="1527"/>
      <c r="D93" s="1530"/>
      <c r="E93" s="744" t="s">
        <v>1516</v>
      </c>
      <c r="F93" s="624" t="s">
        <v>1451</v>
      </c>
      <c r="G93" s="629">
        <v>23</v>
      </c>
      <c r="H93" s="630">
        <v>0</v>
      </c>
      <c r="I93" s="569">
        <f>H93/G93</f>
        <v>0</v>
      </c>
      <c r="J93" s="624"/>
      <c r="K93" s="624"/>
      <c r="L93" s="631">
        <v>23</v>
      </c>
      <c r="M93" s="571">
        <v>23</v>
      </c>
      <c r="N93" s="562">
        <f>M93/L93</f>
        <v>1</v>
      </c>
      <c r="O93" s="745"/>
      <c r="P93" s="628"/>
      <c r="Q93" s="628"/>
      <c r="R93" s="628"/>
      <c r="S93" s="628"/>
      <c r="T93" s="628"/>
      <c r="U93" s="628"/>
      <c r="V93" s="746"/>
    </row>
    <row r="94" spans="1:22" ht="13.5" thickBot="1">
      <c r="A94" s="1522" t="s">
        <v>1281</v>
      </c>
      <c r="B94" s="1523"/>
      <c r="C94" s="1523"/>
      <c r="D94" s="1523"/>
      <c r="E94" s="1523"/>
      <c r="F94" s="1523"/>
      <c r="G94" s="1523"/>
      <c r="H94" s="1524"/>
      <c r="I94" s="748">
        <f>+(I8+I30+I48+I69+I74+I79)/6</f>
        <v>0.56999999999999995</v>
      </c>
      <c r="J94" s="749"/>
      <c r="K94" s="750"/>
      <c r="L94" s="751"/>
      <c r="M94" s="649">
        <f>H94</f>
        <v>0</v>
      </c>
      <c r="N94" s="1429">
        <f>+(N8+N30+N48+N69+N74+N79)/6</f>
        <v>0.77</v>
      </c>
      <c r="O94" s="1430">
        <f>O8+O30+O48+O69+O74+O79</f>
        <v>1</v>
      </c>
      <c r="P94" s="1431">
        <f>P8+P30+P48+P69+P74+P79</f>
        <v>61256080865.879997</v>
      </c>
      <c r="Q94" s="1432">
        <f>Q8+Q30+Q48+Q69+Q74+Q79</f>
        <v>12281834296.219999</v>
      </c>
      <c r="R94" s="1433">
        <f>Q94/P94</f>
        <v>0.2</v>
      </c>
      <c r="S94" s="1432">
        <f>S8+S30+S48+S69+S74+S79</f>
        <v>113851161194.5</v>
      </c>
      <c r="T94" s="1431">
        <f>T8+T30+T48+T69+T74+T79</f>
        <v>102241081790.17</v>
      </c>
      <c r="U94" s="1434">
        <f>T94/S94</f>
        <v>0.9</v>
      </c>
      <c r="V94" s="752"/>
    </row>
    <row r="97" spans="7:14">
      <c r="I97" s="1377"/>
      <c r="N97" s="931"/>
    </row>
    <row r="100" spans="7:14">
      <c r="G100" s="936"/>
    </row>
  </sheetData>
  <mergeCells count="59">
    <mergeCell ref="A94:H94"/>
    <mergeCell ref="R1:V1"/>
    <mergeCell ref="E79:H79"/>
    <mergeCell ref="C80:C93"/>
    <mergeCell ref="D80:D93"/>
    <mergeCell ref="E80:H80"/>
    <mergeCell ref="E88:H88"/>
    <mergeCell ref="B74:B78"/>
    <mergeCell ref="C74:C78"/>
    <mergeCell ref="D74:D78"/>
    <mergeCell ref="E74:H74"/>
    <mergeCell ref="E75:H75"/>
    <mergeCell ref="E77:H77"/>
    <mergeCell ref="C60:C66"/>
    <mergeCell ref="D60:D66"/>
    <mergeCell ref="E60:H60"/>
    <mergeCell ref="B67:B68"/>
    <mergeCell ref="C67:C73"/>
    <mergeCell ref="D67:D68"/>
    <mergeCell ref="E67:H67"/>
    <mergeCell ref="B69:B73"/>
    <mergeCell ref="D69:D73"/>
    <mergeCell ref="E69:H69"/>
    <mergeCell ref="E70:H70"/>
    <mergeCell ref="E72:H72"/>
    <mergeCell ref="B48:B59"/>
    <mergeCell ref="C48:C59"/>
    <mergeCell ref="D48:D59"/>
    <mergeCell ref="E48:H48"/>
    <mergeCell ref="E49:H49"/>
    <mergeCell ref="C25:C29"/>
    <mergeCell ref="D25:D29"/>
    <mergeCell ref="E25:H25"/>
    <mergeCell ref="C30:C47"/>
    <mergeCell ref="D30:D47"/>
    <mergeCell ref="E30:H30"/>
    <mergeCell ref="E31:H31"/>
    <mergeCell ref="E40:H40"/>
    <mergeCell ref="E5:V5"/>
    <mergeCell ref="E6:E7"/>
    <mergeCell ref="F6:O6"/>
    <mergeCell ref="P6:U6"/>
    <mergeCell ref="V6:V7"/>
    <mergeCell ref="A2:R2"/>
    <mergeCell ref="A8:A93"/>
    <mergeCell ref="B8:B24"/>
    <mergeCell ref="C8:C24"/>
    <mergeCell ref="D8:D24"/>
    <mergeCell ref="E8:H8"/>
    <mergeCell ref="E9:H9"/>
    <mergeCell ref="E19:H19"/>
    <mergeCell ref="B25:B29"/>
    <mergeCell ref="E3:V3"/>
    <mergeCell ref="A4:C4"/>
    <mergeCell ref="D4:D7"/>
    <mergeCell ref="E4:V4"/>
    <mergeCell ref="A5:A7"/>
    <mergeCell ref="B5:B7"/>
    <mergeCell ref="C5:C7"/>
  </mergeCells>
  <printOptions horizontalCentered="1" verticalCentered="1"/>
  <pageMargins left="0" right="0" top="0.98425196850393704" bottom="0.98425196850393704" header="0" footer="0"/>
  <pageSetup scale="4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topLeftCell="D13" zoomScale="98" zoomScaleNormal="98" workbookViewId="0">
      <selection activeCell="H16" sqref="H16:J16"/>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7" max="7" width="12"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534</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4" t="s">
        <v>1203</v>
      </c>
      <c r="C8" s="214">
        <v>2018</v>
      </c>
      <c r="D8" s="218">
        <f>IF(E10="NO APLICA","NO APLICA",IF(E11="NO SE REPORTA","SIN INFORMACION",+K21))</f>
        <v>1</v>
      </c>
      <c r="E8" s="215"/>
      <c r="F8" s="6" t="s">
        <v>135</v>
      </c>
      <c r="G8" s="6"/>
      <c r="H8" s="6"/>
      <c r="I8" s="6"/>
      <c r="J8" s="6"/>
      <c r="K8" s="6"/>
    </row>
    <row r="9" spans="1:21">
      <c r="B9" s="483" t="s">
        <v>1204</v>
      </c>
      <c r="C9" s="87"/>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Gestión'!E60:H60</f>
        <v>Proyecto No 3.2. Protección y conservación de la biodiversidad (7).</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7"/>
      <c r="D14" s="6"/>
      <c r="E14" s="6"/>
      <c r="F14" s="6"/>
      <c r="G14" s="6"/>
      <c r="H14" s="6"/>
      <c r="I14" s="6"/>
      <c r="J14" s="6"/>
      <c r="K14" s="6"/>
    </row>
    <row r="15" spans="1:21" ht="15.75" thickBot="1">
      <c r="B15" s="1749" t="s">
        <v>2</v>
      </c>
      <c r="C15" s="101"/>
      <c r="D15" s="1685" t="s">
        <v>344</v>
      </c>
      <c r="E15" s="1686"/>
      <c r="F15" s="1686"/>
      <c r="G15" s="1686"/>
      <c r="H15" s="1686"/>
      <c r="I15" s="1686"/>
      <c r="J15" s="1686"/>
      <c r="K15" s="1686"/>
      <c r="L15" s="1733"/>
    </row>
    <row r="16" spans="1:21" ht="15.75" thickBot="1">
      <c r="B16" s="1750"/>
      <c r="C16" s="108"/>
      <c r="D16" s="1687"/>
      <c r="E16" s="1680" t="s">
        <v>554</v>
      </c>
      <c r="F16" s="1681"/>
      <c r="G16" s="1682"/>
      <c r="H16" s="1680" t="s">
        <v>555</v>
      </c>
      <c r="I16" s="1681"/>
      <c r="J16" s="1682"/>
      <c r="K16" s="1668" t="s">
        <v>475</v>
      </c>
      <c r="L16" s="14"/>
    </row>
    <row r="17" spans="2:12" ht="15.75" thickBot="1">
      <c r="B17" s="1750"/>
      <c r="C17" s="108"/>
      <c r="D17" s="1718"/>
      <c r="E17" s="66" t="s">
        <v>514</v>
      </c>
      <c r="F17" s="66" t="s">
        <v>515</v>
      </c>
      <c r="G17" s="66" t="s">
        <v>556</v>
      </c>
      <c r="H17" s="66" t="s">
        <v>514</v>
      </c>
      <c r="I17" s="66" t="s">
        <v>515</v>
      </c>
      <c r="J17" s="66" t="s">
        <v>556</v>
      </c>
      <c r="K17" s="1670"/>
      <c r="L17" s="14"/>
    </row>
    <row r="18" spans="2:12" ht="24.75" thickBot="1">
      <c r="B18" s="1750"/>
      <c r="C18" s="108"/>
      <c r="D18" s="41" t="s">
        <v>557</v>
      </c>
      <c r="E18" s="7"/>
      <c r="F18" s="7">
        <v>3</v>
      </c>
      <c r="G18" s="43">
        <f>+E18+F18</f>
        <v>3</v>
      </c>
      <c r="H18" s="7">
        <v>1</v>
      </c>
      <c r="I18" s="7">
        <v>4</v>
      </c>
      <c r="J18" s="43">
        <f>+H18+I18</f>
        <v>5</v>
      </c>
      <c r="K18" s="43">
        <f>+G18+J18</f>
        <v>8</v>
      </c>
      <c r="L18" s="14"/>
    </row>
    <row r="19" spans="2:12" ht="36.75" thickBot="1">
      <c r="B19" s="1750"/>
      <c r="C19" s="108"/>
      <c r="D19" s="41" t="s">
        <v>558</v>
      </c>
      <c r="E19" s="7"/>
      <c r="F19" s="7">
        <v>3</v>
      </c>
      <c r="G19" s="43">
        <f>+E19+F19</f>
        <v>3</v>
      </c>
      <c r="H19" s="7">
        <v>0</v>
      </c>
      <c r="I19" s="7">
        <v>1</v>
      </c>
      <c r="J19" s="43">
        <f>+H19+I19</f>
        <v>1</v>
      </c>
      <c r="K19" s="43">
        <f>+G19+J19</f>
        <v>4</v>
      </c>
      <c r="L19" s="14"/>
    </row>
    <row r="20" spans="2:12" ht="36.75" thickBot="1">
      <c r="B20" s="1750"/>
      <c r="C20" s="108"/>
      <c r="D20" s="41" t="s">
        <v>559</v>
      </c>
      <c r="E20" s="7"/>
      <c r="F20" s="7">
        <v>3</v>
      </c>
      <c r="G20" s="43">
        <f>+E20+F20</f>
        <v>3</v>
      </c>
      <c r="H20" s="7">
        <v>0</v>
      </c>
      <c r="I20" s="7">
        <v>1</v>
      </c>
      <c r="J20" s="43">
        <f>+H20+I20</f>
        <v>1</v>
      </c>
      <c r="K20" s="43">
        <f>+G20+J20</f>
        <v>4</v>
      </c>
      <c r="L20" s="14"/>
    </row>
    <row r="21" spans="2:12" ht="36.75" thickBot="1">
      <c r="B21" s="1750"/>
      <c r="C21" s="108"/>
      <c r="D21" s="41" t="s">
        <v>534</v>
      </c>
      <c r="E21" s="192" t="str">
        <f>IFERROR(E20/E19,"N.A.")</f>
        <v>N.A.</v>
      </c>
      <c r="F21" s="192">
        <f t="shared" ref="F21:K21" si="0">IFERROR(F20/F19,"N.A.")</f>
        <v>1</v>
      </c>
      <c r="G21" s="192">
        <f t="shared" si="0"/>
        <v>1</v>
      </c>
      <c r="H21" s="192" t="str">
        <f t="shared" si="0"/>
        <v>N.A.</v>
      </c>
      <c r="I21" s="192">
        <f t="shared" si="0"/>
        <v>1</v>
      </c>
      <c r="J21" s="142">
        <f t="shared" si="0"/>
        <v>1</v>
      </c>
      <c r="K21" s="142">
        <f t="shared" si="0"/>
        <v>1</v>
      </c>
      <c r="L21" s="14"/>
    </row>
    <row r="22" spans="2:12">
      <c r="B22" s="1750"/>
      <c r="C22" s="102"/>
      <c r="D22" s="1688"/>
      <c r="E22" s="1689"/>
      <c r="F22" s="1689"/>
      <c r="G22" s="1689"/>
      <c r="H22" s="1689"/>
      <c r="I22" s="1689"/>
      <c r="J22" s="1689"/>
      <c r="K22" s="1689"/>
      <c r="L22" s="1734"/>
    </row>
    <row r="23" spans="2:12">
      <c r="B23" s="1750"/>
      <c r="C23" s="102"/>
      <c r="D23" s="1674" t="s">
        <v>254</v>
      </c>
      <c r="E23" s="1675"/>
      <c r="F23" s="1675"/>
      <c r="G23" s="1675"/>
      <c r="H23" s="1675"/>
      <c r="I23" s="1675"/>
      <c r="J23" s="1675"/>
      <c r="K23" s="1675"/>
      <c r="L23" s="1735"/>
    </row>
    <row r="24" spans="2:12">
      <c r="B24" s="1750"/>
      <c r="C24" s="102"/>
      <c r="D24" s="1674" t="s">
        <v>560</v>
      </c>
      <c r="E24" s="1675"/>
      <c r="F24" s="1675"/>
      <c r="G24" s="1675"/>
      <c r="H24" s="1675"/>
      <c r="I24" s="1675"/>
      <c r="J24" s="1675"/>
      <c r="K24" s="1675"/>
      <c r="L24" s="1735"/>
    </row>
    <row r="25" spans="2:12" ht="15.75" thickBot="1">
      <c r="B25" s="1750"/>
      <c r="C25" s="102"/>
      <c r="D25" s="1716" t="s">
        <v>348</v>
      </c>
      <c r="E25" s="1717"/>
      <c r="F25" s="1717"/>
      <c r="G25" s="1717"/>
      <c r="H25" s="1717"/>
      <c r="I25" s="1717"/>
      <c r="J25" s="1717"/>
      <c r="K25" s="1717"/>
      <c r="L25" s="1736"/>
    </row>
    <row r="26" spans="2:12" ht="21" customHeight="1">
      <c r="B26" s="1750"/>
      <c r="C26" s="1758" t="s">
        <v>24</v>
      </c>
      <c r="D26" s="1737" t="s">
        <v>278</v>
      </c>
      <c r="E26" s="1729" t="s">
        <v>526</v>
      </c>
      <c r="F26" s="1729" t="s">
        <v>527</v>
      </c>
      <c r="G26" s="1729" t="s">
        <v>528</v>
      </c>
      <c r="H26" s="205" t="s">
        <v>481</v>
      </c>
      <c r="I26" s="205" t="s">
        <v>483</v>
      </c>
      <c r="J26" s="1729" t="s">
        <v>282</v>
      </c>
      <c r="K26" s="1729" t="s">
        <v>283</v>
      </c>
      <c r="L26" s="1729" t="s">
        <v>60</v>
      </c>
    </row>
    <row r="27" spans="2:12" ht="15.75" thickBot="1">
      <c r="B27" s="1750"/>
      <c r="C27" s="1759"/>
      <c r="D27" s="1739"/>
      <c r="E27" s="1730"/>
      <c r="F27" s="1730"/>
      <c r="G27" s="1730"/>
      <c r="H27" s="206" t="s">
        <v>482</v>
      </c>
      <c r="I27" s="206" t="s">
        <v>484</v>
      </c>
      <c r="J27" s="1730"/>
      <c r="K27" s="1730"/>
      <c r="L27" s="1730"/>
    </row>
    <row r="28" spans="2:12" ht="36.75" thickBot="1">
      <c r="B28" s="1750"/>
      <c r="C28" s="370"/>
      <c r="D28" s="31" t="s">
        <v>1819</v>
      </c>
      <c r="E28" s="31" t="s">
        <v>554</v>
      </c>
      <c r="F28" s="31" t="s">
        <v>515</v>
      </c>
      <c r="G28" s="30" t="s">
        <v>2060</v>
      </c>
      <c r="H28" s="211"/>
      <c r="I28" s="211"/>
      <c r="J28" s="211"/>
      <c r="K28" s="211"/>
      <c r="L28" s="211"/>
    </row>
    <row r="29" spans="2:12" ht="24.75" thickBot="1">
      <c r="B29" s="1750"/>
      <c r="C29" s="370"/>
      <c r="D29" s="31" t="s">
        <v>1819</v>
      </c>
      <c r="E29" s="31" t="s">
        <v>554</v>
      </c>
      <c r="F29" s="31" t="s">
        <v>515</v>
      </c>
      <c r="G29" s="30" t="s">
        <v>2061</v>
      </c>
      <c r="H29" s="211"/>
      <c r="I29" s="211"/>
      <c r="J29" s="211"/>
      <c r="K29" s="211"/>
      <c r="L29" s="211"/>
    </row>
    <row r="30" spans="2:12" ht="24.75" thickBot="1">
      <c r="B30" s="1750"/>
      <c r="C30" s="370"/>
      <c r="D30" s="31" t="s">
        <v>2062</v>
      </c>
      <c r="E30" s="31" t="s">
        <v>554</v>
      </c>
      <c r="F30" s="31" t="s">
        <v>515</v>
      </c>
      <c r="G30" s="30" t="s">
        <v>2063</v>
      </c>
      <c r="H30" s="211"/>
      <c r="I30" s="211"/>
      <c r="J30" s="211"/>
      <c r="K30" s="211"/>
      <c r="L30" s="211"/>
    </row>
    <row r="31" spans="2:12" ht="15.75" thickBot="1">
      <c r="B31" s="1750"/>
      <c r="C31" s="370"/>
      <c r="D31" s="31" t="s">
        <v>1819</v>
      </c>
      <c r="E31" s="31" t="s">
        <v>1669</v>
      </c>
      <c r="F31" s="31" t="s">
        <v>1670</v>
      </c>
      <c r="G31" s="31" t="s">
        <v>1671</v>
      </c>
      <c r="H31" s="211"/>
      <c r="I31" s="211"/>
      <c r="J31" s="211"/>
      <c r="K31" s="211"/>
      <c r="L31" s="211"/>
    </row>
    <row r="32" spans="2:12" ht="15.75" thickBot="1">
      <c r="B32" s="1750"/>
      <c r="C32" s="370"/>
      <c r="D32" s="31"/>
      <c r="E32" s="31"/>
      <c r="F32" s="31"/>
      <c r="G32" s="31"/>
      <c r="H32" s="211"/>
      <c r="I32" s="211"/>
      <c r="J32" s="211"/>
      <c r="K32" s="211"/>
      <c r="L32" s="211"/>
    </row>
    <row r="33" spans="2:12" ht="15.75" thickBot="1">
      <c r="B33" s="1750"/>
      <c r="C33" s="370"/>
      <c r="D33" s="31"/>
      <c r="E33" s="31"/>
      <c r="F33" s="31"/>
      <c r="G33" s="31"/>
      <c r="H33" s="211"/>
      <c r="I33" s="211"/>
      <c r="J33" s="211"/>
      <c r="K33" s="211"/>
      <c r="L33" s="211"/>
    </row>
    <row r="34" spans="2:12" ht="15.75" thickBot="1">
      <c r="B34" s="1750"/>
      <c r="C34" s="370"/>
      <c r="D34" s="31"/>
      <c r="E34" s="31"/>
      <c r="F34" s="31"/>
      <c r="G34" s="31"/>
      <c r="H34" s="211"/>
      <c r="I34" s="211"/>
      <c r="J34" s="211"/>
      <c r="K34" s="211"/>
      <c r="L34" s="211"/>
    </row>
    <row r="35" spans="2:12" ht="15.75" thickBot="1">
      <c r="B35" s="1750"/>
      <c r="C35" s="370"/>
      <c r="D35" s="31"/>
      <c r="E35" s="31"/>
      <c r="F35" s="31"/>
      <c r="G35" s="31"/>
      <c r="H35" s="211"/>
      <c r="I35" s="211"/>
      <c r="J35" s="211"/>
      <c r="K35" s="211"/>
      <c r="L35" s="211"/>
    </row>
    <row r="36" spans="2:12" ht="15.75" thickBot="1">
      <c r="B36" s="1750"/>
      <c r="C36" s="370"/>
      <c r="D36" s="31"/>
      <c r="E36" s="31"/>
      <c r="F36" s="31"/>
      <c r="G36" s="31"/>
      <c r="H36" s="211"/>
      <c r="I36" s="211"/>
      <c r="J36" s="211"/>
      <c r="K36" s="211"/>
      <c r="L36" s="211"/>
    </row>
    <row r="37" spans="2:12" ht="15.75" thickBot="1">
      <c r="B37" s="1751"/>
      <c r="C37" s="109"/>
      <c r="D37" s="27"/>
      <c r="E37" s="40" t="s">
        <v>157</v>
      </c>
      <c r="F37" s="27"/>
      <c r="G37" s="27"/>
      <c r="H37" s="196">
        <f>SUM(H28:H36)</f>
        <v>0</v>
      </c>
      <c r="I37" s="196">
        <f>SUM(I28:I36)</f>
        <v>0</v>
      </c>
      <c r="J37" s="196">
        <f>SUM(J28:J36)</f>
        <v>0</v>
      </c>
      <c r="K37" s="196">
        <f>SUM(K28:K36)</f>
        <v>0</v>
      </c>
      <c r="L37" s="211"/>
    </row>
    <row r="38" spans="2:12" ht="36" customHeight="1" thickBot="1">
      <c r="B38" s="72" t="s">
        <v>39</v>
      </c>
      <c r="C38" s="107"/>
      <c r="D38" s="1680" t="s">
        <v>561</v>
      </c>
      <c r="E38" s="1681"/>
      <c r="F38" s="1681"/>
      <c r="G38" s="1681"/>
      <c r="H38" s="1681"/>
      <c r="I38" s="1681"/>
      <c r="J38" s="1681"/>
      <c r="K38" s="1681"/>
      <c r="L38" s="1720"/>
    </row>
    <row r="39" spans="2:12" ht="24" customHeight="1" thickBot="1">
      <c r="B39" s="72" t="s">
        <v>41</v>
      </c>
      <c r="C39" s="107"/>
      <c r="D39" s="1680" t="s">
        <v>562</v>
      </c>
      <c r="E39" s="1681"/>
      <c r="F39" s="1681"/>
      <c r="G39" s="1681"/>
      <c r="H39" s="1681"/>
      <c r="I39" s="1681"/>
      <c r="J39" s="1681"/>
      <c r="K39" s="1681"/>
      <c r="L39" s="1720"/>
    </row>
    <row r="40" spans="2:12" ht="15.75" thickBot="1">
      <c r="B40" s="2"/>
      <c r="C40" s="75"/>
      <c r="D40" s="6"/>
      <c r="E40" s="6"/>
      <c r="F40" s="6"/>
      <c r="G40" s="6"/>
      <c r="H40" s="6"/>
      <c r="I40" s="6"/>
      <c r="J40" s="6"/>
      <c r="K40" s="6"/>
    </row>
    <row r="41" spans="2:12" ht="24" customHeight="1" thickBot="1">
      <c r="B41" s="1671" t="s">
        <v>43</v>
      </c>
      <c r="C41" s="1672"/>
      <c r="D41" s="1672"/>
      <c r="E41" s="1673"/>
      <c r="F41" s="6"/>
      <c r="G41" s="6"/>
      <c r="H41" s="6"/>
      <c r="I41" s="6"/>
      <c r="J41" s="6"/>
      <c r="K41" s="6"/>
    </row>
    <row r="42" spans="2:12" ht="15.75" thickBot="1">
      <c r="B42" s="1668">
        <v>1</v>
      </c>
      <c r="C42" s="93"/>
      <c r="D42" s="49" t="s">
        <v>44</v>
      </c>
      <c r="E42" s="31" t="s">
        <v>1616</v>
      </c>
      <c r="F42" s="6"/>
      <c r="G42" s="6"/>
      <c r="H42" s="6"/>
      <c r="I42" s="6"/>
      <c r="J42" s="6"/>
      <c r="K42" s="6"/>
    </row>
    <row r="43" spans="2:12" ht="15.75" thickBot="1">
      <c r="B43" s="1669"/>
      <c r="C43" s="93"/>
      <c r="D43" s="41" t="s">
        <v>45</v>
      </c>
      <c r="E43" s="31" t="s">
        <v>1816</v>
      </c>
      <c r="F43" s="6"/>
      <c r="G43" s="6"/>
      <c r="H43" s="6"/>
      <c r="I43" s="6"/>
      <c r="J43" s="6"/>
      <c r="K43" s="6"/>
    </row>
    <row r="44" spans="2:12" ht="15.75" thickBot="1">
      <c r="B44" s="1669"/>
      <c r="C44" s="93"/>
      <c r="D44" s="41" t="s">
        <v>46</v>
      </c>
      <c r="E44" s="31" t="s">
        <v>2032</v>
      </c>
      <c r="F44" s="6"/>
      <c r="G44" s="6"/>
      <c r="H44" s="6"/>
      <c r="I44" s="6"/>
      <c r="J44" s="6"/>
      <c r="K44" s="6"/>
    </row>
    <row r="45" spans="2:12" ht="15.75" thickBot="1">
      <c r="B45" s="1669"/>
      <c r="C45" s="93"/>
      <c r="D45" s="41" t="s">
        <v>47</v>
      </c>
      <c r="E45" s="31" t="s">
        <v>2039</v>
      </c>
      <c r="F45" s="6"/>
      <c r="G45" s="6"/>
      <c r="H45" s="6"/>
      <c r="I45" s="6"/>
      <c r="J45" s="6"/>
      <c r="K45" s="6"/>
    </row>
    <row r="46" spans="2:12" ht="15.75" thickBot="1">
      <c r="B46" s="1669"/>
      <c r="C46" s="93"/>
      <c r="D46" s="41" t="s">
        <v>48</v>
      </c>
      <c r="E46" s="31" t="s">
        <v>2040</v>
      </c>
      <c r="F46" s="6"/>
      <c r="G46" s="6"/>
      <c r="H46" s="6"/>
      <c r="I46" s="6"/>
      <c r="J46" s="6"/>
      <c r="K46" s="6"/>
    </row>
    <row r="47" spans="2:12" ht="15.75" thickBot="1">
      <c r="B47" s="1669"/>
      <c r="C47" s="93"/>
      <c r="D47" s="41" t="s">
        <v>49</v>
      </c>
      <c r="E47" s="31" t="s">
        <v>1818</v>
      </c>
      <c r="F47" s="6"/>
      <c r="G47" s="6"/>
      <c r="H47" s="6"/>
      <c r="I47" s="6"/>
      <c r="J47" s="6"/>
      <c r="K47" s="6"/>
    </row>
    <row r="48" spans="2:12" ht="15.75" thickBot="1">
      <c r="B48" s="1670"/>
      <c r="C48" s="3"/>
      <c r="D48" s="41" t="s">
        <v>50</v>
      </c>
      <c r="E48" s="31" t="s">
        <v>1607</v>
      </c>
      <c r="F48" s="6"/>
      <c r="G48" s="6"/>
      <c r="H48" s="6"/>
      <c r="I48" s="6"/>
      <c r="J48" s="6"/>
      <c r="K48" s="6"/>
    </row>
    <row r="49" spans="2:11" ht="15.75" thickBot="1">
      <c r="B49" s="2"/>
      <c r="C49" s="75"/>
      <c r="D49" s="6"/>
      <c r="E49" s="6"/>
      <c r="F49" s="6"/>
      <c r="G49" s="6"/>
      <c r="H49" s="6"/>
      <c r="I49" s="6"/>
      <c r="J49" s="6"/>
      <c r="K49" s="6"/>
    </row>
    <row r="50" spans="2:11" ht="15.75" thickBot="1">
      <c r="B50" s="1671" t="s">
        <v>51</v>
      </c>
      <c r="C50" s="1672"/>
      <c r="D50" s="1672"/>
      <c r="E50" s="1673"/>
      <c r="F50" s="6"/>
      <c r="G50" s="6"/>
      <c r="H50" s="6"/>
      <c r="I50" s="6"/>
      <c r="J50" s="6"/>
      <c r="K50" s="6"/>
    </row>
    <row r="51" spans="2:11" ht="15.75" thickBot="1">
      <c r="B51" s="1668">
        <v>1</v>
      </c>
      <c r="C51" s="93"/>
      <c r="D51" s="49" t="s">
        <v>44</v>
      </c>
      <c r="E51" s="482" t="s">
        <v>52</v>
      </c>
      <c r="F51" s="6"/>
      <c r="G51" s="6"/>
      <c r="H51" s="6"/>
      <c r="I51" s="6"/>
      <c r="J51" s="6"/>
      <c r="K51" s="6"/>
    </row>
    <row r="52" spans="2:11" ht="15.75" thickBot="1">
      <c r="B52" s="1669"/>
      <c r="C52" s="93"/>
      <c r="D52" s="41" t="s">
        <v>45</v>
      </c>
      <c r="E52" s="482" t="s">
        <v>53</v>
      </c>
      <c r="F52" s="6"/>
      <c r="G52" s="6"/>
      <c r="H52" s="6"/>
      <c r="I52" s="6"/>
      <c r="J52" s="6"/>
      <c r="K52" s="6"/>
    </row>
    <row r="53" spans="2:11" ht="15.75" thickBot="1">
      <c r="B53" s="1669"/>
      <c r="C53" s="93"/>
      <c r="D53" s="41" t="s">
        <v>46</v>
      </c>
      <c r="E53" s="307"/>
      <c r="F53" s="6"/>
      <c r="G53" s="6"/>
      <c r="H53" s="6"/>
      <c r="I53" s="6"/>
      <c r="J53" s="6"/>
      <c r="K53" s="6"/>
    </row>
    <row r="54" spans="2:11" ht="15.75" thickBot="1">
      <c r="B54" s="1669"/>
      <c r="C54" s="93"/>
      <c r="D54" s="41" t="s">
        <v>47</v>
      </c>
      <c r="E54" s="307"/>
      <c r="F54" s="6"/>
      <c r="G54" s="6"/>
      <c r="H54" s="6"/>
      <c r="I54" s="6"/>
      <c r="J54" s="6"/>
      <c r="K54" s="6"/>
    </row>
    <row r="55" spans="2:11" ht="15.75" thickBot="1">
      <c r="B55" s="1669"/>
      <c r="C55" s="93"/>
      <c r="D55" s="41" t="s">
        <v>48</v>
      </c>
      <c r="E55" s="307"/>
      <c r="F55" s="6"/>
      <c r="G55" s="6"/>
      <c r="H55" s="6"/>
      <c r="I55" s="6"/>
      <c r="J55" s="6"/>
      <c r="K55" s="6"/>
    </row>
    <row r="56" spans="2:11" ht="15.75" thickBot="1">
      <c r="B56" s="1669"/>
      <c r="C56" s="93"/>
      <c r="D56" s="41" t="s">
        <v>49</v>
      </c>
      <c r="E56" s="307"/>
      <c r="F56" s="6"/>
      <c r="G56" s="6"/>
      <c r="H56" s="6"/>
      <c r="I56" s="6"/>
      <c r="J56" s="6"/>
      <c r="K56" s="6"/>
    </row>
    <row r="57" spans="2:11" ht="15.75" thickBot="1">
      <c r="B57" s="1670"/>
      <c r="C57" s="3"/>
      <c r="D57" s="41" t="s">
        <v>50</v>
      </c>
      <c r="E57" s="307"/>
      <c r="F57" s="6"/>
      <c r="G57" s="6"/>
      <c r="H57" s="6"/>
      <c r="I57" s="6"/>
      <c r="J57" s="6"/>
      <c r="K57" s="6"/>
    </row>
    <row r="58" spans="2:11" ht="15.75" thickBot="1">
      <c r="B58" s="2"/>
      <c r="C58" s="75"/>
      <c r="D58" s="6"/>
      <c r="E58" s="6"/>
      <c r="F58" s="6"/>
      <c r="G58" s="6"/>
      <c r="H58" s="6"/>
      <c r="I58" s="6"/>
      <c r="J58" s="6"/>
      <c r="K58" s="6"/>
    </row>
    <row r="59" spans="2:11" ht="15" customHeight="1" thickBot="1">
      <c r="B59" s="119" t="s">
        <v>54</v>
      </c>
      <c r="C59" s="120"/>
      <c r="D59" s="120"/>
      <c r="E59" s="121"/>
      <c r="G59" s="6"/>
      <c r="H59" s="6"/>
      <c r="I59" s="6"/>
      <c r="J59" s="6"/>
      <c r="K59" s="6"/>
    </row>
    <row r="60" spans="2:11" ht="24.75" thickBot="1">
      <c r="B60" s="48" t="s">
        <v>55</v>
      </c>
      <c r="C60" s="41" t="s">
        <v>56</v>
      </c>
      <c r="D60" s="41" t="s">
        <v>57</v>
      </c>
      <c r="E60" s="41" t="s">
        <v>58</v>
      </c>
      <c r="F60" s="6"/>
      <c r="G60" s="6"/>
      <c r="H60" s="6"/>
      <c r="I60" s="6"/>
      <c r="J60" s="6"/>
    </row>
    <row r="61" spans="2:11" ht="72.75" thickBot="1">
      <c r="B61" s="50">
        <v>42401</v>
      </c>
      <c r="C61" s="41">
        <v>0.01</v>
      </c>
      <c r="D61" s="51" t="s">
        <v>563</v>
      </c>
      <c r="E61" s="41"/>
      <c r="F61" s="6"/>
      <c r="G61" s="6"/>
      <c r="H61" s="6"/>
      <c r="I61" s="6"/>
      <c r="J61" s="6"/>
    </row>
    <row r="62" spans="2:11" ht="15.75" thickBot="1">
      <c r="B62" s="4"/>
      <c r="C62" s="94"/>
      <c r="D62" s="6"/>
      <c r="E62" s="6"/>
      <c r="F62" s="6"/>
      <c r="G62" s="6"/>
      <c r="H62" s="6"/>
      <c r="I62" s="6"/>
      <c r="J62" s="6"/>
      <c r="K62" s="6"/>
    </row>
    <row r="63" spans="2:11">
      <c r="B63" s="134" t="s">
        <v>60</v>
      </c>
      <c r="C63" s="95"/>
      <c r="D63" s="6"/>
      <c r="E63" s="6"/>
      <c r="F63" s="6"/>
      <c r="G63" s="6"/>
      <c r="H63" s="6"/>
      <c r="I63" s="6"/>
      <c r="J63" s="6"/>
      <c r="K63" s="6"/>
    </row>
    <row r="64" spans="2:11" ht="81" customHeight="1">
      <c r="B64" s="1771" t="s">
        <v>564</v>
      </c>
      <c r="C64" s="1772"/>
      <c r="D64" s="1773"/>
      <c r="E64" s="6"/>
      <c r="F64" s="6"/>
      <c r="G64" s="6"/>
      <c r="H64" s="6"/>
      <c r="I64" s="6"/>
      <c r="J64" s="6"/>
      <c r="K64" s="6"/>
    </row>
    <row r="65" spans="2:11">
      <c r="B65" s="1774"/>
      <c r="C65" s="1775"/>
      <c r="D65" s="1776"/>
      <c r="E65" s="6"/>
      <c r="F65" s="6"/>
      <c r="G65" s="6"/>
      <c r="H65" s="6"/>
      <c r="I65" s="6"/>
      <c r="J65" s="6"/>
      <c r="K65" s="6"/>
    </row>
    <row r="66" spans="2:11">
      <c r="B66" s="2"/>
      <c r="C66" s="75"/>
      <c r="D66" s="6"/>
      <c r="E66" s="6"/>
      <c r="F66" s="6"/>
      <c r="G66" s="6"/>
      <c r="H66" s="6"/>
      <c r="I66" s="6"/>
      <c r="J66" s="6"/>
      <c r="K66" s="6"/>
    </row>
    <row r="67" spans="2:11" ht="15.75" thickBot="1">
      <c r="B67" s="6"/>
      <c r="D67" s="6"/>
      <c r="E67" s="6"/>
      <c r="F67" s="6"/>
      <c r="G67" s="6"/>
      <c r="H67" s="6"/>
      <c r="I67" s="6"/>
      <c r="J67" s="6"/>
      <c r="K67" s="6"/>
    </row>
    <row r="68" spans="2:11" ht="24.75" thickBot="1">
      <c r="B68" s="52" t="s">
        <v>459</v>
      </c>
      <c r="C68" s="96"/>
      <c r="D68" s="6"/>
      <c r="E68" s="6"/>
      <c r="F68" s="6"/>
      <c r="G68" s="6"/>
      <c r="H68" s="6"/>
      <c r="I68" s="6"/>
      <c r="J68" s="6"/>
      <c r="K68" s="6"/>
    </row>
    <row r="69" spans="2:11" ht="15.75" thickBot="1">
      <c r="B69" s="38"/>
      <c r="C69" s="87"/>
      <c r="D69" s="6"/>
      <c r="E69" s="6"/>
      <c r="F69" s="6"/>
      <c r="G69" s="6"/>
      <c r="H69" s="6"/>
      <c r="I69" s="6"/>
      <c r="J69" s="6"/>
      <c r="K69" s="6"/>
    </row>
    <row r="70" spans="2:11" ht="84.75" thickBot="1">
      <c r="B70" s="53" t="s">
        <v>62</v>
      </c>
      <c r="C70" s="97"/>
      <c r="D70" s="44" t="s">
        <v>535</v>
      </c>
      <c r="E70" s="6"/>
      <c r="F70" s="6"/>
      <c r="G70" s="6"/>
      <c r="H70" s="6"/>
      <c r="I70" s="6"/>
      <c r="J70" s="6"/>
      <c r="K70" s="6"/>
    </row>
    <row r="71" spans="2:11">
      <c r="B71" s="1668" t="s">
        <v>64</v>
      </c>
      <c r="C71" s="93"/>
      <c r="D71" s="54" t="s">
        <v>65</v>
      </c>
      <c r="E71" s="6"/>
      <c r="F71" s="6"/>
      <c r="G71" s="6"/>
      <c r="H71" s="6"/>
      <c r="I71" s="6"/>
      <c r="J71" s="6"/>
      <c r="K71" s="6"/>
    </row>
    <row r="72" spans="2:11" ht="120">
      <c r="B72" s="1669"/>
      <c r="C72" s="93"/>
      <c r="D72" s="47" t="s">
        <v>536</v>
      </c>
      <c r="E72" s="6"/>
      <c r="F72" s="6"/>
      <c r="G72" s="6"/>
      <c r="H72" s="6"/>
      <c r="I72" s="6"/>
      <c r="J72" s="6"/>
      <c r="K72" s="6"/>
    </row>
    <row r="73" spans="2:11">
      <c r="B73" s="1669"/>
      <c r="C73" s="93"/>
      <c r="D73" s="54" t="s">
        <v>68</v>
      </c>
      <c r="E73" s="6"/>
      <c r="F73" s="6"/>
      <c r="G73" s="6"/>
      <c r="H73" s="6"/>
      <c r="I73" s="6"/>
      <c r="J73" s="6"/>
      <c r="K73" s="6"/>
    </row>
    <row r="74" spans="2:11">
      <c r="B74" s="1669"/>
      <c r="C74" s="93"/>
      <c r="D74" s="47" t="s">
        <v>171</v>
      </c>
      <c r="E74" s="6"/>
      <c r="F74" s="6"/>
      <c r="G74" s="6"/>
      <c r="H74" s="6"/>
      <c r="I74" s="6"/>
      <c r="J74" s="6"/>
      <c r="K74" s="6"/>
    </row>
    <row r="75" spans="2:11" ht="24">
      <c r="B75" s="1669"/>
      <c r="C75" s="93"/>
      <c r="D75" s="47" t="s">
        <v>537</v>
      </c>
      <c r="E75" s="6"/>
      <c r="F75" s="6"/>
      <c r="G75" s="6"/>
      <c r="H75" s="6"/>
      <c r="I75" s="6"/>
      <c r="J75" s="6"/>
      <c r="K75" s="6"/>
    </row>
    <row r="76" spans="2:11">
      <c r="B76" s="1669"/>
      <c r="C76" s="93"/>
      <c r="D76" s="47" t="s">
        <v>538</v>
      </c>
      <c r="E76" s="6"/>
      <c r="F76" s="6"/>
      <c r="G76" s="6"/>
      <c r="H76" s="6"/>
      <c r="I76" s="6"/>
      <c r="J76" s="6"/>
      <c r="K76" s="6"/>
    </row>
    <row r="77" spans="2:11" ht="24">
      <c r="B77" s="1669"/>
      <c r="C77" s="93"/>
      <c r="D77" s="47" t="s">
        <v>539</v>
      </c>
      <c r="E77" s="6"/>
      <c r="F77" s="6"/>
      <c r="G77" s="6"/>
      <c r="H77" s="6"/>
      <c r="I77" s="6"/>
      <c r="J77" s="6"/>
      <c r="K77" s="6"/>
    </row>
    <row r="78" spans="2:11" ht="24">
      <c r="B78" s="1669"/>
      <c r="C78" s="93"/>
      <c r="D78" s="47" t="s">
        <v>540</v>
      </c>
      <c r="E78" s="6"/>
      <c r="F78" s="6"/>
      <c r="G78" s="6"/>
      <c r="H78" s="6"/>
      <c r="I78" s="6"/>
      <c r="J78" s="6"/>
      <c r="K78" s="6"/>
    </row>
    <row r="79" spans="2:11" ht="24">
      <c r="B79" s="1669"/>
      <c r="C79" s="93"/>
      <c r="D79" s="47" t="s">
        <v>541</v>
      </c>
      <c r="E79" s="6"/>
      <c r="F79" s="6"/>
      <c r="G79" s="6"/>
      <c r="H79" s="6"/>
      <c r="I79" s="6"/>
      <c r="J79" s="6"/>
      <c r="K79" s="6"/>
    </row>
    <row r="80" spans="2:11">
      <c r="B80" s="1669"/>
      <c r="C80" s="93"/>
      <c r="D80" s="54" t="s">
        <v>296</v>
      </c>
      <c r="E80" s="6"/>
      <c r="F80" s="6"/>
      <c r="G80" s="6"/>
      <c r="H80" s="6"/>
      <c r="I80" s="6"/>
      <c r="J80" s="6"/>
      <c r="K80" s="6"/>
    </row>
    <row r="81" spans="2:11" ht="36">
      <c r="B81" s="1669"/>
      <c r="C81" s="93"/>
      <c r="D81" s="47" t="s">
        <v>361</v>
      </c>
      <c r="E81" s="6"/>
      <c r="F81" s="6"/>
      <c r="G81" s="6"/>
      <c r="H81" s="6"/>
      <c r="I81" s="6"/>
      <c r="J81" s="6"/>
      <c r="K81" s="6"/>
    </row>
    <row r="82" spans="2:11" ht="36">
      <c r="B82" s="1669"/>
      <c r="C82" s="93"/>
      <c r="D82" s="47" t="s">
        <v>542</v>
      </c>
      <c r="E82" s="6"/>
      <c r="F82" s="6"/>
      <c r="G82" s="6"/>
      <c r="H82" s="6"/>
      <c r="I82" s="6"/>
      <c r="J82" s="6"/>
      <c r="K82" s="6"/>
    </row>
    <row r="83" spans="2:11" ht="84.75" thickBot="1">
      <c r="B83" s="1670"/>
      <c r="C83" s="3"/>
      <c r="D83" s="41" t="s">
        <v>543</v>
      </c>
      <c r="E83" s="6"/>
      <c r="F83" s="6"/>
      <c r="G83" s="6"/>
      <c r="H83" s="6"/>
      <c r="I83" s="6"/>
      <c r="J83" s="6"/>
      <c r="K83" s="6"/>
    </row>
    <row r="84" spans="2:11" ht="24.75" thickBot="1">
      <c r="B84" s="48" t="s">
        <v>77</v>
      </c>
      <c r="C84" s="3"/>
      <c r="D84" s="41"/>
      <c r="E84" s="6"/>
      <c r="F84" s="6"/>
      <c r="G84" s="6"/>
      <c r="H84" s="6"/>
      <c r="I84" s="6"/>
      <c r="J84" s="6"/>
      <c r="K84" s="6"/>
    </row>
    <row r="85" spans="2:11" ht="84">
      <c r="B85" s="1668" t="s">
        <v>78</v>
      </c>
      <c r="C85" s="93"/>
      <c r="D85" s="47" t="s">
        <v>544</v>
      </c>
      <c r="E85" s="6"/>
      <c r="F85" s="6"/>
      <c r="G85" s="6"/>
      <c r="H85" s="6"/>
      <c r="I85" s="6"/>
      <c r="J85" s="6"/>
      <c r="K85" s="6"/>
    </row>
    <row r="86" spans="2:11" ht="96">
      <c r="B86" s="1669"/>
      <c r="C86" s="93"/>
      <c r="D86" s="47" t="s">
        <v>545</v>
      </c>
      <c r="E86" s="6"/>
      <c r="F86" s="6"/>
      <c r="G86" s="6"/>
      <c r="H86" s="6"/>
      <c r="I86" s="6"/>
      <c r="J86" s="6"/>
      <c r="K86" s="6"/>
    </row>
    <row r="87" spans="2:11" ht="132">
      <c r="B87" s="1669"/>
      <c r="C87" s="93"/>
      <c r="D87" s="47" t="s">
        <v>546</v>
      </c>
      <c r="E87" s="6"/>
      <c r="F87" s="6"/>
      <c r="G87" s="6"/>
      <c r="H87" s="6"/>
      <c r="I87" s="6"/>
      <c r="J87" s="6"/>
      <c r="K87" s="6"/>
    </row>
    <row r="88" spans="2:11" ht="144.75" thickBot="1">
      <c r="B88" s="1670"/>
      <c r="C88" s="3"/>
      <c r="D88" s="41" t="s">
        <v>547</v>
      </c>
      <c r="E88" s="6"/>
      <c r="F88" s="6"/>
      <c r="G88" s="6"/>
      <c r="H88" s="6"/>
      <c r="I88" s="6"/>
      <c r="J88" s="6"/>
      <c r="K88" s="6"/>
    </row>
    <row r="89" spans="2:11" ht="24">
      <c r="B89" s="1668" t="s">
        <v>95</v>
      </c>
      <c r="C89" s="93"/>
      <c r="D89" s="54" t="s">
        <v>534</v>
      </c>
      <c r="E89" s="6"/>
      <c r="F89" s="6"/>
      <c r="G89" s="6"/>
      <c r="H89" s="6"/>
      <c r="I89" s="6"/>
      <c r="J89" s="6"/>
      <c r="K89" s="6"/>
    </row>
    <row r="90" spans="2:11">
      <c r="B90" s="1669"/>
      <c r="C90" s="93"/>
      <c r="D90" s="47" t="s">
        <v>505</v>
      </c>
      <c r="E90" s="6"/>
      <c r="F90" s="6"/>
      <c r="G90" s="6"/>
      <c r="H90" s="6"/>
      <c r="I90" s="6"/>
      <c r="J90" s="6"/>
      <c r="K90" s="6"/>
    </row>
    <row r="91" spans="2:11">
      <c r="B91" s="1669"/>
      <c r="C91" s="93"/>
      <c r="D91" s="47" t="s">
        <v>96</v>
      </c>
      <c r="E91" s="6"/>
      <c r="F91" s="6"/>
      <c r="G91" s="6"/>
      <c r="H91" s="6"/>
      <c r="I91" s="6"/>
      <c r="J91" s="6"/>
      <c r="K91" s="6"/>
    </row>
    <row r="92" spans="2:11" ht="37.5">
      <c r="B92" s="1669"/>
      <c r="C92" s="93"/>
      <c r="D92" s="47" t="s">
        <v>548</v>
      </c>
      <c r="E92" s="6"/>
      <c r="F92" s="6"/>
      <c r="G92" s="6"/>
      <c r="H92" s="6"/>
      <c r="I92" s="6"/>
      <c r="J92" s="6"/>
      <c r="K92" s="6"/>
    </row>
    <row r="93" spans="2:11" ht="37.5">
      <c r="B93" s="1669"/>
      <c r="C93" s="93"/>
      <c r="D93" s="47" t="s">
        <v>549</v>
      </c>
      <c r="E93" s="6"/>
      <c r="F93" s="6"/>
      <c r="G93" s="6"/>
      <c r="H93" s="6"/>
      <c r="I93" s="6"/>
      <c r="J93" s="6"/>
      <c r="K93" s="6"/>
    </row>
    <row r="94" spans="2:11" ht="37.5">
      <c r="B94" s="1669"/>
      <c r="C94" s="93"/>
      <c r="D94" s="47" t="s">
        <v>550</v>
      </c>
      <c r="E94" s="6"/>
      <c r="F94" s="6"/>
      <c r="G94" s="6"/>
      <c r="H94" s="6"/>
      <c r="I94" s="6"/>
      <c r="J94" s="6"/>
      <c r="K94" s="6"/>
    </row>
    <row r="95" spans="2:11" ht="84">
      <c r="B95" s="1669"/>
      <c r="C95" s="93"/>
      <c r="D95" s="55" t="s">
        <v>243</v>
      </c>
      <c r="E95" s="6"/>
      <c r="F95" s="6"/>
      <c r="G95" s="6"/>
      <c r="H95" s="6"/>
      <c r="I95" s="6"/>
      <c r="J95" s="6"/>
      <c r="K95" s="6"/>
    </row>
    <row r="96" spans="2:11">
      <c r="B96" s="1669"/>
      <c r="C96" s="93"/>
      <c r="D96" s="54" t="s">
        <v>254</v>
      </c>
      <c r="E96" s="6"/>
      <c r="F96" s="6"/>
      <c r="G96" s="6"/>
      <c r="H96" s="6"/>
      <c r="I96" s="6"/>
      <c r="J96" s="6"/>
      <c r="K96" s="6"/>
    </row>
    <row r="97" spans="2:11" ht="24">
      <c r="B97" s="1669"/>
      <c r="C97" s="93"/>
      <c r="D97" s="54" t="s">
        <v>551</v>
      </c>
      <c r="E97" s="6"/>
      <c r="F97" s="6"/>
      <c r="G97" s="6"/>
      <c r="H97" s="6"/>
      <c r="I97" s="6"/>
      <c r="J97" s="6"/>
      <c r="K97" s="6"/>
    </row>
    <row r="98" spans="2:11">
      <c r="B98" s="1669"/>
      <c r="C98" s="93"/>
      <c r="D98" s="17"/>
      <c r="E98" s="6"/>
      <c r="F98" s="6"/>
      <c r="G98" s="6"/>
      <c r="H98" s="6"/>
      <c r="I98" s="6"/>
      <c r="J98" s="6"/>
      <c r="K98" s="6"/>
    </row>
    <row r="99" spans="2:11">
      <c r="B99" s="1669"/>
      <c r="C99" s="93"/>
      <c r="D99" s="47" t="s">
        <v>96</v>
      </c>
      <c r="E99" s="6"/>
      <c r="F99" s="6"/>
      <c r="G99" s="6"/>
      <c r="H99" s="6"/>
      <c r="I99" s="6"/>
      <c r="J99" s="6"/>
      <c r="K99" s="6"/>
    </row>
    <row r="100" spans="2:11" ht="49.5">
      <c r="B100" s="1669"/>
      <c r="C100" s="93"/>
      <c r="D100" s="47" t="s">
        <v>552</v>
      </c>
      <c r="E100" s="6"/>
      <c r="F100" s="6"/>
      <c r="G100" s="6"/>
      <c r="H100" s="6"/>
      <c r="I100" s="6"/>
      <c r="J100" s="6"/>
      <c r="K100" s="6"/>
    </row>
    <row r="101" spans="2:11" ht="50.25" thickBot="1">
      <c r="B101" s="1670"/>
      <c r="C101" s="3"/>
      <c r="D101" s="41" t="s">
        <v>553</v>
      </c>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sheetData>
  <sheetProtection sheet="1" objects="1" scenarios="1" insertRows="0"/>
  <mergeCells count="38">
    <mergeCell ref="B10:D10"/>
    <mergeCell ref="F10:S10"/>
    <mergeCell ref="F11:S11"/>
    <mergeCell ref="E12:R12"/>
    <mergeCell ref="E13:R13"/>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D23:L23"/>
    <mergeCell ref="D24:L24"/>
    <mergeCell ref="D25:L25"/>
    <mergeCell ref="K16:K17"/>
    <mergeCell ref="C26:C27"/>
    <mergeCell ref="D26:D27"/>
    <mergeCell ref="E26:E27"/>
    <mergeCell ref="F26:F27"/>
    <mergeCell ref="G26:G27"/>
    <mergeCell ref="J26:J27"/>
    <mergeCell ref="H16:J16"/>
    <mergeCell ref="L26:L27"/>
    <mergeCell ref="A1:P1"/>
    <mergeCell ref="A2:P2"/>
    <mergeCell ref="A3:P3"/>
    <mergeCell ref="A4:D4"/>
    <mergeCell ref="A5:P5"/>
  </mergeCells>
  <conditionalFormatting sqref="F10">
    <cfRule type="notContainsBlanks" dxfId="74" priority="4">
      <formula>LEN(TRIM(F10))&gt;0</formula>
    </cfRule>
  </conditionalFormatting>
  <conditionalFormatting sqref="F11:S11">
    <cfRule type="expression" dxfId="73" priority="2">
      <formula>E11="NO SE REPORTA"</formula>
    </cfRule>
    <cfRule type="expression" dxfId="72" priority="3">
      <formula>E10="NO APLICA"</formula>
    </cfRule>
  </conditionalFormatting>
  <conditionalFormatting sqref="E12:R12">
    <cfRule type="expression" dxfId="7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8:F20 H18:I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showGridLines="0" topLeftCell="A25" zoomScale="98" zoomScaleNormal="98" workbookViewId="0">
      <selection activeCell="H47" sqref="H47"/>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7" max="7" width="14.42578125" customWidth="1"/>
    <col min="8" max="8" width="15.5703125" customWidth="1"/>
    <col min="9" max="9" width="14.7109375" customWidth="1"/>
    <col min="10" max="10" width="14.5703125" customWidth="1"/>
    <col min="11" max="11" width="21.710937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565</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106"/>
      <c r="D7" s="6"/>
      <c r="E7" s="18"/>
      <c r="F7" s="6" t="s">
        <v>134</v>
      </c>
      <c r="G7" s="6"/>
      <c r="H7" s="6"/>
      <c r="I7" s="6"/>
      <c r="J7" s="6"/>
      <c r="K7" s="6"/>
    </row>
    <row r="8" spans="1:21" ht="15.75" thickBot="1">
      <c r="B8" s="175" t="s">
        <v>1203</v>
      </c>
      <c r="C8" s="214">
        <v>2018</v>
      </c>
      <c r="D8" s="408">
        <f>IF(E10="NO APLICA","NO APLICA",IF(E11="NO SE REPORTA","SIN INFORMACION",+H22))</f>
        <v>0.18</v>
      </c>
      <c r="E8" s="215"/>
      <c r="F8" s="6" t="s">
        <v>135</v>
      </c>
      <c r="G8" s="6"/>
      <c r="H8" s="6"/>
      <c r="I8" s="6"/>
      <c r="J8" s="6"/>
      <c r="K8" s="6"/>
    </row>
    <row r="9" spans="1:21">
      <c r="B9" s="483" t="s">
        <v>1204</v>
      </c>
      <c r="C9" s="87"/>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Gestión'!E48:H48</f>
        <v>Programa No 3. Bosques, Biodiversidad y Servicios Ecosistemicos.</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7"/>
      <c r="D14" s="6"/>
      <c r="E14" s="6"/>
      <c r="F14" s="6"/>
      <c r="G14" s="6"/>
      <c r="H14" s="6"/>
      <c r="I14" s="6"/>
      <c r="J14" s="6"/>
      <c r="K14" s="6"/>
    </row>
    <row r="15" spans="1:21" ht="15.6" customHeight="1" thickTop="1" thickBot="1">
      <c r="B15" s="1777" t="s">
        <v>2</v>
      </c>
      <c r="C15" s="88"/>
      <c r="D15" s="1685" t="s">
        <v>344</v>
      </c>
      <c r="E15" s="1686"/>
      <c r="F15" s="1686"/>
      <c r="G15" s="1686"/>
      <c r="H15" s="1686"/>
      <c r="I15" s="1686"/>
      <c r="J15" s="1686"/>
      <c r="K15" s="1687"/>
    </row>
    <row r="16" spans="1:21" ht="15.75" thickBot="1">
      <c r="B16" s="1738"/>
      <c r="C16" s="93"/>
      <c r="D16" s="44" t="s">
        <v>156</v>
      </c>
      <c r="E16" s="1325" t="s">
        <v>25</v>
      </c>
      <c r="F16" s="1325" t="s">
        <v>26</v>
      </c>
      <c r="G16" s="1325" t="s">
        <v>27</v>
      </c>
      <c r="H16" s="1326" t="s">
        <v>28</v>
      </c>
      <c r="I16" s="407"/>
      <c r="J16" s="6"/>
      <c r="K16" s="22"/>
    </row>
    <row r="17" spans="2:11" ht="36.75" thickBot="1">
      <c r="B17" s="1738"/>
      <c r="C17" s="93"/>
      <c r="D17" s="41" t="s">
        <v>584</v>
      </c>
      <c r="E17" s="913">
        <v>800</v>
      </c>
      <c r="F17" s="913">
        <v>800</v>
      </c>
      <c r="G17" s="913">
        <v>800</v>
      </c>
      <c r="H17" s="913">
        <v>800</v>
      </c>
      <c r="I17" s="407"/>
      <c r="J17" s="6"/>
      <c r="K17" s="22"/>
    </row>
    <row r="18" spans="2:11" ht="24.75" thickBot="1">
      <c r="B18" s="1738"/>
      <c r="C18" s="93"/>
      <c r="D18" s="41" t="s">
        <v>585</v>
      </c>
      <c r="E18" s="913">
        <v>1519</v>
      </c>
      <c r="F18" s="913">
        <v>1438</v>
      </c>
      <c r="G18" s="913">
        <v>1674</v>
      </c>
      <c r="H18" s="1368">
        <v>145</v>
      </c>
      <c r="I18" s="407"/>
      <c r="J18" s="6"/>
      <c r="K18" s="22"/>
    </row>
    <row r="19" spans="2:11" ht="15.75" thickBot="1">
      <c r="B19" s="1738"/>
      <c r="C19" s="93"/>
      <c r="D19" s="41" t="s">
        <v>586</v>
      </c>
      <c r="E19" s="193">
        <v>0</v>
      </c>
      <c r="F19" s="193">
        <v>0</v>
      </c>
      <c r="G19" s="193">
        <v>0</v>
      </c>
      <c r="H19" s="463"/>
      <c r="I19" s="407"/>
      <c r="J19" s="6"/>
      <c r="K19" s="22"/>
    </row>
    <row r="20" spans="2:11" ht="15.75" thickBot="1">
      <c r="B20" s="1738"/>
      <c r="C20" s="93"/>
      <c r="D20" s="41" t="s">
        <v>587</v>
      </c>
      <c r="E20" s="193">
        <v>0</v>
      </c>
      <c r="F20" s="193">
        <v>0</v>
      </c>
      <c r="G20" s="193">
        <v>0</v>
      </c>
      <c r="H20" s="463"/>
      <c r="I20" s="407"/>
      <c r="J20" s="6"/>
      <c r="K20" s="22"/>
    </row>
    <row r="21" spans="2:11" ht="15.75" thickBot="1">
      <c r="B21" s="1738"/>
      <c r="C21" s="93"/>
      <c r="D21" s="41" t="s">
        <v>157</v>
      </c>
      <c r="E21" s="914">
        <v>1519</v>
      </c>
      <c r="F21" s="914">
        <f>SUM(F18:F20)</f>
        <v>1438</v>
      </c>
      <c r="G21" s="914">
        <f>SUM(G18:G20)</f>
        <v>1674</v>
      </c>
      <c r="H21" s="914">
        <f>SUM(H18:H20)</f>
        <v>145</v>
      </c>
      <c r="I21" s="407"/>
      <c r="J21" s="6"/>
      <c r="K21" s="22"/>
    </row>
    <row r="22" spans="2:11" s="403" customFormat="1" ht="36.75" thickBot="1">
      <c r="B22" s="1738"/>
      <c r="C22" s="129"/>
      <c r="D22" s="53" t="s">
        <v>565</v>
      </c>
      <c r="E22" s="915">
        <f>E18/E17</f>
        <v>1.9</v>
      </c>
      <c r="F22" s="915">
        <f>F18/F17</f>
        <v>1.8</v>
      </c>
      <c r="G22" s="915">
        <f>G18/G17</f>
        <v>2.09</v>
      </c>
      <c r="H22" s="915">
        <f>H18/H17</f>
        <v>0.18</v>
      </c>
      <c r="I22" s="407"/>
      <c r="J22" s="6"/>
      <c r="K22" s="22"/>
    </row>
    <row r="23" spans="2:11">
      <c r="B23" s="1738"/>
      <c r="C23" s="91"/>
      <c r="D23" s="1674" t="s">
        <v>254</v>
      </c>
      <c r="E23" s="1675"/>
      <c r="F23" s="1675"/>
      <c r="G23" s="1675"/>
      <c r="H23" s="1675"/>
      <c r="I23" s="1675"/>
      <c r="J23" s="1675"/>
      <c r="K23" s="1676"/>
    </row>
    <row r="24" spans="2:11">
      <c r="B24" s="1738"/>
      <c r="C24" s="91"/>
      <c r="D24" s="1674" t="s">
        <v>588</v>
      </c>
      <c r="E24" s="1675"/>
      <c r="F24" s="1675"/>
      <c r="G24" s="1675"/>
      <c r="H24" s="1675"/>
      <c r="I24" s="1675"/>
      <c r="J24" s="1675"/>
      <c r="K24" s="1676"/>
    </row>
    <row r="25" spans="2:11" ht="15.75" thickBot="1">
      <c r="B25" s="1738"/>
      <c r="C25" s="91"/>
      <c r="D25" s="1716" t="s">
        <v>348</v>
      </c>
      <c r="E25" s="1717"/>
      <c r="F25" s="1717"/>
      <c r="G25" s="1717"/>
      <c r="H25" s="1717"/>
      <c r="I25" s="1717"/>
      <c r="J25" s="1717"/>
      <c r="K25" s="1718"/>
    </row>
    <row r="26" spans="2:11" ht="57" thickBot="1">
      <c r="B26" s="425"/>
      <c r="C26" s="97" t="s">
        <v>24</v>
      </c>
      <c r="D26" s="67" t="s">
        <v>278</v>
      </c>
      <c r="E26" s="966" t="s">
        <v>589</v>
      </c>
      <c r="F26" s="966" t="s">
        <v>590</v>
      </c>
      <c r="G26" s="966" t="s">
        <v>351</v>
      </c>
      <c r="H26" s="966" t="s">
        <v>352</v>
      </c>
      <c r="I26" s="966" t="s">
        <v>282</v>
      </c>
      <c r="J26" s="966" t="s">
        <v>283</v>
      </c>
      <c r="K26" s="966" t="s">
        <v>60</v>
      </c>
    </row>
    <row r="27" spans="2:11" ht="26.25" thickBot="1">
      <c r="B27" s="425"/>
      <c r="C27" s="3">
        <v>1</v>
      </c>
      <c r="D27" s="1395" t="s">
        <v>2089</v>
      </c>
      <c r="E27" s="1324" t="s">
        <v>2008</v>
      </c>
      <c r="F27" s="979">
        <v>40</v>
      </c>
      <c r="G27" s="1323">
        <f>40*4492251</f>
        <v>179690040</v>
      </c>
      <c r="H27" s="1323">
        <f>40*4492251</f>
        <v>179690040</v>
      </c>
      <c r="I27" s="1323">
        <f>40*4492251</f>
        <v>179690040</v>
      </c>
      <c r="J27" s="1323"/>
      <c r="K27" s="978"/>
    </row>
    <row r="28" spans="2:11" ht="57" thickBot="1">
      <c r="B28" s="425"/>
      <c r="C28" s="204">
        <v>2</v>
      </c>
      <c r="D28" s="975" t="s">
        <v>2090</v>
      </c>
      <c r="E28" s="1324" t="s">
        <v>2008</v>
      </c>
      <c r="F28" s="979">
        <v>105</v>
      </c>
      <c r="G28" s="1323">
        <v>1104000000</v>
      </c>
      <c r="H28" s="1323">
        <v>1104000000</v>
      </c>
      <c r="I28" s="1323">
        <f>552000000+365932575</f>
        <v>917932575</v>
      </c>
      <c r="J28" s="1323">
        <f>552000000+365932575</f>
        <v>917932575</v>
      </c>
      <c r="K28" s="978"/>
    </row>
    <row r="29" spans="2:11" ht="23.25" thickBot="1">
      <c r="B29" s="425"/>
      <c r="C29" s="204">
        <v>3</v>
      </c>
      <c r="D29" s="975"/>
      <c r="E29" s="1324" t="s">
        <v>2007</v>
      </c>
      <c r="F29" s="979"/>
      <c r="G29" s="1323"/>
      <c r="H29" s="1323"/>
      <c r="I29" s="1323"/>
      <c r="J29" s="1323"/>
      <c r="K29" s="978"/>
    </row>
    <row r="30" spans="2:11" ht="23.25" thickBot="1">
      <c r="B30" s="425"/>
      <c r="C30" s="204">
        <v>4</v>
      </c>
      <c r="D30" s="975"/>
      <c r="E30" s="1324" t="s">
        <v>2007</v>
      </c>
      <c r="F30" s="979"/>
      <c r="G30" s="1323"/>
      <c r="H30" s="1323"/>
      <c r="I30" s="1323"/>
      <c r="J30" s="1323"/>
      <c r="K30" s="978"/>
    </row>
    <row r="31" spans="2:11" ht="23.25" thickBot="1">
      <c r="B31" s="425"/>
      <c r="C31" s="204">
        <v>5</v>
      </c>
      <c r="D31" s="975"/>
      <c r="E31" s="1324" t="s">
        <v>2007</v>
      </c>
      <c r="F31" s="979"/>
      <c r="G31" s="1323"/>
      <c r="H31" s="1323"/>
      <c r="I31" s="1323"/>
      <c r="J31" s="1323"/>
      <c r="K31" s="978"/>
    </row>
    <row r="32" spans="2:11" s="403" customFormat="1" ht="23.25" thickBot="1">
      <c r="B32" s="974"/>
      <c r="C32" s="204">
        <v>7</v>
      </c>
      <c r="D32" s="975"/>
      <c r="E32" s="1324" t="s">
        <v>2008</v>
      </c>
      <c r="F32" s="977"/>
      <c r="G32" s="1323"/>
      <c r="H32" s="1323"/>
      <c r="I32" s="1323"/>
      <c r="J32" s="1323"/>
      <c r="K32" s="978"/>
    </row>
    <row r="33" spans="2:11" s="403" customFormat="1" ht="23.25" thickBot="1">
      <c r="B33" s="974"/>
      <c r="C33" s="204">
        <v>8</v>
      </c>
      <c r="D33" s="975" t="s">
        <v>2009</v>
      </c>
      <c r="E33" s="1324" t="s">
        <v>2008</v>
      </c>
      <c r="F33" s="977"/>
      <c r="G33" s="967"/>
      <c r="H33" s="967"/>
      <c r="I33" s="967"/>
      <c r="J33" s="967"/>
      <c r="K33" s="978"/>
    </row>
    <row r="34" spans="2:11" s="403" customFormat="1" ht="15.75" thickBot="1">
      <c r="B34" s="974"/>
      <c r="C34" s="204">
        <v>9</v>
      </c>
      <c r="D34" s="975"/>
      <c r="E34" s="976"/>
      <c r="F34" s="977"/>
      <c r="G34" s="967"/>
      <c r="H34" s="967"/>
      <c r="I34" s="967"/>
      <c r="J34" s="967"/>
      <c r="K34" s="978"/>
    </row>
    <row r="35" spans="2:11" ht="15.75" thickBot="1">
      <c r="B35" s="426"/>
      <c r="C35" s="3"/>
      <c r="D35" s="41" t="s">
        <v>157</v>
      </c>
      <c r="E35" s="41"/>
      <c r="F35" s="965">
        <f>SUM(F27:F34)</f>
        <v>145</v>
      </c>
      <c r="G35" s="965">
        <f>SUM(G27:G34)</f>
        <v>1283690040</v>
      </c>
      <c r="H35" s="965">
        <f>SUM(H27:H34)</f>
        <v>1283690040</v>
      </c>
      <c r="I35" s="965">
        <f>SUM(I27:I34)</f>
        <v>1097622615</v>
      </c>
      <c r="J35" s="965">
        <f>SUM(J27:J34)</f>
        <v>917932575</v>
      </c>
      <c r="K35" s="211"/>
    </row>
    <row r="36" spans="2:11" ht="24" customHeight="1" thickBot="1">
      <c r="B36" s="72" t="s">
        <v>39</v>
      </c>
      <c r="C36" s="107"/>
      <c r="D36" s="1680" t="s">
        <v>591</v>
      </c>
      <c r="E36" s="1681"/>
      <c r="F36" s="1681"/>
      <c r="G36" s="1681"/>
      <c r="H36" s="1681"/>
      <c r="I36" s="1681"/>
      <c r="J36" s="1681"/>
      <c r="K36" s="1682"/>
    </row>
    <row r="37" spans="2:11" ht="24" customHeight="1" thickBot="1">
      <c r="B37" s="72" t="s">
        <v>41</v>
      </c>
      <c r="C37" s="107"/>
      <c r="D37" s="1680" t="s">
        <v>354</v>
      </c>
      <c r="E37" s="1681"/>
      <c r="F37" s="1681"/>
      <c r="G37" s="1681"/>
      <c r="H37" s="1681"/>
      <c r="I37" s="1681"/>
      <c r="J37" s="1681"/>
      <c r="K37" s="1682"/>
    </row>
    <row r="38" spans="2:11" ht="15.75" thickBot="1">
      <c r="B38" s="2"/>
      <c r="C38" s="75"/>
      <c r="D38" s="6"/>
      <c r="E38" s="6"/>
      <c r="F38" s="6"/>
      <c r="G38" s="6"/>
      <c r="H38" s="6"/>
      <c r="I38" s="6"/>
      <c r="J38" s="6"/>
      <c r="K38" s="6"/>
    </row>
    <row r="39" spans="2:11" ht="24" customHeight="1" thickBot="1">
      <c r="B39" s="1671" t="s">
        <v>43</v>
      </c>
      <c r="C39" s="1672"/>
      <c r="D39" s="1672"/>
      <c r="E39" s="1673"/>
      <c r="F39" s="6"/>
      <c r="G39" s="6"/>
      <c r="H39" s="6"/>
      <c r="I39" s="6"/>
      <c r="J39" s="6"/>
      <c r="K39" s="6"/>
    </row>
    <row r="40" spans="2:11" ht="15.75" thickBot="1">
      <c r="B40" s="1668">
        <v>1</v>
      </c>
      <c r="C40" s="93"/>
      <c r="D40" s="49" t="s">
        <v>44</v>
      </c>
      <c r="E40" s="31" t="s">
        <v>1616</v>
      </c>
      <c r="F40" s="6"/>
      <c r="G40" s="6"/>
      <c r="H40" s="6"/>
      <c r="I40" s="6"/>
      <c r="J40" s="6"/>
      <c r="K40" s="6"/>
    </row>
    <row r="41" spans="2:11" ht="15.75" thickBot="1">
      <c r="B41" s="1669"/>
      <c r="C41" s="93"/>
      <c r="D41" s="41" t="s">
        <v>45</v>
      </c>
      <c r="E41" s="31" t="s">
        <v>1698</v>
      </c>
      <c r="F41" s="6"/>
      <c r="G41" s="6"/>
      <c r="H41" s="6"/>
      <c r="I41" s="6"/>
      <c r="J41" s="6"/>
      <c r="K41" s="6"/>
    </row>
    <row r="42" spans="2:11" ht="15.75" thickBot="1">
      <c r="B42" s="1669"/>
      <c r="C42" s="93"/>
      <c r="D42" s="41" t="s">
        <v>46</v>
      </c>
      <c r="E42" s="31" t="s">
        <v>2038</v>
      </c>
      <c r="F42" s="6"/>
      <c r="G42" s="6"/>
      <c r="H42" s="6"/>
      <c r="I42" s="6"/>
      <c r="J42" s="6"/>
      <c r="K42" s="6"/>
    </row>
    <row r="43" spans="2:11" ht="15.75" thickBot="1">
      <c r="B43" s="1669"/>
      <c r="C43" s="93"/>
      <c r="D43" s="41" t="s">
        <v>47</v>
      </c>
      <c r="E43" s="31" t="s">
        <v>1626</v>
      </c>
      <c r="F43" s="6"/>
      <c r="G43" s="6"/>
      <c r="H43" s="6"/>
      <c r="I43" s="6"/>
      <c r="J43" s="6"/>
      <c r="K43" s="6"/>
    </row>
    <row r="44" spans="2:11" ht="15.75" thickBot="1">
      <c r="B44" s="1669"/>
      <c r="C44" s="93"/>
      <c r="D44" s="41" t="s">
        <v>48</v>
      </c>
      <c r="E44" s="819" t="s">
        <v>2013</v>
      </c>
      <c r="F44" s="6"/>
      <c r="G44" s="6"/>
      <c r="H44" s="6"/>
      <c r="I44" s="6"/>
      <c r="J44" s="6"/>
      <c r="K44" s="6"/>
    </row>
    <row r="45" spans="2:11" ht="15.75" thickBot="1">
      <c r="B45" s="1669"/>
      <c r="C45" s="93"/>
      <c r="D45" s="41" t="s">
        <v>49</v>
      </c>
      <c r="E45" s="31" t="s">
        <v>1689</v>
      </c>
      <c r="F45" s="6"/>
      <c r="G45" s="6"/>
      <c r="H45" s="6"/>
      <c r="I45" s="6"/>
      <c r="J45" s="6"/>
      <c r="K45" s="6"/>
    </row>
    <row r="46" spans="2:11" ht="15.75" thickBot="1">
      <c r="B46" s="1670"/>
      <c r="C46" s="3"/>
      <c r="D46" s="41" t="s">
        <v>50</v>
      </c>
      <c r="E46" s="31" t="s">
        <v>1607</v>
      </c>
      <c r="F46" s="6"/>
      <c r="G46" s="6"/>
      <c r="H46" s="6"/>
      <c r="I46" s="6"/>
      <c r="J46" s="6"/>
      <c r="K46" s="6"/>
    </row>
    <row r="47" spans="2:11" ht="15.75" thickBot="1">
      <c r="B47" s="2"/>
      <c r="C47" s="75"/>
      <c r="D47" s="6"/>
      <c r="E47" s="6"/>
      <c r="F47" s="6"/>
      <c r="G47" s="6"/>
      <c r="H47" s="6"/>
      <c r="I47" s="6"/>
      <c r="J47" s="6"/>
      <c r="K47" s="6"/>
    </row>
    <row r="48" spans="2:11" ht="15.75" thickBot="1">
      <c r="B48" s="1671" t="s">
        <v>51</v>
      </c>
      <c r="C48" s="1672"/>
      <c r="D48" s="1672"/>
      <c r="E48" s="1673"/>
      <c r="F48" s="6"/>
      <c r="G48" s="6"/>
      <c r="H48" s="6"/>
      <c r="I48" s="6"/>
      <c r="J48" s="6"/>
      <c r="K48" s="6"/>
    </row>
    <row r="49" spans="2:11" ht="15.75" thickBot="1">
      <c r="B49" s="1668">
        <v>1</v>
      </c>
      <c r="C49" s="93"/>
      <c r="D49" s="49" t="s">
        <v>44</v>
      </c>
      <c r="E49" s="432" t="s">
        <v>52</v>
      </c>
      <c r="F49" s="6"/>
      <c r="G49" s="6"/>
      <c r="H49" s="6"/>
      <c r="I49" s="6"/>
      <c r="J49" s="6"/>
      <c r="K49" s="6"/>
    </row>
    <row r="50" spans="2:11" ht="15.75" thickBot="1">
      <c r="B50" s="1669"/>
      <c r="C50" s="93"/>
      <c r="D50" s="41" t="s">
        <v>45</v>
      </c>
      <c r="E50" s="432" t="s">
        <v>166</v>
      </c>
      <c r="F50" s="6"/>
      <c r="G50" s="6"/>
      <c r="H50" s="6"/>
      <c r="I50" s="6"/>
      <c r="J50" s="6"/>
      <c r="K50" s="6"/>
    </row>
    <row r="51" spans="2:11" ht="15.75" thickBot="1">
      <c r="B51" s="1669"/>
      <c r="C51" s="93"/>
      <c r="D51" s="41" t="s">
        <v>46</v>
      </c>
      <c r="E51" s="307"/>
      <c r="F51" s="6"/>
      <c r="G51" s="6"/>
      <c r="H51" s="6"/>
      <c r="I51" s="6"/>
      <c r="J51" s="6"/>
      <c r="K51" s="6"/>
    </row>
    <row r="52" spans="2:11" ht="15.75" thickBot="1">
      <c r="B52" s="1669"/>
      <c r="C52" s="93"/>
      <c r="D52" s="41" t="s">
        <v>47</v>
      </c>
      <c r="E52" s="307"/>
      <c r="F52" s="6"/>
      <c r="G52" s="6"/>
      <c r="H52" s="6"/>
      <c r="I52" s="6"/>
      <c r="J52" s="6"/>
      <c r="K52" s="6"/>
    </row>
    <row r="53" spans="2:11" ht="15.75" thickBot="1">
      <c r="B53" s="1669"/>
      <c r="C53" s="93"/>
      <c r="D53" s="41" t="s">
        <v>48</v>
      </c>
      <c r="E53" s="307"/>
      <c r="F53" s="6"/>
      <c r="G53" s="6"/>
      <c r="H53" s="6"/>
      <c r="I53" s="6"/>
      <c r="J53" s="6"/>
      <c r="K53" s="6"/>
    </row>
    <row r="54" spans="2:11" ht="15.75" thickBot="1">
      <c r="B54" s="1669"/>
      <c r="C54" s="93"/>
      <c r="D54" s="41" t="s">
        <v>49</v>
      </c>
      <c r="E54" s="307"/>
      <c r="F54" s="6"/>
      <c r="G54" s="6"/>
      <c r="H54" s="6"/>
      <c r="I54" s="6"/>
      <c r="J54" s="6"/>
      <c r="K54" s="6"/>
    </row>
    <row r="55" spans="2:11" ht="15.75" thickBot="1">
      <c r="B55" s="1670"/>
      <c r="C55" s="3"/>
      <c r="D55" s="41" t="s">
        <v>50</v>
      </c>
      <c r="E55" s="307"/>
      <c r="F55" s="6"/>
      <c r="G55" s="6"/>
      <c r="H55" s="6"/>
      <c r="I55" s="6"/>
      <c r="J55" s="6"/>
      <c r="K55" s="6"/>
    </row>
    <row r="56" spans="2:11" ht="15.75" thickBot="1">
      <c r="B56" s="2"/>
      <c r="C56" s="75"/>
      <c r="D56" s="6"/>
      <c r="E56" s="6"/>
      <c r="F56" s="6"/>
      <c r="G56" s="6"/>
      <c r="H56" s="6"/>
      <c r="I56" s="6"/>
      <c r="J56" s="6"/>
      <c r="K56" s="6"/>
    </row>
    <row r="57" spans="2:11" ht="15" customHeight="1" thickBot="1">
      <c r="B57" s="123" t="s">
        <v>54</v>
      </c>
      <c r="C57" s="124"/>
      <c r="D57" s="124"/>
      <c r="E57" s="125"/>
      <c r="F57" s="6"/>
      <c r="G57" s="6"/>
      <c r="H57" s="6"/>
      <c r="I57" s="6"/>
      <c r="J57" s="6"/>
      <c r="K57" s="6"/>
    </row>
    <row r="58" spans="2:11" ht="24.75" thickBot="1">
      <c r="B58" s="48" t="s">
        <v>55</v>
      </c>
      <c r="C58" s="41" t="s">
        <v>56</v>
      </c>
      <c r="D58" s="41" t="s">
        <v>57</v>
      </c>
      <c r="E58" s="41" t="s">
        <v>58</v>
      </c>
      <c r="F58" s="6"/>
      <c r="G58" s="6"/>
      <c r="H58" s="6"/>
      <c r="I58" s="6"/>
      <c r="J58" s="6"/>
    </row>
    <row r="59" spans="2:11" ht="72.75" thickBot="1">
      <c r="B59" s="50">
        <v>42401</v>
      </c>
      <c r="C59" s="41">
        <v>0.01</v>
      </c>
      <c r="D59" s="51" t="s">
        <v>592</v>
      </c>
      <c r="E59" s="41"/>
      <c r="F59" s="6"/>
      <c r="G59" s="6"/>
      <c r="H59" s="6"/>
      <c r="I59" s="6"/>
      <c r="J59" s="6"/>
    </row>
    <row r="60" spans="2:11" ht="15.75" thickBot="1">
      <c r="B60" s="4"/>
      <c r="C60" s="94"/>
      <c r="D60" s="6"/>
      <c r="E60" s="6"/>
      <c r="F60" s="6"/>
      <c r="G60" s="6"/>
      <c r="H60" s="6"/>
      <c r="I60" s="6"/>
      <c r="J60" s="6"/>
      <c r="K60" s="6"/>
    </row>
    <row r="61" spans="2:11">
      <c r="B61" s="134" t="s">
        <v>60</v>
      </c>
      <c r="C61" s="95"/>
      <c r="D61" s="6"/>
      <c r="E61" s="6"/>
      <c r="F61" s="6"/>
      <c r="G61" s="6"/>
      <c r="H61" s="6"/>
      <c r="I61" s="6"/>
      <c r="J61" s="6"/>
      <c r="K61" s="6"/>
    </row>
    <row r="62" spans="2:11">
      <c r="B62" s="1651"/>
      <c r="C62" s="1652"/>
      <c r="D62" s="1652"/>
      <c r="E62" s="1653"/>
      <c r="F62" s="6"/>
      <c r="G62" s="6"/>
      <c r="H62" s="6"/>
      <c r="I62" s="6"/>
      <c r="J62" s="6"/>
      <c r="K62" s="6"/>
    </row>
    <row r="63" spans="2:11">
      <c r="B63" s="1654"/>
      <c r="C63" s="1655"/>
      <c r="D63" s="1655"/>
      <c r="E63" s="1656"/>
      <c r="F63" s="6"/>
      <c r="G63" s="6"/>
      <c r="H63" s="6"/>
      <c r="I63" s="6"/>
      <c r="J63" s="6"/>
      <c r="K63" s="6"/>
    </row>
    <row r="64" spans="2:11">
      <c r="B64" s="2"/>
      <c r="C64" s="75"/>
      <c r="D64" s="6"/>
      <c r="E64" s="6"/>
      <c r="F64" s="6"/>
      <c r="G64" s="6"/>
      <c r="H64" s="6"/>
      <c r="I64" s="6"/>
      <c r="J64" s="6"/>
      <c r="K64" s="6"/>
    </row>
    <row r="65" spans="2:11" ht="15.75" thickBot="1">
      <c r="B65" s="6"/>
      <c r="D65" s="6"/>
      <c r="E65" s="6"/>
      <c r="F65" s="6"/>
      <c r="G65" s="6"/>
      <c r="H65" s="6"/>
      <c r="I65" s="6"/>
      <c r="J65" s="6"/>
      <c r="K65" s="6"/>
    </row>
    <row r="66" spans="2:11" ht="24.75" thickBot="1">
      <c r="B66" s="52" t="s">
        <v>459</v>
      </c>
      <c r="C66" s="96"/>
      <c r="D66" s="6"/>
      <c r="E66" s="6"/>
      <c r="F66" s="6"/>
      <c r="G66" s="6"/>
      <c r="H66" s="6"/>
      <c r="I66" s="6"/>
      <c r="J66" s="6"/>
      <c r="K66" s="6"/>
    </row>
    <row r="67" spans="2:11" ht="15.75" thickBot="1">
      <c r="B67" s="38"/>
      <c r="C67" s="87"/>
      <c r="D67" s="6"/>
      <c r="E67" s="6"/>
      <c r="F67" s="6"/>
      <c r="G67" s="6"/>
      <c r="H67" s="6"/>
      <c r="I67" s="6"/>
      <c r="J67" s="6"/>
      <c r="K67" s="6"/>
    </row>
    <row r="68" spans="2:11" ht="72.75" thickBot="1">
      <c r="B68" s="53" t="s">
        <v>62</v>
      </c>
      <c r="C68" s="97"/>
      <c r="D68" s="44" t="s">
        <v>566</v>
      </c>
      <c r="E68" s="6"/>
      <c r="F68" s="6"/>
      <c r="G68" s="6"/>
      <c r="H68" s="6"/>
      <c r="I68" s="6"/>
      <c r="J68" s="6"/>
      <c r="K68" s="6"/>
    </row>
    <row r="69" spans="2:11">
      <c r="B69" s="1668" t="s">
        <v>64</v>
      </c>
      <c r="C69" s="93"/>
      <c r="D69" s="54" t="s">
        <v>65</v>
      </c>
      <c r="E69" s="6"/>
      <c r="F69" s="6"/>
      <c r="G69" s="6"/>
      <c r="H69" s="6"/>
      <c r="I69" s="6"/>
      <c r="J69" s="6"/>
      <c r="K69" s="6"/>
    </row>
    <row r="70" spans="2:11" ht="96">
      <c r="B70" s="1669"/>
      <c r="C70" s="93"/>
      <c r="D70" s="47" t="s">
        <v>567</v>
      </c>
      <c r="E70" s="6"/>
      <c r="F70" s="6"/>
      <c r="G70" s="6"/>
      <c r="H70" s="6"/>
      <c r="I70" s="6"/>
      <c r="J70" s="6"/>
      <c r="K70" s="6"/>
    </row>
    <row r="71" spans="2:11" ht="36">
      <c r="B71" s="1669"/>
      <c r="C71" s="93"/>
      <c r="D71" s="47" t="s">
        <v>568</v>
      </c>
      <c r="E71" s="6"/>
      <c r="F71" s="6"/>
      <c r="G71" s="6"/>
      <c r="H71" s="6"/>
      <c r="I71" s="6"/>
      <c r="J71" s="6"/>
      <c r="K71" s="6"/>
    </row>
    <row r="72" spans="2:11">
      <c r="B72" s="1669"/>
      <c r="C72" s="93"/>
      <c r="D72" s="54" t="s">
        <v>68</v>
      </c>
      <c r="E72" s="6"/>
      <c r="F72" s="6"/>
      <c r="G72" s="6"/>
      <c r="H72" s="6"/>
      <c r="I72" s="6"/>
      <c r="J72" s="6"/>
      <c r="K72" s="6"/>
    </row>
    <row r="73" spans="2:11">
      <c r="B73" s="1669"/>
      <c r="C73" s="93"/>
      <c r="D73" s="47" t="s">
        <v>70</v>
      </c>
      <c r="E73" s="6"/>
      <c r="F73" s="6"/>
      <c r="G73" s="6"/>
      <c r="H73" s="6"/>
      <c r="I73" s="6"/>
      <c r="J73" s="6"/>
      <c r="K73" s="6"/>
    </row>
    <row r="74" spans="2:11">
      <c r="B74" s="1669"/>
      <c r="C74" s="93"/>
      <c r="D74" s="54" t="s">
        <v>296</v>
      </c>
      <c r="E74" s="6"/>
      <c r="F74" s="6"/>
      <c r="G74" s="6"/>
      <c r="H74" s="6"/>
      <c r="I74" s="6"/>
      <c r="J74" s="6"/>
      <c r="K74" s="6"/>
    </row>
    <row r="75" spans="2:11" ht="36">
      <c r="B75" s="1669"/>
      <c r="C75" s="93"/>
      <c r="D75" s="47" t="s">
        <v>462</v>
      </c>
      <c r="E75" s="6"/>
      <c r="F75" s="6"/>
      <c r="G75" s="6"/>
      <c r="H75" s="6"/>
      <c r="I75" s="6"/>
      <c r="J75" s="6"/>
      <c r="K75" s="6"/>
    </row>
    <row r="76" spans="2:11">
      <c r="B76" s="1669"/>
      <c r="C76" s="93"/>
      <c r="D76" s="47" t="s">
        <v>569</v>
      </c>
      <c r="E76" s="6"/>
      <c r="F76" s="6"/>
      <c r="G76" s="6"/>
      <c r="H76" s="6"/>
      <c r="I76" s="6"/>
      <c r="J76" s="6"/>
      <c r="K76" s="6"/>
    </row>
    <row r="77" spans="2:11" ht="15.75" thickBot="1">
      <c r="B77" s="1670"/>
      <c r="C77" s="3"/>
      <c r="D77" s="69"/>
      <c r="E77" s="6"/>
      <c r="F77" s="6"/>
      <c r="G77" s="6"/>
      <c r="H77" s="6"/>
      <c r="I77" s="6"/>
      <c r="J77" s="6"/>
      <c r="K77" s="6"/>
    </row>
    <row r="78" spans="2:11" ht="24.75" thickBot="1">
      <c r="B78" s="48" t="s">
        <v>77</v>
      </c>
      <c r="C78" s="3"/>
      <c r="D78" s="41"/>
      <c r="E78" s="6"/>
      <c r="F78" s="6"/>
      <c r="G78" s="6"/>
      <c r="H78" s="6"/>
      <c r="I78" s="6"/>
      <c r="J78" s="6"/>
      <c r="K78" s="6"/>
    </row>
    <row r="79" spans="2:11" ht="72">
      <c r="B79" s="1668" t="s">
        <v>78</v>
      </c>
      <c r="C79" s="93"/>
      <c r="D79" s="47" t="s">
        <v>570</v>
      </c>
      <c r="E79" s="6"/>
      <c r="F79" s="6"/>
      <c r="G79" s="6"/>
      <c r="H79" s="6"/>
      <c r="I79" s="6"/>
      <c r="J79" s="6"/>
      <c r="K79" s="6"/>
    </row>
    <row r="80" spans="2:11" ht="132">
      <c r="B80" s="1669"/>
      <c r="C80" s="93"/>
      <c r="D80" s="47" t="s">
        <v>571</v>
      </c>
      <c r="E80" s="6"/>
      <c r="F80" s="6"/>
      <c r="G80" s="6"/>
      <c r="H80" s="6"/>
      <c r="I80" s="6"/>
      <c r="J80" s="6"/>
      <c r="K80" s="6"/>
    </row>
    <row r="81" spans="2:11" ht="108">
      <c r="B81" s="1669"/>
      <c r="C81" s="93"/>
      <c r="D81" s="47" t="s">
        <v>572</v>
      </c>
      <c r="E81" s="6"/>
      <c r="F81" s="6"/>
      <c r="G81" s="6"/>
      <c r="H81" s="6"/>
      <c r="I81" s="6"/>
      <c r="J81" s="6"/>
      <c r="K81" s="6"/>
    </row>
    <row r="82" spans="2:11" ht="84">
      <c r="B82" s="1669"/>
      <c r="C82" s="93"/>
      <c r="D82" s="47" t="s">
        <v>573</v>
      </c>
      <c r="E82" s="6"/>
      <c r="F82" s="6"/>
      <c r="G82" s="6"/>
      <c r="H82" s="6"/>
      <c r="I82" s="6"/>
      <c r="J82" s="6"/>
      <c r="K82" s="6"/>
    </row>
    <row r="83" spans="2:11" ht="108">
      <c r="B83" s="1669"/>
      <c r="C83" s="93"/>
      <c r="D83" s="47" t="s">
        <v>574</v>
      </c>
      <c r="E83" s="6"/>
      <c r="F83" s="6"/>
      <c r="G83" s="6"/>
      <c r="H83" s="6"/>
      <c r="I83" s="6"/>
      <c r="J83" s="6"/>
      <c r="K83" s="6"/>
    </row>
    <row r="84" spans="2:11" ht="60">
      <c r="B84" s="1669"/>
      <c r="C84" s="93"/>
      <c r="D84" s="47" t="s">
        <v>575</v>
      </c>
      <c r="E84" s="6"/>
      <c r="F84" s="6"/>
      <c r="G84" s="6"/>
      <c r="H84" s="6"/>
      <c r="I84" s="6"/>
      <c r="J84" s="6"/>
      <c r="K84" s="6"/>
    </row>
    <row r="85" spans="2:11" ht="84.75" thickBot="1">
      <c r="B85" s="1670"/>
      <c r="C85" s="3"/>
      <c r="D85" s="41" t="s">
        <v>576</v>
      </c>
      <c r="E85" s="6"/>
      <c r="F85" s="6"/>
      <c r="G85" s="6"/>
      <c r="H85" s="6"/>
      <c r="I85" s="6"/>
      <c r="J85" s="6"/>
      <c r="K85" s="6"/>
    </row>
    <row r="86" spans="2:11" ht="24">
      <c r="B86" s="1668" t="s">
        <v>95</v>
      </c>
      <c r="C86" s="93"/>
      <c r="D86" s="54" t="s">
        <v>565</v>
      </c>
      <c r="E86" s="6"/>
      <c r="F86" s="6"/>
      <c r="G86" s="6"/>
      <c r="H86" s="6"/>
      <c r="I86" s="6"/>
      <c r="J86" s="6"/>
      <c r="K86" s="6"/>
    </row>
    <row r="87" spans="2:11">
      <c r="B87" s="1669"/>
      <c r="C87" s="93"/>
      <c r="D87" s="17"/>
      <c r="E87" s="6"/>
      <c r="F87" s="6"/>
      <c r="G87" s="6"/>
      <c r="H87" s="6"/>
      <c r="I87" s="6"/>
      <c r="J87" s="6"/>
      <c r="K87" s="6"/>
    </row>
    <row r="88" spans="2:11">
      <c r="B88" s="1669"/>
      <c r="C88" s="93"/>
      <c r="D88" s="47" t="s">
        <v>96</v>
      </c>
      <c r="E88" s="6"/>
      <c r="F88" s="6"/>
      <c r="G88" s="6"/>
      <c r="H88" s="6"/>
      <c r="I88" s="6"/>
      <c r="J88" s="6"/>
      <c r="K88" s="6"/>
    </row>
    <row r="89" spans="2:11" ht="49.5">
      <c r="B89" s="1669"/>
      <c r="C89" s="93"/>
      <c r="D89" s="47" t="s">
        <v>577</v>
      </c>
      <c r="E89" s="6"/>
      <c r="F89" s="6"/>
      <c r="G89" s="6"/>
      <c r="H89" s="6"/>
      <c r="I89" s="6"/>
      <c r="J89" s="6"/>
      <c r="K89" s="6"/>
    </row>
    <row r="90" spans="2:11" ht="37.5">
      <c r="B90" s="1669"/>
      <c r="C90" s="93"/>
      <c r="D90" s="47" t="s">
        <v>578</v>
      </c>
      <c r="E90" s="6"/>
      <c r="F90" s="6"/>
      <c r="G90" s="6"/>
      <c r="H90" s="6"/>
      <c r="I90" s="6"/>
      <c r="J90" s="6"/>
      <c r="K90" s="6"/>
    </row>
    <row r="91" spans="2:11" ht="37.5">
      <c r="B91" s="1669"/>
      <c r="C91" s="93"/>
      <c r="D91" s="47" t="s">
        <v>579</v>
      </c>
      <c r="E91" s="6"/>
      <c r="F91" s="6"/>
      <c r="G91" s="6"/>
      <c r="H91" s="6"/>
      <c r="I91" s="6"/>
      <c r="J91" s="6"/>
      <c r="K91" s="6"/>
    </row>
    <row r="92" spans="2:11" ht="84">
      <c r="B92" s="1669"/>
      <c r="C92" s="93"/>
      <c r="D92" s="55" t="s">
        <v>243</v>
      </c>
      <c r="E92" s="6"/>
      <c r="F92" s="6"/>
      <c r="G92" s="6"/>
      <c r="H92" s="6"/>
      <c r="I92" s="6"/>
      <c r="J92" s="6"/>
      <c r="K92" s="6"/>
    </row>
    <row r="93" spans="2:11">
      <c r="B93" s="1669"/>
      <c r="C93" s="93"/>
      <c r="D93" s="54" t="s">
        <v>254</v>
      </c>
      <c r="E93" s="6"/>
      <c r="F93" s="6"/>
      <c r="G93" s="6"/>
      <c r="H93" s="6"/>
      <c r="I93" s="6"/>
      <c r="J93" s="6"/>
      <c r="K93" s="6"/>
    </row>
    <row r="94" spans="2:11" ht="36">
      <c r="B94" s="1669"/>
      <c r="C94" s="93"/>
      <c r="D94" s="54" t="s">
        <v>580</v>
      </c>
      <c r="E94" s="6"/>
      <c r="F94" s="6"/>
      <c r="G94" s="6"/>
      <c r="H94" s="6"/>
      <c r="I94" s="6"/>
      <c r="J94" s="6"/>
      <c r="K94" s="6"/>
    </row>
    <row r="95" spans="2:11">
      <c r="B95" s="1669"/>
      <c r="C95" s="93"/>
      <c r="D95" s="54" t="s">
        <v>581</v>
      </c>
      <c r="E95" s="6"/>
      <c r="F95" s="6"/>
      <c r="G95" s="6"/>
      <c r="H95" s="6"/>
      <c r="I95" s="6"/>
      <c r="J95" s="6"/>
      <c r="K95" s="6"/>
    </row>
    <row r="96" spans="2:11">
      <c r="B96" s="1669"/>
      <c r="C96" s="93"/>
      <c r="D96" s="17"/>
      <c r="E96" s="6"/>
      <c r="F96" s="6"/>
      <c r="G96" s="6"/>
      <c r="H96" s="6"/>
      <c r="I96" s="6"/>
      <c r="J96" s="6"/>
      <c r="K96" s="6"/>
    </row>
    <row r="97" spans="2:11">
      <c r="B97" s="1669"/>
      <c r="C97" s="93"/>
      <c r="D97" s="47" t="s">
        <v>96</v>
      </c>
      <c r="E97" s="6"/>
      <c r="F97" s="6"/>
      <c r="G97" s="6"/>
      <c r="H97" s="6"/>
      <c r="I97" s="6"/>
      <c r="J97" s="6"/>
      <c r="K97" s="6"/>
    </row>
    <row r="98" spans="2:11" ht="37.5">
      <c r="B98" s="1669"/>
      <c r="C98" s="93"/>
      <c r="D98" s="47" t="s">
        <v>582</v>
      </c>
      <c r="E98" s="6"/>
      <c r="F98" s="6"/>
      <c r="G98" s="6"/>
      <c r="H98" s="6"/>
      <c r="I98" s="6"/>
      <c r="J98" s="6"/>
      <c r="K98" s="6"/>
    </row>
    <row r="99" spans="2:11" ht="62.25" thickBot="1">
      <c r="B99" s="1670"/>
      <c r="C99" s="3"/>
      <c r="D99" s="41" t="s">
        <v>583</v>
      </c>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sheetData>
  <sheetProtection sheet="1" objects="1" scenarios="1" insertRows="0"/>
  <mergeCells count="25">
    <mergeCell ref="B10:D10"/>
    <mergeCell ref="F10:S10"/>
    <mergeCell ref="F11:S11"/>
    <mergeCell ref="E12:R12"/>
    <mergeCell ref="E13:R13"/>
    <mergeCell ref="B62:E63"/>
    <mergeCell ref="B69:B77"/>
    <mergeCell ref="B79:B85"/>
    <mergeCell ref="B86:B99"/>
    <mergeCell ref="D15:K15"/>
    <mergeCell ref="D23:K23"/>
    <mergeCell ref="D24:K24"/>
    <mergeCell ref="D25:K25"/>
    <mergeCell ref="D36:K36"/>
    <mergeCell ref="D37:K37"/>
    <mergeCell ref="B39:E39"/>
    <mergeCell ref="B40:B46"/>
    <mergeCell ref="B48:E48"/>
    <mergeCell ref="B49:B55"/>
    <mergeCell ref="B15:B25"/>
    <mergeCell ref="A1:P1"/>
    <mergeCell ref="A2:P2"/>
    <mergeCell ref="A3:P3"/>
    <mergeCell ref="A4:D4"/>
    <mergeCell ref="A5:P5"/>
  </mergeCells>
  <conditionalFormatting sqref="F10">
    <cfRule type="notContainsBlanks" dxfId="70" priority="4">
      <formula>LEN(TRIM(F10))&gt;0</formula>
    </cfRule>
  </conditionalFormatting>
  <conditionalFormatting sqref="F11:S11">
    <cfRule type="expression" dxfId="69" priority="2">
      <formula>E11="NO SE REPORTA"</formula>
    </cfRule>
    <cfRule type="expression" dxfId="68" priority="3">
      <formula>E10="NO APLICA"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J27 G27:H27 I27:I28 I31:I34">
      <formula1>0</formula1>
    </dataValidation>
    <dataValidation type="whole" operator="greaterThanOrEqual" allowBlank="1" showInputMessage="1" showErrorMessage="1" errorTitle="ERROR" error="Valor en HECTAREAS (sin decimales)" sqref="E17:H20 F27:F34">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display="g.fonseca@corpoguajira.gov.co"/>
  </hyperlinks>
  <pageMargins left="0.25" right="0.25" top="0.75" bottom="0.75" header="0.3" footer="0.3"/>
  <pageSetup paperSize="178"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topLeftCell="D5" zoomScale="196" zoomScaleNormal="196" workbookViewId="0">
      <selection activeCell="D29" sqref="D29"/>
    </sheetView>
  </sheetViews>
  <sheetFormatPr baseColWidth="10" defaultRowHeight="15"/>
  <cols>
    <col min="1" max="1" width="1.85546875" customWidth="1"/>
    <col min="2" max="2" width="12.85546875" customWidth="1"/>
    <col min="3" max="3" width="5" style="86" bestFit="1" customWidth="1"/>
    <col min="4" max="4" width="34.85546875" customWidth="1"/>
    <col min="5" max="5" width="15" customWidth="1"/>
    <col min="10" max="10" width="33.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593</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3" t="s">
        <v>1203</v>
      </c>
      <c r="C8" s="214">
        <v>2018</v>
      </c>
      <c r="D8" s="218">
        <f>IF(E10="NO APLICA","NO APLICA",IF(E11="NO SE REPORTA","SIN INFORMACION",+I36))</f>
        <v>0.48</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t="s">
        <v>1660</v>
      </c>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Gestión'!E49:H49</f>
        <v>Proyecto No 3.1. Ecosistemas estratégicos continentales y marinos (6).</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 customHeight="1" thickTop="1">
      <c r="B15" s="1683" t="s">
        <v>2</v>
      </c>
      <c r="C15" s="88"/>
      <c r="D15" s="1685" t="s">
        <v>344</v>
      </c>
      <c r="E15" s="1686"/>
      <c r="F15" s="1686"/>
      <c r="G15" s="1686"/>
      <c r="H15" s="1686"/>
      <c r="I15" s="1686"/>
      <c r="J15" s="1686"/>
      <c r="K15" s="1687"/>
    </row>
    <row r="16" spans="1:21" ht="15.75" thickBot="1">
      <c r="B16" s="1684"/>
      <c r="C16" s="91"/>
      <c r="D16" s="1784" t="s">
        <v>624</v>
      </c>
      <c r="E16" s="1785"/>
      <c r="F16" s="1785"/>
      <c r="G16" s="1785"/>
      <c r="H16" s="1785"/>
      <c r="I16" s="1785"/>
      <c r="J16" s="1785"/>
      <c r="K16" s="1786"/>
    </row>
    <row r="17" spans="2:11" ht="15.75" thickBot="1">
      <c r="B17" s="1684"/>
      <c r="C17" s="89" t="s">
        <v>24</v>
      </c>
      <c r="D17" s="39" t="s">
        <v>261</v>
      </c>
      <c r="E17" s="39" t="s">
        <v>25</v>
      </c>
      <c r="F17" s="39" t="s">
        <v>26</v>
      </c>
      <c r="G17" s="39" t="s">
        <v>27</v>
      </c>
      <c r="H17" s="39" t="s">
        <v>28</v>
      </c>
      <c r="I17" s="39" t="s">
        <v>262</v>
      </c>
      <c r="K17" s="22"/>
    </row>
    <row r="18" spans="2:11" ht="24.75" thickBot="1">
      <c r="B18" s="1684"/>
      <c r="C18" s="90" t="s">
        <v>158</v>
      </c>
      <c r="D18" s="41" t="s">
        <v>625</v>
      </c>
      <c r="E18" s="7">
        <v>0</v>
      </c>
      <c r="F18" s="7">
        <v>0</v>
      </c>
      <c r="G18" s="7">
        <v>0</v>
      </c>
      <c r="H18" s="7">
        <v>7</v>
      </c>
      <c r="I18" s="43">
        <f>SUM(E18:H18)</f>
        <v>7</v>
      </c>
      <c r="K18" s="22"/>
    </row>
    <row r="19" spans="2:11" ht="15.75" thickBot="1">
      <c r="B19" s="1684"/>
      <c r="C19" s="91"/>
      <c r="D19" s="1716" t="s">
        <v>626</v>
      </c>
      <c r="E19" s="1717"/>
      <c r="F19" s="1717"/>
      <c r="G19" s="1717"/>
      <c r="H19" s="1717"/>
      <c r="I19" s="1717"/>
      <c r="J19" s="1717"/>
      <c r="K19" s="1718"/>
    </row>
    <row r="20" spans="2:11" ht="15" customHeight="1" thickBot="1">
      <c r="B20" s="425"/>
      <c r="C20" s="1787" t="s">
        <v>24</v>
      </c>
      <c r="D20" s="1789" t="s">
        <v>278</v>
      </c>
      <c r="E20" s="1737" t="s">
        <v>627</v>
      </c>
      <c r="F20" s="1791" t="s">
        <v>628</v>
      </c>
      <c r="G20" s="1792"/>
      <c r="H20" s="1792"/>
      <c r="I20" s="1792"/>
      <c r="J20" s="1793"/>
      <c r="K20" s="115"/>
    </row>
    <row r="21" spans="2:11" ht="34.5" thickBot="1">
      <c r="B21" s="425"/>
      <c r="C21" s="1788"/>
      <c r="D21" s="1790"/>
      <c r="E21" s="1738"/>
      <c r="F21" s="1352" t="s">
        <v>629</v>
      </c>
      <c r="G21" s="1065" t="s">
        <v>630</v>
      </c>
      <c r="H21" s="1065" t="s">
        <v>631</v>
      </c>
      <c r="I21" s="206" t="s">
        <v>632</v>
      </c>
      <c r="J21" s="206" t="s">
        <v>60</v>
      </c>
      <c r="K21" s="116"/>
    </row>
    <row r="22" spans="2:11" s="403" customFormat="1" ht="45.75" thickBot="1">
      <c r="B22" s="1351"/>
      <c r="C22" s="1354">
        <v>1</v>
      </c>
      <c r="D22" s="1370" t="s">
        <v>2046</v>
      </c>
      <c r="E22" s="1763" t="s">
        <v>633</v>
      </c>
      <c r="F22" s="1361">
        <f>SUM(F23:F29)</f>
        <v>1</v>
      </c>
      <c r="G22" s="1355"/>
      <c r="H22" s="1360"/>
      <c r="I22" s="1362"/>
      <c r="J22" s="1363"/>
      <c r="K22" s="116"/>
    </row>
    <row r="23" spans="2:11" ht="48" customHeight="1" thickBot="1">
      <c r="B23" s="425"/>
      <c r="C23" s="31"/>
      <c r="D23" s="1371" t="s">
        <v>1703</v>
      </c>
      <c r="E23" s="1764"/>
      <c r="F23" s="1357">
        <v>0.1</v>
      </c>
      <c r="G23" s="1399">
        <v>0.8</v>
      </c>
      <c r="H23" s="1353">
        <v>0.2</v>
      </c>
      <c r="I23" s="1343">
        <f t="shared" ref="I23:I28" si="0">+G23*H23</f>
        <v>0.16</v>
      </c>
      <c r="J23" s="1344"/>
      <c r="K23" s="116"/>
    </row>
    <row r="24" spans="2:11" s="403" customFormat="1" ht="25.5" customHeight="1" thickBot="1">
      <c r="B24" s="826"/>
      <c r="C24" s="31"/>
      <c r="D24" s="1371" t="s">
        <v>1704</v>
      </c>
      <c r="E24" s="1764"/>
      <c r="F24" s="1358">
        <v>0.1</v>
      </c>
      <c r="G24" s="1341"/>
      <c r="H24" s="1348"/>
      <c r="I24" s="1343">
        <f t="shared" si="0"/>
        <v>0</v>
      </c>
      <c r="J24" s="1346"/>
      <c r="K24" s="22"/>
    </row>
    <row r="25" spans="2:11" s="403" customFormat="1" ht="13.5" customHeight="1" thickBot="1">
      <c r="B25" s="1339"/>
      <c r="C25" s="31"/>
      <c r="D25" s="1371" t="s">
        <v>2045</v>
      </c>
      <c r="E25" s="1764"/>
      <c r="F25" s="1358">
        <v>0.2</v>
      </c>
      <c r="G25" s="1347">
        <v>1</v>
      </c>
      <c r="H25" s="1348"/>
      <c r="I25" s="1343">
        <f t="shared" si="0"/>
        <v>0</v>
      </c>
      <c r="J25" s="1346"/>
      <c r="K25" s="22"/>
    </row>
    <row r="26" spans="2:11" s="403" customFormat="1" ht="36.75" customHeight="1" thickBot="1">
      <c r="B26" s="826"/>
      <c r="C26" s="31"/>
      <c r="D26" s="1371" t="s">
        <v>2044</v>
      </c>
      <c r="E26" s="1764"/>
      <c r="F26" s="1359">
        <v>0.1</v>
      </c>
      <c r="G26" s="1342"/>
      <c r="H26" s="830"/>
      <c r="I26" s="1343">
        <f t="shared" si="0"/>
        <v>0</v>
      </c>
      <c r="J26" s="1346"/>
      <c r="K26" s="22"/>
    </row>
    <row r="27" spans="2:11" s="403" customFormat="1" ht="47.25" customHeight="1" thickBot="1">
      <c r="B27" s="826"/>
      <c r="C27" s="31"/>
      <c r="D27" s="1372" t="s">
        <v>1701</v>
      </c>
      <c r="E27" s="1764"/>
      <c r="F27" s="1358">
        <v>0.2</v>
      </c>
      <c r="G27" s="1342"/>
      <c r="H27" s="830"/>
      <c r="I27" s="1343">
        <f t="shared" si="0"/>
        <v>0</v>
      </c>
      <c r="J27" s="1346"/>
      <c r="K27" s="22"/>
    </row>
    <row r="28" spans="2:11" s="403" customFormat="1" ht="34.5" thickBot="1">
      <c r="B28" s="826"/>
      <c r="C28" s="31"/>
      <c r="D28" s="1373" t="s">
        <v>1702</v>
      </c>
      <c r="E28" s="1764"/>
      <c r="F28" s="1358">
        <v>0.1</v>
      </c>
      <c r="G28" s="1342"/>
      <c r="H28" s="830"/>
      <c r="I28" s="1343">
        <f t="shared" si="0"/>
        <v>0</v>
      </c>
      <c r="J28" s="1346"/>
      <c r="K28" s="22"/>
    </row>
    <row r="29" spans="2:11" ht="34.5" thickBot="1">
      <c r="B29" s="425"/>
      <c r="C29" s="370"/>
      <c r="D29" s="1373" t="s">
        <v>1700</v>
      </c>
      <c r="E29" s="1765"/>
      <c r="F29" s="1358">
        <v>0.2</v>
      </c>
      <c r="G29" s="1342"/>
      <c r="H29" s="1347"/>
      <c r="I29" s="1345">
        <f t="shared" ref="I29:I35" si="1">+G29*H29</f>
        <v>0</v>
      </c>
      <c r="J29" s="1346"/>
      <c r="K29" s="22"/>
    </row>
    <row r="30" spans="2:11" s="403" customFormat="1" ht="26.25" customHeight="1" thickBot="1">
      <c r="B30" s="1350"/>
      <c r="C30" s="370"/>
      <c r="D30" s="1356"/>
      <c r="E30" s="1369" t="s">
        <v>634</v>
      </c>
      <c r="F30" s="1358">
        <v>1</v>
      </c>
      <c r="G30" s="1342">
        <v>0.4</v>
      </c>
      <c r="H30" s="1347">
        <v>0.2</v>
      </c>
      <c r="I30" s="1345">
        <f t="shared" si="1"/>
        <v>0.08</v>
      </c>
      <c r="J30" s="1346"/>
      <c r="K30" s="22"/>
    </row>
    <row r="31" spans="2:11" ht="57" thickBot="1">
      <c r="B31" s="425"/>
      <c r="C31" s="370"/>
      <c r="D31" s="983" t="s">
        <v>1705</v>
      </c>
      <c r="E31" s="1374" t="s">
        <v>635</v>
      </c>
      <c r="F31" s="1347">
        <v>1</v>
      </c>
      <c r="G31" s="1347">
        <v>0.3</v>
      </c>
      <c r="H31" s="1347">
        <v>0.2</v>
      </c>
      <c r="I31" s="1345">
        <f t="shared" si="1"/>
        <v>0.06</v>
      </c>
      <c r="J31" s="1346"/>
      <c r="K31" s="22"/>
    </row>
    <row r="32" spans="2:11" ht="34.5" thickBot="1">
      <c r="B32" s="425"/>
      <c r="C32" s="370"/>
      <c r="D32" s="31"/>
      <c r="E32" s="1375" t="s">
        <v>636</v>
      </c>
      <c r="F32" s="1347">
        <v>1</v>
      </c>
      <c r="G32" s="1342">
        <v>0.3</v>
      </c>
      <c r="H32" s="1347">
        <v>0.2</v>
      </c>
      <c r="I32" s="1345">
        <f t="shared" si="1"/>
        <v>0.06</v>
      </c>
      <c r="J32" s="1346"/>
      <c r="K32" s="22"/>
    </row>
    <row r="33" spans="2:11" ht="23.25" customHeight="1" thickBot="1">
      <c r="B33" s="425"/>
      <c r="C33" s="370"/>
      <c r="D33" s="983" t="s">
        <v>2047</v>
      </c>
      <c r="E33" s="1794" t="s">
        <v>637</v>
      </c>
      <c r="F33" s="1347">
        <v>1</v>
      </c>
      <c r="G33" s="1342">
        <v>0.8</v>
      </c>
      <c r="H33" s="1347">
        <v>0.1</v>
      </c>
      <c r="I33" s="1345">
        <f t="shared" si="1"/>
        <v>0.08</v>
      </c>
      <c r="J33" s="1346"/>
      <c r="K33" s="22"/>
    </row>
    <row r="34" spans="2:11" ht="26.25" customHeight="1" thickBot="1">
      <c r="B34" s="425"/>
      <c r="C34" s="370"/>
      <c r="D34" s="1322" t="s">
        <v>2048</v>
      </c>
      <c r="E34" s="1795"/>
      <c r="F34" s="1347">
        <v>1</v>
      </c>
      <c r="G34" s="1342">
        <v>0</v>
      </c>
      <c r="H34" s="1347">
        <v>0.05</v>
      </c>
      <c r="I34" s="1345">
        <f t="shared" si="1"/>
        <v>0</v>
      </c>
      <c r="J34" s="1346"/>
      <c r="K34" s="22"/>
    </row>
    <row r="35" spans="2:11" ht="23.25" thickBot="1">
      <c r="B35" s="425"/>
      <c r="C35" s="370"/>
      <c r="D35" s="1376" t="s">
        <v>2049</v>
      </c>
      <c r="E35" s="1796"/>
      <c r="F35" s="1347">
        <v>1</v>
      </c>
      <c r="G35" s="1342">
        <v>0.8</v>
      </c>
      <c r="H35" s="1347">
        <v>0.05</v>
      </c>
      <c r="I35" s="1345">
        <f t="shared" si="1"/>
        <v>0.04</v>
      </c>
      <c r="J35" s="1346"/>
      <c r="K35" s="22"/>
    </row>
    <row r="36" spans="2:11" ht="15.75" thickBot="1">
      <c r="B36" s="425"/>
      <c r="C36" s="90"/>
      <c r="D36" s="40" t="s">
        <v>157</v>
      </c>
      <c r="E36" s="40"/>
      <c r="F36" s="40"/>
      <c r="G36" s="40"/>
      <c r="H36" s="1349">
        <f>Formulas!D20</f>
        <v>1</v>
      </c>
      <c r="I36" s="915">
        <f>Formulas!E20</f>
        <v>0.48</v>
      </c>
      <c r="J36" s="41"/>
      <c r="K36" s="117"/>
    </row>
    <row r="37" spans="2:11" ht="15.75" thickBot="1">
      <c r="B37" s="426"/>
      <c r="C37" s="92"/>
      <c r="D37" s="1680" t="s">
        <v>638</v>
      </c>
      <c r="E37" s="1681"/>
      <c r="F37" s="1681"/>
      <c r="G37" s="1681"/>
      <c r="H37" s="1681"/>
      <c r="I37" s="1681"/>
      <c r="J37" s="1681"/>
      <c r="K37" s="1682"/>
    </row>
    <row r="38" spans="2:11" ht="24" customHeight="1" thickBot="1">
      <c r="B38" s="48" t="s">
        <v>39</v>
      </c>
      <c r="C38" s="92"/>
      <c r="D38" s="1680" t="s">
        <v>639</v>
      </c>
      <c r="E38" s="1681"/>
      <c r="F38" s="1681"/>
      <c r="G38" s="1681"/>
      <c r="H38" s="1681"/>
      <c r="I38" s="1681"/>
      <c r="J38" s="1681"/>
      <c r="K38" s="1682"/>
    </row>
    <row r="39" spans="2:11" ht="36" customHeight="1" thickBot="1">
      <c r="B39" s="48" t="s">
        <v>41</v>
      </c>
      <c r="C39" s="92"/>
      <c r="D39" s="1680" t="s">
        <v>640</v>
      </c>
      <c r="E39" s="1681"/>
      <c r="F39" s="1681"/>
      <c r="G39" s="1681"/>
      <c r="H39" s="1681"/>
      <c r="I39" s="1681"/>
      <c r="J39" s="1681"/>
      <c r="K39" s="1682"/>
    </row>
    <row r="40" spans="2:11" ht="15.75" thickBot="1">
      <c r="B40" s="2"/>
      <c r="C40" s="75"/>
      <c r="D40" s="6"/>
      <c r="E40" s="6"/>
      <c r="F40" s="6"/>
      <c r="G40" s="6"/>
      <c r="H40" s="6"/>
      <c r="I40" s="6"/>
      <c r="J40" s="6"/>
      <c r="K40" s="6"/>
    </row>
    <row r="41" spans="2:11" ht="24" customHeight="1" thickBot="1">
      <c r="B41" s="1671" t="s">
        <v>43</v>
      </c>
      <c r="C41" s="1672"/>
      <c r="D41" s="1672"/>
      <c r="E41" s="1673"/>
      <c r="F41" s="6"/>
      <c r="G41" s="6"/>
      <c r="H41" s="6"/>
      <c r="I41" s="6"/>
      <c r="J41" s="6"/>
      <c r="K41" s="6"/>
    </row>
    <row r="42" spans="2:11" ht="15.75" thickBot="1">
      <c r="B42" s="1668">
        <v>1</v>
      </c>
      <c r="C42" s="93"/>
      <c r="D42" s="49" t="s">
        <v>44</v>
      </c>
      <c r="E42" s="31" t="s">
        <v>1616</v>
      </c>
      <c r="F42" s="6"/>
      <c r="G42" s="6"/>
      <c r="H42" s="6"/>
      <c r="I42" s="6"/>
      <c r="J42" s="6"/>
      <c r="K42" s="6"/>
    </row>
    <row r="43" spans="2:11" ht="15.75" thickBot="1">
      <c r="B43" s="1669"/>
      <c r="C43" s="93"/>
      <c r="D43" s="41" t="s">
        <v>45</v>
      </c>
      <c r="E43" s="31" t="s">
        <v>1820</v>
      </c>
      <c r="F43" s="6"/>
      <c r="G43" s="6"/>
      <c r="H43" s="6"/>
      <c r="I43" s="6"/>
      <c r="J43" s="6"/>
      <c r="K43" s="6"/>
    </row>
    <row r="44" spans="2:11" ht="15.75" thickBot="1">
      <c r="B44" s="1669"/>
      <c r="C44" s="93"/>
      <c r="D44" s="41" t="s">
        <v>46</v>
      </c>
      <c r="E44" s="31" t="s">
        <v>2035</v>
      </c>
      <c r="F44" s="6"/>
      <c r="G44" s="6"/>
      <c r="H44" s="6"/>
      <c r="I44" s="6"/>
      <c r="J44" s="6"/>
      <c r="K44" s="6"/>
    </row>
    <row r="45" spans="2:11" ht="15.75" thickBot="1">
      <c r="B45" s="1669"/>
      <c r="C45" s="93"/>
      <c r="D45" s="41" t="s">
        <v>47</v>
      </c>
      <c r="E45" s="31" t="s">
        <v>2036</v>
      </c>
      <c r="F45" s="6"/>
      <c r="G45" s="6"/>
      <c r="H45" s="6"/>
      <c r="I45" s="6"/>
      <c r="J45" s="6"/>
      <c r="K45" s="6"/>
    </row>
    <row r="46" spans="2:11" ht="15.75" thickBot="1">
      <c r="B46" s="1669"/>
      <c r="C46" s="93"/>
      <c r="D46" s="41" t="s">
        <v>48</v>
      </c>
      <c r="E46" s="31" t="s">
        <v>2037</v>
      </c>
      <c r="F46" s="6"/>
      <c r="G46" s="6"/>
      <c r="H46" s="6"/>
      <c r="I46" s="6"/>
      <c r="J46" s="6"/>
      <c r="K46" s="6"/>
    </row>
    <row r="47" spans="2:11" ht="15.75" thickBot="1">
      <c r="B47" s="1669"/>
      <c r="C47" s="93"/>
      <c r="D47" s="41" t="s">
        <v>49</v>
      </c>
      <c r="E47" s="31" t="s">
        <v>1821</v>
      </c>
      <c r="F47" s="6"/>
      <c r="G47" s="6"/>
      <c r="H47" s="6"/>
      <c r="I47" s="6"/>
      <c r="J47" s="6"/>
      <c r="K47" s="6"/>
    </row>
    <row r="48" spans="2:11" ht="15.75" thickBot="1">
      <c r="B48" s="1670"/>
      <c r="C48" s="3"/>
      <c r="D48" s="41" t="s">
        <v>50</v>
      </c>
      <c r="E48" s="31" t="s">
        <v>1607</v>
      </c>
      <c r="F48" s="6"/>
      <c r="G48" s="6"/>
      <c r="H48" s="6"/>
      <c r="I48" s="6"/>
      <c r="J48" s="6"/>
      <c r="K48" s="6"/>
    </row>
    <row r="49" spans="2:11" ht="15.75" thickBot="1">
      <c r="B49" s="2"/>
      <c r="C49" s="75"/>
      <c r="D49" s="6"/>
      <c r="E49" s="6"/>
      <c r="F49" s="6"/>
      <c r="G49" s="6"/>
      <c r="H49" s="6"/>
      <c r="I49" s="6"/>
      <c r="J49" s="6"/>
      <c r="K49" s="6"/>
    </row>
    <row r="50" spans="2:11" ht="15.75" thickBot="1">
      <c r="B50" s="1671" t="s">
        <v>51</v>
      </c>
      <c r="C50" s="1672"/>
      <c r="D50" s="1672"/>
      <c r="E50" s="1673"/>
      <c r="F50" s="6"/>
      <c r="G50" s="6"/>
      <c r="H50" s="6"/>
      <c r="I50" s="6"/>
      <c r="J50" s="6"/>
      <c r="K50" s="6"/>
    </row>
    <row r="51" spans="2:11" ht="15.75" thickBot="1">
      <c r="B51" s="1668">
        <v>1</v>
      </c>
      <c r="C51" s="93"/>
      <c r="D51" s="49" t="s">
        <v>44</v>
      </c>
      <c r="E51" s="432" t="s">
        <v>52</v>
      </c>
      <c r="F51" s="6"/>
      <c r="G51" s="6"/>
      <c r="H51" s="6"/>
      <c r="I51" s="6"/>
      <c r="J51" s="6"/>
      <c r="K51" s="6"/>
    </row>
    <row r="52" spans="2:11" ht="15.75" thickBot="1">
      <c r="B52" s="1669"/>
      <c r="C52" s="93"/>
      <c r="D52" s="41" t="s">
        <v>45</v>
      </c>
      <c r="E52" s="432" t="s">
        <v>53</v>
      </c>
      <c r="F52" s="6"/>
      <c r="G52" s="6"/>
      <c r="H52" s="6"/>
      <c r="I52" s="6"/>
      <c r="J52" s="6"/>
      <c r="K52" s="6"/>
    </row>
    <row r="53" spans="2:11" ht="15.75" thickBot="1">
      <c r="B53" s="1669"/>
      <c r="C53" s="93"/>
      <c r="D53" s="41" t="s">
        <v>46</v>
      </c>
      <c r="E53" s="307"/>
      <c r="F53" s="6"/>
      <c r="G53" s="6"/>
      <c r="H53" s="6"/>
      <c r="I53" s="6"/>
      <c r="J53" s="6"/>
      <c r="K53" s="6"/>
    </row>
    <row r="54" spans="2:11" ht="15.75" thickBot="1">
      <c r="B54" s="1669"/>
      <c r="C54" s="93"/>
      <c r="D54" s="41" t="s">
        <v>47</v>
      </c>
      <c r="E54" s="307"/>
      <c r="F54" s="6"/>
      <c r="G54" s="6"/>
      <c r="H54" s="6"/>
      <c r="I54" s="6"/>
      <c r="J54" s="6"/>
      <c r="K54" s="6"/>
    </row>
    <row r="55" spans="2:11" ht="15.75" thickBot="1">
      <c r="B55" s="1669"/>
      <c r="C55" s="93"/>
      <c r="D55" s="41" t="s">
        <v>48</v>
      </c>
      <c r="E55" s="307"/>
      <c r="F55" s="6"/>
      <c r="G55" s="6"/>
      <c r="H55" s="6"/>
      <c r="I55" s="6"/>
      <c r="J55" s="6"/>
      <c r="K55" s="6"/>
    </row>
    <row r="56" spans="2:11" ht="15.75" thickBot="1">
      <c r="B56" s="1669"/>
      <c r="C56" s="93"/>
      <c r="D56" s="41" t="s">
        <v>49</v>
      </c>
      <c r="E56" s="307"/>
      <c r="F56" s="6"/>
      <c r="G56" s="6"/>
      <c r="H56" s="6"/>
      <c r="I56" s="6"/>
      <c r="J56" s="6"/>
      <c r="K56" s="6"/>
    </row>
    <row r="57" spans="2:11" ht="15.75" thickBot="1">
      <c r="B57" s="1670"/>
      <c r="C57" s="3"/>
      <c r="D57" s="41" t="s">
        <v>50</v>
      </c>
      <c r="E57" s="307"/>
      <c r="F57" s="6"/>
      <c r="G57" s="6"/>
      <c r="H57" s="6"/>
      <c r="I57" s="6"/>
      <c r="J57" s="6"/>
      <c r="K57" s="6"/>
    </row>
    <row r="58" spans="2:11" ht="15.75" thickBot="1">
      <c r="B58" s="2"/>
      <c r="C58" s="75"/>
      <c r="D58" s="6"/>
      <c r="E58" s="6"/>
      <c r="F58" s="6"/>
      <c r="G58" s="6"/>
      <c r="H58" s="6"/>
      <c r="I58" s="6"/>
      <c r="J58" s="6"/>
      <c r="K58" s="6"/>
    </row>
    <row r="59" spans="2:11" ht="15" customHeight="1" thickBot="1">
      <c r="B59" s="123" t="s">
        <v>54</v>
      </c>
      <c r="C59" s="124"/>
      <c r="D59" s="124"/>
      <c r="E59" s="125"/>
      <c r="G59" s="6"/>
      <c r="H59" s="6"/>
      <c r="I59" s="6"/>
      <c r="J59" s="6"/>
      <c r="K59" s="6"/>
    </row>
    <row r="60" spans="2:11" ht="24.75" thickBot="1">
      <c r="B60" s="48" t="s">
        <v>55</v>
      </c>
      <c r="C60" s="41" t="s">
        <v>56</v>
      </c>
      <c r="D60" s="41" t="s">
        <v>57</v>
      </c>
      <c r="E60" s="41" t="s">
        <v>58</v>
      </c>
      <c r="F60" s="6"/>
      <c r="G60" s="6"/>
      <c r="H60" s="6"/>
      <c r="I60" s="6"/>
      <c r="J60" s="6"/>
    </row>
    <row r="61" spans="2:11" ht="72.75" thickBot="1">
      <c r="B61" s="50">
        <v>42401</v>
      </c>
      <c r="C61" s="41">
        <v>0.01</v>
      </c>
      <c r="D61" s="41" t="s">
        <v>641</v>
      </c>
      <c r="E61" s="41"/>
      <c r="F61" s="6"/>
      <c r="G61" s="6"/>
      <c r="H61" s="6"/>
      <c r="I61" s="6"/>
      <c r="J61" s="6"/>
    </row>
    <row r="62" spans="2:11" ht="15.75" thickBot="1">
      <c r="B62" s="2"/>
      <c r="C62" s="75"/>
      <c r="D62" s="6"/>
      <c r="E62" s="6"/>
      <c r="F62" s="6"/>
      <c r="G62" s="6"/>
      <c r="H62" s="6"/>
      <c r="I62" s="6"/>
      <c r="J62" s="6"/>
      <c r="K62" s="6"/>
    </row>
    <row r="63" spans="2:11" ht="15.75" thickBot="1">
      <c r="B63" s="431" t="s">
        <v>60</v>
      </c>
      <c r="C63" s="95"/>
      <c r="D63" s="6"/>
      <c r="E63" s="6"/>
      <c r="F63" s="6"/>
      <c r="G63" s="6"/>
      <c r="H63" s="6"/>
      <c r="I63" s="6"/>
      <c r="J63" s="6"/>
      <c r="K63" s="6"/>
    </row>
    <row r="64" spans="2:11">
      <c r="B64" s="1778"/>
      <c r="C64" s="1779"/>
      <c r="D64" s="1779"/>
      <c r="E64" s="1780"/>
      <c r="F64" s="6"/>
      <c r="G64" s="6"/>
      <c r="H64" s="6"/>
      <c r="I64" s="6"/>
      <c r="J64" s="6"/>
      <c r="K64" s="6"/>
    </row>
    <row r="65" spans="2:11" ht="15.75" thickBot="1">
      <c r="B65" s="1781"/>
      <c r="C65" s="1782"/>
      <c r="D65" s="1782"/>
      <c r="E65" s="1783"/>
      <c r="F65" s="6"/>
      <c r="G65" s="6"/>
      <c r="H65" s="6"/>
      <c r="I65" s="6"/>
      <c r="J65" s="6"/>
      <c r="K65" s="6"/>
    </row>
    <row r="66" spans="2:11" ht="15.75" thickBot="1">
      <c r="B66" s="6"/>
      <c r="D66" s="6"/>
      <c r="E66" s="6"/>
      <c r="F66" s="6"/>
      <c r="G66" s="6"/>
      <c r="H66" s="6"/>
      <c r="I66" s="6"/>
      <c r="J66" s="6"/>
      <c r="K66" s="6"/>
    </row>
    <row r="67" spans="2:11" ht="15.75" thickBot="1">
      <c r="B67" s="1671" t="s">
        <v>459</v>
      </c>
      <c r="C67" s="1672"/>
      <c r="D67" s="1673"/>
      <c r="E67" s="6"/>
      <c r="F67" s="6"/>
      <c r="G67" s="6"/>
      <c r="H67" s="6"/>
      <c r="I67" s="6"/>
      <c r="J67" s="6"/>
      <c r="K67" s="6"/>
    </row>
    <row r="68" spans="2:11" ht="72.75" thickBot="1">
      <c r="B68" s="48" t="s">
        <v>62</v>
      </c>
      <c r="C68" s="3"/>
      <c r="D68" s="41" t="s">
        <v>594</v>
      </c>
      <c r="E68" s="6"/>
      <c r="F68" s="6"/>
      <c r="G68" s="6"/>
      <c r="H68" s="6"/>
      <c r="I68" s="6"/>
      <c r="J68" s="6"/>
      <c r="K68" s="6"/>
    </row>
    <row r="69" spans="2:11">
      <c r="B69" s="1668" t="s">
        <v>64</v>
      </c>
      <c r="C69" s="93"/>
      <c r="D69" s="54" t="s">
        <v>65</v>
      </c>
      <c r="E69" s="6"/>
      <c r="F69" s="6"/>
      <c r="G69" s="6"/>
      <c r="H69" s="6"/>
      <c r="I69" s="6"/>
      <c r="J69" s="6"/>
      <c r="K69" s="6"/>
    </row>
    <row r="70" spans="2:11" ht="132">
      <c r="B70" s="1669"/>
      <c r="C70" s="93"/>
      <c r="D70" s="47" t="s">
        <v>595</v>
      </c>
      <c r="E70" s="6"/>
      <c r="F70" s="6"/>
      <c r="G70" s="6"/>
      <c r="H70" s="6"/>
      <c r="I70" s="6"/>
      <c r="J70" s="6"/>
      <c r="K70" s="6"/>
    </row>
    <row r="71" spans="2:11">
      <c r="B71" s="1669"/>
      <c r="C71" s="93"/>
      <c r="D71" s="54" t="s">
        <v>68</v>
      </c>
      <c r="E71" s="6"/>
      <c r="F71" s="6"/>
      <c r="G71" s="6"/>
      <c r="H71" s="6"/>
      <c r="I71" s="6"/>
      <c r="J71" s="6"/>
      <c r="K71" s="6"/>
    </row>
    <row r="72" spans="2:11" ht="24">
      <c r="B72" s="1669"/>
      <c r="C72" s="93"/>
      <c r="D72" s="47" t="s">
        <v>596</v>
      </c>
      <c r="E72" s="6"/>
      <c r="F72" s="6"/>
      <c r="G72" s="6"/>
      <c r="H72" s="6"/>
      <c r="I72" s="6"/>
      <c r="J72" s="6"/>
      <c r="K72" s="6"/>
    </row>
    <row r="73" spans="2:11" ht="24">
      <c r="B73" s="1669"/>
      <c r="C73" s="93"/>
      <c r="D73" s="47" t="s">
        <v>597</v>
      </c>
      <c r="E73" s="6"/>
      <c r="F73" s="6"/>
      <c r="G73" s="6"/>
      <c r="H73" s="6"/>
      <c r="I73" s="6"/>
      <c r="J73" s="6"/>
      <c r="K73" s="6"/>
    </row>
    <row r="74" spans="2:11" ht="24">
      <c r="B74" s="1669"/>
      <c r="C74" s="93"/>
      <c r="D74" s="47" t="s">
        <v>598</v>
      </c>
      <c r="E74" s="6"/>
      <c r="F74" s="6"/>
      <c r="G74" s="6"/>
      <c r="H74" s="6"/>
      <c r="I74" s="6"/>
      <c r="J74" s="6"/>
      <c r="K74" s="6"/>
    </row>
    <row r="75" spans="2:11">
      <c r="B75" s="1669"/>
      <c r="C75" s="93"/>
      <c r="D75" s="47" t="s">
        <v>599</v>
      </c>
      <c r="E75" s="6"/>
      <c r="F75" s="6"/>
      <c r="G75" s="6"/>
      <c r="H75" s="6"/>
      <c r="I75" s="6"/>
      <c r="J75" s="6"/>
      <c r="K75" s="6"/>
    </row>
    <row r="76" spans="2:11">
      <c r="B76" s="1669"/>
      <c r="C76" s="93"/>
      <c r="D76" s="47" t="s">
        <v>600</v>
      </c>
      <c r="E76" s="6"/>
      <c r="F76" s="6"/>
      <c r="G76" s="6"/>
      <c r="H76" s="6"/>
      <c r="I76" s="6"/>
      <c r="J76" s="6"/>
      <c r="K76" s="6"/>
    </row>
    <row r="77" spans="2:11">
      <c r="B77" s="1669"/>
      <c r="C77" s="93"/>
      <c r="D77" s="47" t="s">
        <v>601</v>
      </c>
      <c r="E77" s="6"/>
      <c r="F77" s="6"/>
      <c r="G77" s="6"/>
      <c r="H77" s="6"/>
      <c r="I77" s="6"/>
      <c r="J77" s="6"/>
      <c r="K77" s="6"/>
    </row>
    <row r="78" spans="2:11">
      <c r="B78" s="1669"/>
      <c r="C78" s="93"/>
      <c r="D78" s="54" t="s">
        <v>296</v>
      </c>
      <c r="E78" s="6"/>
      <c r="F78" s="6"/>
      <c r="G78" s="6"/>
      <c r="H78" s="6"/>
      <c r="I78" s="6"/>
      <c r="J78" s="6"/>
      <c r="K78" s="6"/>
    </row>
    <row r="79" spans="2:11" ht="48">
      <c r="B79" s="1669"/>
      <c r="C79" s="93"/>
      <c r="D79" s="47" t="s">
        <v>602</v>
      </c>
      <c r="E79" s="6"/>
      <c r="F79" s="6"/>
      <c r="G79" s="6"/>
      <c r="H79" s="6"/>
      <c r="I79" s="6"/>
      <c r="J79" s="6"/>
      <c r="K79" s="6"/>
    </row>
    <row r="80" spans="2:11" ht="15.75" thickBot="1">
      <c r="B80" s="1670"/>
      <c r="C80" s="3"/>
      <c r="D80" s="69"/>
      <c r="E80" s="6"/>
      <c r="F80" s="6"/>
      <c r="G80" s="6"/>
      <c r="H80" s="6"/>
      <c r="I80" s="6"/>
      <c r="J80" s="6"/>
      <c r="K80" s="6"/>
    </row>
    <row r="81" spans="2:11">
      <c r="B81" s="1668" t="s">
        <v>77</v>
      </c>
      <c r="C81" s="98"/>
      <c r="D81" s="1668"/>
      <c r="E81" s="6"/>
      <c r="F81" s="6"/>
      <c r="G81" s="6"/>
      <c r="H81" s="6"/>
      <c r="I81" s="6"/>
      <c r="J81" s="6"/>
      <c r="K81" s="6"/>
    </row>
    <row r="82" spans="2:11" ht="15.75" thickBot="1">
      <c r="B82" s="1670"/>
      <c r="C82" s="99"/>
      <c r="D82" s="1670"/>
      <c r="E82" s="6"/>
      <c r="F82" s="6"/>
      <c r="G82" s="6"/>
      <c r="H82" s="6"/>
      <c r="I82" s="6"/>
      <c r="J82" s="6"/>
      <c r="K82" s="6"/>
    </row>
    <row r="83" spans="2:11" ht="15.75" thickBot="1">
      <c r="B83" s="38"/>
      <c r="C83" s="87"/>
      <c r="D83" s="6"/>
      <c r="E83" s="6"/>
      <c r="F83" s="6"/>
      <c r="G83" s="6"/>
      <c r="H83" s="6"/>
      <c r="I83" s="6"/>
      <c r="J83" s="6"/>
      <c r="K83" s="6"/>
    </row>
    <row r="84" spans="2:11" ht="180">
      <c r="B84" s="1668" t="s">
        <v>78</v>
      </c>
      <c r="C84" s="104"/>
      <c r="D84" s="64" t="s">
        <v>603</v>
      </c>
      <c r="E84" s="6"/>
      <c r="F84" s="6"/>
      <c r="G84" s="6"/>
      <c r="H84" s="6"/>
      <c r="I84" s="6"/>
      <c r="J84" s="6"/>
      <c r="K84" s="6"/>
    </row>
    <row r="85" spans="2:11" ht="204">
      <c r="B85" s="1669"/>
      <c r="C85" s="93"/>
      <c r="D85" s="47" t="s">
        <v>604</v>
      </c>
      <c r="E85" s="6"/>
      <c r="F85" s="6"/>
      <c r="G85" s="6"/>
      <c r="H85" s="6"/>
      <c r="I85" s="6"/>
      <c r="J85" s="6"/>
      <c r="K85" s="6"/>
    </row>
    <row r="86" spans="2:11" ht="48">
      <c r="B86" s="1669"/>
      <c r="C86" s="93"/>
      <c r="D86" s="47" t="s">
        <v>605</v>
      </c>
      <c r="E86" s="6"/>
      <c r="F86" s="6"/>
      <c r="G86" s="6"/>
      <c r="H86" s="6"/>
      <c r="I86" s="6"/>
      <c r="J86" s="6"/>
      <c r="K86" s="6"/>
    </row>
    <row r="87" spans="2:11" ht="24">
      <c r="B87" s="1669"/>
      <c r="C87" s="93"/>
      <c r="D87" s="47" t="s">
        <v>606</v>
      </c>
      <c r="E87" s="6"/>
      <c r="F87" s="6"/>
      <c r="G87" s="6"/>
      <c r="H87" s="6"/>
      <c r="I87" s="6"/>
      <c r="J87" s="6"/>
      <c r="K87" s="6"/>
    </row>
    <row r="88" spans="2:11" ht="60">
      <c r="B88" s="1669"/>
      <c r="C88" s="93"/>
      <c r="D88" s="47" t="s">
        <v>607</v>
      </c>
      <c r="E88" s="6"/>
      <c r="F88" s="6"/>
      <c r="G88" s="6"/>
      <c r="H88" s="6"/>
      <c r="I88" s="6"/>
      <c r="J88" s="6"/>
      <c r="K88" s="6"/>
    </row>
    <row r="89" spans="2:11" ht="24">
      <c r="B89" s="1669"/>
      <c r="C89" s="93"/>
      <c r="D89" s="47" t="s">
        <v>608</v>
      </c>
      <c r="E89" s="6"/>
      <c r="F89" s="6"/>
      <c r="G89" s="6"/>
      <c r="H89" s="6"/>
      <c r="I89" s="6"/>
      <c r="J89" s="6"/>
      <c r="K89" s="6"/>
    </row>
    <row r="90" spans="2:11" ht="24">
      <c r="B90" s="1669"/>
      <c r="C90" s="93"/>
      <c r="D90" s="47" t="s">
        <v>609</v>
      </c>
      <c r="E90" s="6"/>
      <c r="F90" s="6"/>
      <c r="G90" s="6"/>
      <c r="H90" s="6"/>
      <c r="I90" s="6"/>
      <c r="J90" s="6"/>
      <c r="K90" s="6"/>
    </row>
    <row r="91" spans="2:11" ht="36">
      <c r="B91" s="1669"/>
      <c r="C91" s="93"/>
      <c r="D91" s="47" t="s">
        <v>610</v>
      </c>
      <c r="E91" s="6"/>
      <c r="F91" s="6"/>
      <c r="G91" s="6"/>
      <c r="H91" s="6"/>
      <c r="I91" s="6"/>
      <c r="J91" s="6"/>
      <c r="K91" s="6"/>
    </row>
    <row r="92" spans="2:11" ht="24">
      <c r="B92" s="1669"/>
      <c r="C92" s="93"/>
      <c r="D92" s="47" t="s">
        <v>611</v>
      </c>
      <c r="E92" s="6"/>
      <c r="F92" s="6"/>
      <c r="G92" s="6"/>
      <c r="H92" s="6"/>
      <c r="I92" s="6"/>
      <c r="J92" s="6"/>
      <c r="K92" s="6"/>
    </row>
    <row r="93" spans="2:11" ht="24">
      <c r="B93" s="1669"/>
      <c r="C93" s="93"/>
      <c r="D93" s="47" t="s">
        <v>612</v>
      </c>
      <c r="E93" s="6"/>
      <c r="F93" s="6"/>
      <c r="G93" s="6"/>
      <c r="H93" s="6"/>
      <c r="I93" s="6"/>
      <c r="J93" s="6"/>
      <c r="K93" s="6"/>
    </row>
    <row r="94" spans="2:11" ht="24">
      <c r="B94" s="1669"/>
      <c r="C94" s="93"/>
      <c r="D94" s="47" t="s">
        <v>613</v>
      </c>
      <c r="E94" s="6"/>
      <c r="F94" s="6"/>
      <c r="G94" s="6"/>
      <c r="H94" s="6"/>
      <c r="I94" s="6"/>
      <c r="J94" s="6"/>
      <c r="K94" s="6"/>
    </row>
    <row r="95" spans="2:11" ht="36">
      <c r="B95" s="1669"/>
      <c r="C95" s="93"/>
      <c r="D95" s="47" t="s">
        <v>614</v>
      </c>
      <c r="E95" s="6"/>
      <c r="F95" s="6"/>
      <c r="G95" s="6"/>
      <c r="H95" s="6"/>
      <c r="I95" s="6"/>
      <c r="J95" s="6"/>
      <c r="K95" s="6"/>
    </row>
    <row r="96" spans="2:11" ht="24">
      <c r="B96" s="1669"/>
      <c r="C96" s="93"/>
      <c r="D96" s="47" t="s">
        <v>615</v>
      </c>
      <c r="E96" s="6"/>
      <c r="F96" s="6"/>
      <c r="G96" s="6"/>
      <c r="H96" s="6"/>
      <c r="I96" s="6"/>
      <c r="J96" s="6"/>
      <c r="K96" s="6"/>
    </row>
    <row r="97" spans="2:11" ht="60.75" thickBot="1">
      <c r="B97" s="1670"/>
      <c r="C97" s="3"/>
      <c r="D97" s="41" t="s">
        <v>616</v>
      </c>
      <c r="E97" s="6"/>
      <c r="F97" s="6"/>
      <c r="G97" s="6"/>
      <c r="H97" s="6"/>
      <c r="I97" s="6"/>
      <c r="J97" s="6"/>
      <c r="K97" s="6"/>
    </row>
    <row r="98" spans="2:11" ht="36">
      <c r="B98" s="1668" t="s">
        <v>95</v>
      </c>
      <c r="C98" s="93"/>
      <c r="D98" s="54" t="s">
        <v>617</v>
      </c>
      <c r="E98" s="6"/>
      <c r="F98" s="6"/>
      <c r="G98" s="6"/>
      <c r="H98" s="6"/>
      <c r="I98" s="6"/>
      <c r="J98" s="6"/>
      <c r="K98" s="6"/>
    </row>
    <row r="99" spans="2:11" ht="36">
      <c r="B99" s="1669"/>
      <c r="C99" s="93"/>
      <c r="D99" s="47" t="s">
        <v>618</v>
      </c>
      <c r="E99" s="6"/>
      <c r="F99" s="6"/>
      <c r="G99" s="6"/>
      <c r="H99" s="6"/>
      <c r="I99" s="6"/>
      <c r="J99" s="6"/>
      <c r="K99" s="6"/>
    </row>
    <row r="100" spans="2:11">
      <c r="B100" s="1669"/>
      <c r="C100" s="93"/>
      <c r="D100" s="17"/>
      <c r="E100" s="6"/>
      <c r="F100" s="6"/>
      <c r="G100" s="6"/>
      <c r="H100" s="6"/>
      <c r="I100" s="6"/>
      <c r="J100" s="6"/>
      <c r="K100" s="6"/>
    </row>
    <row r="101" spans="2:11">
      <c r="B101" s="1669"/>
      <c r="C101" s="93"/>
      <c r="D101" s="47" t="s">
        <v>96</v>
      </c>
      <c r="E101" s="6"/>
      <c r="F101" s="6"/>
      <c r="G101" s="6"/>
      <c r="H101" s="6"/>
      <c r="I101" s="6"/>
      <c r="J101" s="6"/>
      <c r="K101" s="6"/>
    </row>
    <row r="102" spans="2:11" ht="37.5">
      <c r="B102" s="1669"/>
      <c r="C102" s="93"/>
      <c r="D102" s="47" t="s">
        <v>619</v>
      </c>
      <c r="E102" s="6"/>
      <c r="F102" s="6"/>
      <c r="G102" s="6"/>
      <c r="H102" s="6"/>
      <c r="I102" s="6"/>
      <c r="J102" s="6"/>
      <c r="K102" s="6"/>
    </row>
    <row r="103" spans="2:11" ht="49.5">
      <c r="B103" s="1669"/>
      <c r="C103" s="93"/>
      <c r="D103" s="47" t="s">
        <v>620</v>
      </c>
      <c r="E103" s="6"/>
      <c r="F103" s="6"/>
      <c r="G103" s="6"/>
      <c r="H103" s="6"/>
      <c r="I103" s="6"/>
      <c r="J103" s="6"/>
      <c r="K103" s="6"/>
    </row>
    <row r="104" spans="2:11" ht="25.5">
      <c r="B104" s="1669"/>
      <c r="C104" s="93"/>
      <c r="D104" s="47" t="s">
        <v>621</v>
      </c>
      <c r="E104" s="6"/>
      <c r="F104" s="6"/>
      <c r="G104" s="6"/>
      <c r="H104" s="6"/>
      <c r="I104" s="6"/>
      <c r="J104" s="6"/>
      <c r="K104" s="6"/>
    </row>
    <row r="105" spans="2:11">
      <c r="B105" s="1669"/>
      <c r="C105" s="93"/>
      <c r="D105" s="47" t="s">
        <v>622</v>
      </c>
      <c r="E105" s="6"/>
      <c r="F105" s="6"/>
      <c r="G105" s="6"/>
      <c r="H105" s="6"/>
      <c r="I105" s="6"/>
      <c r="J105" s="6"/>
      <c r="K105" s="6"/>
    </row>
    <row r="106" spans="2:11" ht="48.75" thickBot="1">
      <c r="B106" s="1670"/>
      <c r="C106" s="3"/>
      <c r="D106" s="71" t="s">
        <v>623</v>
      </c>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sheetData>
  <sheetProtection sheet="1" objects="1" scenarios="1"/>
  <mergeCells count="34">
    <mergeCell ref="E22:E29"/>
    <mergeCell ref="E33:E35"/>
    <mergeCell ref="B10:D10"/>
    <mergeCell ref="F10:S10"/>
    <mergeCell ref="F11:S11"/>
    <mergeCell ref="E12:R12"/>
    <mergeCell ref="E13:R13"/>
    <mergeCell ref="B84:B97"/>
    <mergeCell ref="B98:B106"/>
    <mergeCell ref="B67:D67"/>
    <mergeCell ref="B69:B80"/>
    <mergeCell ref="B81:B82"/>
    <mergeCell ref="D81:D82"/>
    <mergeCell ref="B51:B57"/>
    <mergeCell ref="B64:E65"/>
    <mergeCell ref="D15:K15"/>
    <mergeCell ref="D16:K16"/>
    <mergeCell ref="D19:K19"/>
    <mergeCell ref="D37:K37"/>
    <mergeCell ref="C20:C21"/>
    <mergeCell ref="D20:D21"/>
    <mergeCell ref="E20:E21"/>
    <mergeCell ref="F20:J20"/>
    <mergeCell ref="D38:K38"/>
    <mergeCell ref="D39:K39"/>
    <mergeCell ref="B41:E41"/>
    <mergeCell ref="B42:B48"/>
    <mergeCell ref="B50:E50"/>
    <mergeCell ref="B15:B19"/>
    <mergeCell ref="A1:P1"/>
    <mergeCell ref="A2:P2"/>
    <mergeCell ref="A3:P3"/>
    <mergeCell ref="A4:D4"/>
    <mergeCell ref="A5:P5"/>
  </mergeCells>
  <conditionalFormatting sqref="H36">
    <cfRule type="containsText" dxfId="66" priority="5" operator="containsText" text="ERROR">
      <formula>NOT(ISERROR(SEARCH("ERROR",H36)))</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H31:H35 H23 H27 G23:G35 F23 F27 F31:F35">
      <formula1>0</formula1>
      <formula2>1</formula2>
    </dataValidation>
    <dataValidation allowBlank="1" showInputMessage="1" showErrorMessage="1" sqref="H36 I23:I36"/>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3622047244094491" right="0.23622047244094491" top="0.74803149606299213" bottom="0.74803149606299213" header="0.31496062992125984" footer="0.31496062992125984"/>
  <pageSetup paperSize="178"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D4" zoomScale="98" zoomScaleNormal="98" workbookViewId="0">
      <selection activeCell="D23" sqref="D23:I23"/>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642</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4" t="s">
        <v>1203</v>
      </c>
      <c r="C8" s="214">
        <v>2018</v>
      </c>
      <c r="D8" s="218">
        <f>IF(E10="NO APLICA","NO APLICA",IF(E11="NO SE REPORTA","SIN INFORMACION",+H22))</f>
        <v>0.93</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Gestión'!E80:H80</f>
        <v>Proyecto No. 6.1.  (13). Evaluación, Seguimiento, Monitoreo y Control de la calidad de los recursos naturales y la biodiversidad.</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75" thickBot="1">
      <c r="B15" s="1668" t="s">
        <v>2</v>
      </c>
      <c r="C15" s="88"/>
      <c r="D15" s="1685" t="s">
        <v>3</v>
      </c>
      <c r="E15" s="1686"/>
      <c r="F15" s="1686"/>
      <c r="G15" s="1686"/>
      <c r="H15" s="1686"/>
      <c r="I15" s="1687"/>
      <c r="J15" s="6"/>
      <c r="K15" s="6"/>
    </row>
    <row r="16" spans="1:21" ht="36.75" thickBot="1">
      <c r="B16" s="1669"/>
      <c r="C16" s="93"/>
      <c r="D16" s="44" t="s">
        <v>656</v>
      </c>
      <c r="E16" s="7">
        <v>15</v>
      </c>
      <c r="F16" s="6"/>
      <c r="G16" s="6"/>
      <c r="H16" s="6"/>
      <c r="I16" s="22"/>
      <c r="J16" s="6"/>
      <c r="K16" s="6"/>
    </row>
    <row r="17" spans="2:11" ht="72.75" thickBot="1">
      <c r="B17" s="1669"/>
      <c r="C17" s="93"/>
      <c r="D17" s="41" t="s">
        <v>657</v>
      </c>
      <c r="E17" s="7">
        <v>15</v>
      </c>
      <c r="F17" s="6"/>
      <c r="G17" s="6"/>
      <c r="H17" s="6"/>
      <c r="I17" s="22"/>
      <c r="J17" s="6"/>
      <c r="K17" s="6"/>
    </row>
    <row r="18" spans="2:11" ht="15.75" thickBot="1">
      <c r="B18" s="1669"/>
      <c r="C18" s="91"/>
      <c r="D18" s="1716"/>
      <c r="E18" s="1717"/>
      <c r="F18" s="1717"/>
      <c r="G18" s="1717"/>
      <c r="H18" s="1717"/>
      <c r="I18" s="1718"/>
      <c r="J18" s="6"/>
      <c r="K18" s="6"/>
    </row>
    <row r="19" spans="2:11" ht="15.75" thickBot="1">
      <c r="B19" s="1669"/>
      <c r="C19" s="93"/>
      <c r="D19" s="44" t="s">
        <v>156</v>
      </c>
      <c r="E19" s="39" t="s">
        <v>25</v>
      </c>
      <c r="F19" s="39" t="s">
        <v>26</v>
      </c>
      <c r="G19" s="39" t="s">
        <v>27</v>
      </c>
      <c r="H19" s="39" t="s">
        <v>28</v>
      </c>
      <c r="I19" s="39" t="s">
        <v>157</v>
      </c>
      <c r="J19" s="6"/>
      <c r="K19" s="6"/>
    </row>
    <row r="20" spans="2:11" ht="48.75" thickBot="1">
      <c r="B20" s="1669"/>
      <c r="C20" s="93"/>
      <c r="D20" s="127" t="s">
        <v>658</v>
      </c>
      <c r="E20" s="7">
        <v>15</v>
      </c>
      <c r="F20" s="7">
        <v>15</v>
      </c>
      <c r="G20" s="7">
        <v>15</v>
      </c>
      <c r="H20" s="7">
        <v>15</v>
      </c>
      <c r="I20" s="43">
        <f>SUM(E20:H20)/4</f>
        <v>15</v>
      </c>
      <c r="J20" s="6"/>
      <c r="K20" s="6"/>
    </row>
    <row r="21" spans="2:11" ht="36.75" thickBot="1">
      <c r="B21" s="1669"/>
      <c r="C21" s="93"/>
      <c r="D21" s="127" t="s">
        <v>659</v>
      </c>
      <c r="E21" s="7">
        <v>15</v>
      </c>
      <c r="F21" s="7">
        <v>15</v>
      </c>
      <c r="G21" s="7">
        <v>15</v>
      </c>
      <c r="H21" s="7">
        <f>5+9</f>
        <v>14</v>
      </c>
      <c r="I21" s="43">
        <f>SUM(E21:H21)</f>
        <v>59</v>
      </c>
      <c r="J21" s="6"/>
      <c r="K21" s="6"/>
    </row>
    <row r="22" spans="2:11" ht="48.75" thickBot="1">
      <c r="B22" s="1670"/>
      <c r="C22" s="3"/>
      <c r="D22" s="127" t="s">
        <v>660</v>
      </c>
      <c r="E22" s="142">
        <f>IFERROR(E21/E20,0)</f>
        <v>1</v>
      </c>
      <c r="F22" s="142">
        <f>IFERROR(F21/F20,0)</f>
        <v>1</v>
      </c>
      <c r="G22" s="142">
        <f>IFERROR(G21/G20,0)</f>
        <v>1</v>
      </c>
      <c r="H22" s="142">
        <f>IFERROR(H21/H20,0)</f>
        <v>0.93</v>
      </c>
      <c r="I22" s="142">
        <f>IFERROR(I21/I20,0)/4</f>
        <v>0.98</v>
      </c>
      <c r="J22" s="6"/>
      <c r="K22" s="6"/>
    </row>
    <row r="23" spans="2:11" ht="36" customHeight="1" thickBot="1">
      <c r="B23" s="48" t="s">
        <v>39</v>
      </c>
      <c r="C23" s="92"/>
      <c r="D23" s="1680" t="s">
        <v>661</v>
      </c>
      <c r="E23" s="1681"/>
      <c r="F23" s="1681"/>
      <c r="G23" s="1681"/>
      <c r="H23" s="1681"/>
      <c r="I23" s="1682"/>
      <c r="J23" s="6"/>
      <c r="K23" s="6"/>
    </row>
    <row r="24" spans="2:11" ht="36" customHeight="1" thickBot="1">
      <c r="B24" s="48" t="s">
        <v>41</v>
      </c>
      <c r="C24" s="92"/>
      <c r="D24" s="1680" t="s">
        <v>165</v>
      </c>
      <c r="E24" s="1681"/>
      <c r="F24" s="1681"/>
      <c r="G24" s="1681"/>
      <c r="H24" s="1681"/>
      <c r="I24" s="1682"/>
      <c r="J24" s="6"/>
      <c r="K24" s="6"/>
    </row>
    <row r="25" spans="2:11" ht="15.75" thickBot="1">
      <c r="B25" s="38"/>
      <c r="C25" s="87"/>
      <c r="D25" s="6"/>
      <c r="E25" s="6"/>
      <c r="F25" s="6"/>
      <c r="G25" s="6"/>
      <c r="H25" s="6"/>
      <c r="I25" s="6"/>
      <c r="J25" s="6"/>
      <c r="K25" s="6"/>
    </row>
    <row r="26" spans="2:11" ht="24" customHeight="1" thickBot="1">
      <c r="B26" s="1671" t="s">
        <v>43</v>
      </c>
      <c r="C26" s="1672"/>
      <c r="D26" s="1672"/>
      <c r="E26" s="1673"/>
      <c r="F26" s="6"/>
      <c r="G26" s="6"/>
      <c r="H26" s="6"/>
      <c r="I26" s="6"/>
      <c r="J26" s="6"/>
      <c r="K26" s="6"/>
    </row>
    <row r="27" spans="2:11" ht="15.75" thickBot="1">
      <c r="B27" s="1668">
        <v>1</v>
      </c>
      <c r="C27" s="93"/>
      <c r="D27" s="49" t="s">
        <v>44</v>
      </c>
      <c r="E27" s="31" t="s">
        <v>1637</v>
      </c>
      <c r="F27" s="6"/>
      <c r="G27" s="6"/>
      <c r="H27" s="6"/>
      <c r="I27" s="6"/>
      <c r="J27" s="6"/>
      <c r="K27" s="6"/>
    </row>
    <row r="28" spans="2:11" ht="15.75" thickBot="1">
      <c r="B28" s="1669"/>
      <c r="C28" s="93"/>
      <c r="D28" s="41" t="s">
        <v>45</v>
      </c>
      <c r="E28" s="163" t="s">
        <v>1635</v>
      </c>
      <c r="F28" s="6"/>
      <c r="G28" s="6"/>
      <c r="H28" s="6"/>
      <c r="I28" s="6"/>
      <c r="J28" s="6"/>
      <c r="K28" s="6"/>
    </row>
    <row r="29" spans="2:11" ht="15.75" thickBot="1">
      <c r="B29" s="1669"/>
      <c r="C29" s="93"/>
      <c r="D29" s="41" t="s">
        <v>46</v>
      </c>
      <c r="E29" s="163" t="s">
        <v>2034</v>
      </c>
      <c r="F29" s="6"/>
      <c r="G29" s="6"/>
      <c r="H29" s="6"/>
      <c r="I29" s="6"/>
      <c r="J29" s="6"/>
      <c r="K29" s="6"/>
    </row>
    <row r="30" spans="2:11" ht="15.75" thickBot="1">
      <c r="B30" s="1669"/>
      <c r="C30" s="93"/>
      <c r="D30" s="41" t="s">
        <v>47</v>
      </c>
      <c r="E30" s="163" t="s">
        <v>1636</v>
      </c>
      <c r="F30" s="6"/>
      <c r="G30" s="6"/>
      <c r="H30" s="6"/>
      <c r="I30" s="6"/>
      <c r="J30" s="6"/>
      <c r="K30" s="6"/>
    </row>
    <row r="31" spans="2:11" ht="15.75" thickBot="1">
      <c r="B31" s="1669"/>
      <c r="C31" s="93"/>
      <c r="D31" s="41" t="s">
        <v>48</v>
      </c>
      <c r="E31" s="163" t="s">
        <v>2015</v>
      </c>
      <c r="F31" s="6"/>
      <c r="G31" s="6"/>
      <c r="H31" s="6"/>
      <c r="I31" s="6"/>
      <c r="J31" s="6"/>
      <c r="K31" s="6"/>
    </row>
    <row r="32" spans="2:11" ht="15.75" thickBot="1">
      <c r="B32" s="1669"/>
      <c r="C32" s="93"/>
      <c r="D32" s="41" t="s">
        <v>49</v>
      </c>
      <c r="E32" s="163" t="s">
        <v>1664</v>
      </c>
      <c r="F32" s="6"/>
      <c r="G32" s="6"/>
      <c r="H32" s="6"/>
      <c r="I32" s="6"/>
      <c r="J32" s="6"/>
      <c r="K32" s="6"/>
    </row>
    <row r="33" spans="2:11" ht="15.75" thickBot="1">
      <c r="B33" s="1670"/>
      <c r="C33" s="3"/>
      <c r="D33" s="41" t="s">
        <v>50</v>
      </c>
      <c r="E33" s="163" t="s">
        <v>1634</v>
      </c>
      <c r="F33" s="6"/>
      <c r="G33" s="6"/>
      <c r="H33" s="6"/>
      <c r="I33" s="6"/>
      <c r="J33" s="6"/>
      <c r="K33" s="6"/>
    </row>
    <row r="34" spans="2:11" ht="15.75" thickBot="1">
      <c r="B34" s="2"/>
      <c r="C34" s="75"/>
      <c r="D34" s="6"/>
      <c r="E34" s="6"/>
      <c r="F34" s="6"/>
      <c r="G34" s="6"/>
      <c r="H34" s="6"/>
      <c r="I34" s="6"/>
      <c r="J34" s="6"/>
      <c r="K34" s="6"/>
    </row>
    <row r="35" spans="2:11" ht="15.75" thickBot="1">
      <c r="B35" s="1671" t="s">
        <v>51</v>
      </c>
      <c r="C35" s="1672"/>
      <c r="D35" s="1672"/>
      <c r="E35" s="1673"/>
      <c r="F35" s="6"/>
      <c r="G35" s="6"/>
      <c r="H35" s="6"/>
      <c r="I35" s="6"/>
      <c r="J35" s="6"/>
      <c r="K35" s="6"/>
    </row>
    <row r="36" spans="2:11" ht="15.75" thickBot="1">
      <c r="B36" s="1668">
        <v>1</v>
      </c>
      <c r="C36" s="93"/>
      <c r="D36" s="49" t="s">
        <v>44</v>
      </c>
      <c r="E36" s="432" t="s">
        <v>52</v>
      </c>
      <c r="F36" s="6"/>
      <c r="G36" s="6"/>
      <c r="H36" s="6"/>
      <c r="I36" s="6"/>
      <c r="J36" s="6"/>
      <c r="K36" s="6"/>
    </row>
    <row r="37" spans="2:11" ht="15.75" thickBot="1">
      <c r="B37" s="1669"/>
      <c r="C37" s="93"/>
      <c r="D37" s="41" t="s">
        <v>45</v>
      </c>
      <c r="E37" s="432" t="s">
        <v>166</v>
      </c>
      <c r="F37" s="6"/>
      <c r="G37" s="6"/>
      <c r="H37" s="6"/>
      <c r="I37" s="6"/>
      <c r="J37" s="6"/>
      <c r="K37" s="6"/>
    </row>
    <row r="38" spans="2:11" ht="15.75" thickBot="1">
      <c r="B38" s="1669"/>
      <c r="C38" s="93"/>
      <c r="D38" s="41" t="s">
        <v>46</v>
      </c>
      <c r="E38" s="307"/>
      <c r="F38" s="6"/>
      <c r="G38" s="6"/>
      <c r="H38" s="6"/>
      <c r="I38" s="6"/>
      <c r="J38" s="6"/>
      <c r="K38" s="6"/>
    </row>
    <row r="39" spans="2:11" ht="15.75" thickBot="1">
      <c r="B39" s="1669"/>
      <c r="C39" s="93"/>
      <c r="D39" s="41" t="s">
        <v>47</v>
      </c>
      <c r="E39" s="307"/>
      <c r="F39" s="6"/>
      <c r="G39" s="6"/>
      <c r="H39" s="6"/>
      <c r="I39" s="6"/>
      <c r="J39" s="6"/>
      <c r="K39" s="6"/>
    </row>
    <row r="40" spans="2:11" ht="15.75" thickBot="1">
      <c r="B40" s="1669"/>
      <c r="C40" s="93"/>
      <c r="D40" s="41" t="s">
        <v>48</v>
      </c>
      <c r="E40" s="307"/>
      <c r="F40" s="6"/>
      <c r="G40" s="6"/>
      <c r="H40" s="6"/>
      <c r="I40" s="6"/>
      <c r="J40" s="6"/>
      <c r="K40" s="6"/>
    </row>
    <row r="41" spans="2:11" ht="15.75" thickBot="1">
      <c r="B41" s="1669"/>
      <c r="C41" s="93"/>
      <c r="D41" s="41" t="s">
        <v>49</v>
      </c>
      <c r="E41" s="307"/>
      <c r="F41" s="6"/>
      <c r="G41" s="6"/>
      <c r="H41" s="6"/>
      <c r="I41" s="6"/>
      <c r="J41" s="6"/>
      <c r="K41" s="6"/>
    </row>
    <row r="42" spans="2:11" ht="15.75" thickBot="1">
      <c r="B42" s="1670"/>
      <c r="C42" s="3"/>
      <c r="D42" s="41" t="s">
        <v>50</v>
      </c>
      <c r="E42" s="307"/>
      <c r="F42" s="6"/>
      <c r="G42" s="6"/>
      <c r="H42" s="6"/>
      <c r="I42" s="6"/>
      <c r="J42" s="6"/>
      <c r="K42" s="6"/>
    </row>
    <row r="43" spans="2:11" ht="15.75" thickBot="1">
      <c r="B43" s="38"/>
      <c r="C43" s="87"/>
      <c r="D43" s="6"/>
      <c r="E43" s="6"/>
      <c r="F43" s="6"/>
      <c r="G43" s="6"/>
      <c r="H43" s="6"/>
      <c r="I43" s="6"/>
      <c r="J43" s="6"/>
      <c r="K43" s="6"/>
    </row>
    <row r="44" spans="2:11" ht="15" customHeight="1" thickBot="1">
      <c r="B44" s="119" t="s">
        <v>54</v>
      </c>
      <c r="C44" s="120"/>
      <c r="D44" s="120"/>
      <c r="E44" s="121"/>
      <c r="G44" s="6"/>
      <c r="H44" s="6"/>
      <c r="I44" s="6"/>
      <c r="J44" s="6"/>
      <c r="K44" s="6"/>
    </row>
    <row r="45" spans="2:11" ht="24.75" thickBot="1">
      <c r="B45" s="48" t="s">
        <v>55</v>
      </c>
      <c r="C45" s="41" t="s">
        <v>56</v>
      </c>
      <c r="D45" s="41" t="s">
        <v>57</v>
      </c>
      <c r="E45" s="41" t="s">
        <v>58</v>
      </c>
      <c r="F45" s="6"/>
      <c r="G45" s="6"/>
      <c r="H45" s="6"/>
      <c r="I45" s="6"/>
      <c r="J45" s="6"/>
    </row>
    <row r="46" spans="2:11" ht="72.75" thickBot="1">
      <c r="B46" s="50">
        <v>42401</v>
      </c>
      <c r="C46" s="41">
        <v>0.01</v>
      </c>
      <c r="D46" s="51" t="s">
        <v>662</v>
      </c>
      <c r="E46" s="41"/>
      <c r="F46" s="6"/>
      <c r="G46" s="6"/>
      <c r="H46" s="6"/>
      <c r="I46" s="6"/>
      <c r="J46" s="6"/>
    </row>
    <row r="47" spans="2:11" ht="15.75" thickBot="1">
      <c r="B47" s="4"/>
      <c r="C47" s="94"/>
      <c r="D47" s="6"/>
      <c r="E47" s="6"/>
      <c r="F47" s="6"/>
      <c r="G47" s="6"/>
      <c r="H47" s="6"/>
      <c r="I47" s="6"/>
      <c r="J47" s="6"/>
      <c r="K47" s="6"/>
    </row>
    <row r="48" spans="2:11" ht="15.75" thickBot="1">
      <c r="B48" s="431" t="s">
        <v>60</v>
      </c>
      <c r="C48" s="95"/>
      <c r="D48" s="6"/>
      <c r="E48" s="6"/>
      <c r="F48" s="6"/>
      <c r="G48" s="6"/>
      <c r="H48" s="6"/>
      <c r="I48" s="6"/>
      <c r="J48" s="6"/>
      <c r="K48" s="6"/>
    </row>
    <row r="49" spans="2:11">
      <c r="B49" s="1778"/>
      <c r="C49" s="1779"/>
      <c r="D49" s="1779"/>
      <c r="E49" s="1780"/>
      <c r="F49" s="6"/>
      <c r="G49" s="6"/>
      <c r="H49" s="6"/>
      <c r="I49" s="6"/>
      <c r="J49" s="6"/>
      <c r="K49" s="6"/>
    </row>
    <row r="50" spans="2:11" ht="15.75" thickBot="1">
      <c r="B50" s="1781"/>
      <c r="C50" s="1782"/>
      <c r="D50" s="1782"/>
      <c r="E50" s="1783"/>
      <c r="F50" s="6"/>
      <c r="G50" s="6"/>
      <c r="H50" s="6"/>
      <c r="I50" s="6"/>
      <c r="J50" s="6"/>
      <c r="K50" s="6"/>
    </row>
    <row r="51" spans="2:11" ht="15.75" thickBot="1">
      <c r="B51" s="6"/>
      <c r="D51" s="6"/>
      <c r="E51" s="6"/>
      <c r="F51" s="6"/>
      <c r="G51" s="6"/>
      <c r="H51" s="6"/>
      <c r="I51" s="6"/>
      <c r="J51" s="6"/>
      <c r="K51" s="6"/>
    </row>
    <row r="52" spans="2:11" ht="24.75" thickBot="1">
      <c r="B52" s="52" t="s">
        <v>61</v>
      </c>
      <c r="C52" s="96"/>
      <c r="D52" s="6"/>
      <c r="E52" s="6"/>
      <c r="F52" s="6"/>
      <c r="G52" s="6"/>
      <c r="H52" s="6"/>
      <c r="I52" s="6"/>
      <c r="J52" s="6"/>
      <c r="K52" s="6"/>
    </row>
    <row r="53" spans="2:11" ht="15.75" thickBot="1">
      <c r="B53" s="2"/>
      <c r="C53" s="75"/>
      <c r="D53" s="6"/>
      <c r="E53" s="6"/>
      <c r="F53" s="6"/>
      <c r="G53" s="6"/>
      <c r="H53" s="6"/>
      <c r="I53" s="6"/>
      <c r="J53" s="6"/>
      <c r="K53" s="6"/>
    </row>
    <row r="54" spans="2:11" ht="84.75" thickBot="1">
      <c r="B54" s="53" t="s">
        <v>62</v>
      </c>
      <c r="C54" s="97"/>
      <c r="D54" s="44" t="s">
        <v>643</v>
      </c>
      <c r="E54" s="6"/>
      <c r="F54" s="6"/>
      <c r="G54" s="6"/>
      <c r="H54" s="6"/>
      <c r="I54" s="6"/>
      <c r="J54" s="6"/>
      <c r="K54" s="6"/>
    </row>
    <row r="55" spans="2:11">
      <c r="B55" s="1668" t="s">
        <v>64</v>
      </c>
      <c r="C55" s="93"/>
      <c r="D55" s="54" t="s">
        <v>65</v>
      </c>
      <c r="E55" s="6"/>
      <c r="F55" s="6"/>
      <c r="G55" s="6"/>
      <c r="H55" s="6"/>
      <c r="I55" s="6"/>
      <c r="J55" s="6"/>
      <c r="K55" s="6"/>
    </row>
    <row r="56" spans="2:11" ht="84">
      <c r="B56" s="1669"/>
      <c r="C56" s="93"/>
      <c r="D56" s="47" t="s">
        <v>644</v>
      </c>
      <c r="E56" s="6"/>
      <c r="F56" s="6"/>
      <c r="G56" s="6"/>
      <c r="H56" s="6"/>
      <c r="I56" s="6"/>
      <c r="J56" s="6"/>
      <c r="K56" s="6"/>
    </row>
    <row r="57" spans="2:11">
      <c r="B57" s="1669"/>
      <c r="C57" s="93"/>
      <c r="D57" s="54" t="s">
        <v>139</v>
      </c>
      <c r="E57" s="6"/>
      <c r="F57" s="6"/>
      <c r="G57" s="6"/>
      <c r="H57" s="6"/>
      <c r="I57" s="6"/>
      <c r="J57" s="6"/>
      <c r="K57" s="6"/>
    </row>
    <row r="58" spans="2:11">
      <c r="B58" s="1669"/>
      <c r="C58" s="93"/>
      <c r="D58" s="47" t="s">
        <v>69</v>
      </c>
      <c r="E58" s="6"/>
      <c r="F58" s="6"/>
      <c r="G58" s="6"/>
      <c r="H58" s="6"/>
      <c r="I58" s="6"/>
      <c r="J58" s="6"/>
      <c r="K58" s="6"/>
    </row>
    <row r="59" spans="2:11" ht="36">
      <c r="B59" s="1669"/>
      <c r="C59" s="93"/>
      <c r="D59" s="47" t="s">
        <v>645</v>
      </c>
      <c r="E59" s="6"/>
      <c r="F59" s="6"/>
      <c r="G59" s="6"/>
      <c r="H59" s="6"/>
      <c r="I59" s="6"/>
      <c r="J59" s="6"/>
      <c r="K59" s="6"/>
    </row>
    <row r="60" spans="2:11" ht="24">
      <c r="B60" s="1669"/>
      <c r="C60" s="93"/>
      <c r="D60" s="47" t="s">
        <v>646</v>
      </c>
      <c r="E60" s="6"/>
      <c r="F60" s="6"/>
      <c r="G60" s="6"/>
      <c r="H60" s="6"/>
      <c r="I60" s="6"/>
      <c r="J60" s="6"/>
      <c r="K60" s="6"/>
    </row>
    <row r="61" spans="2:11">
      <c r="B61" s="1669"/>
      <c r="C61" s="93"/>
      <c r="D61" s="47" t="s">
        <v>647</v>
      </c>
      <c r="E61" s="6"/>
      <c r="F61" s="6"/>
      <c r="G61" s="6"/>
      <c r="H61" s="6"/>
      <c r="I61" s="6"/>
      <c r="J61" s="6"/>
      <c r="K61" s="6"/>
    </row>
    <row r="62" spans="2:11">
      <c r="B62" s="1669"/>
      <c r="C62" s="93"/>
      <c r="D62" s="54" t="s">
        <v>146</v>
      </c>
      <c r="E62" s="6"/>
      <c r="F62" s="6"/>
      <c r="G62" s="6"/>
      <c r="H62" s="6"/>
      <c r="I62" s="6"/>
      <c r="J62" s="6"/>
      <c r="K62" s="6"/>
    </row>
    <row r="63" spans="2:11" ht="60.75" thickBot="1">
      <c r="B63" s="1670"/>
      <c r="C63" s="3"/>
      <c r="D63" s="41" t="s">
        <v>648</v>
      </c>
      <c r="E63" s="6"/>
      <c r="F63" s="6"/>
      <c r="G63" s="6"/>
      <c r="H63" s="6"/>
      <c r="I63" s="6"/>
      <c r="J63" s="6"/>
      <c r="K63" s="6"/>
    </row>
    <row r="64" spans="2:11" ht="24.75" thickBot="1">
      <c r="B64" s="48" t="s">
        <v>77</v>
      </c>
      <c r="C64" s="3"/>
      <c r="D64" s="41"/>
      <c r="E64" s="6"/>
      <c r="F64" s="6"/>
      <c r="G64" s="6"/>
      <c r="H64" s="6"/>
      <c r="I64" s="6"/>
      <c r="J64" s="6"/>
      <c r="K64" s="6"/>
    </row>
    <row r="65" spans="2:11" ht="276">
      <c r="B65" s="1668" t="s">
        <v>78</v>
      </c>
      <c r="C65" s="93"/>
      <c r="D65" s="47" t="s">
        <v>649</v>
      </c>
      <c r="E65" s="6"/>
      <c r="F65" s="6"/>
      <c r="G65" s="6"/>
      <c r="H65" s="6"/>
      <c r="I65" s="6"/>
      <c r="J65" s="6"/>
      <c r="K65" s="6"/>
    </row>
    <row r="66" spans="2:11" ht="132">
      <c r="B66" s="1669"/>
      <c r="C66" s="93"/>
      <c r="D66" s="47" t="s">
        <v>650</v>
      </c>
      <c r="E66" s="6"/>
      <c r="F66" s="6"/>
      <c r="G66" s="6"/>
      <c r="H66" s="6"/>
      <c r="I66" s="6"/>
      <c r="J66" s="6"/>
      <c r="K66" s="6"/>
    </row>
    <row r="67" spans="2:11" ht="72.75" thickBot="1">
      <c r="B67" s="1670"/>
      <c r="C67" s="3"/>
      <c r="D67" s="41" t="s">
        <v>651</v>
      </c>
      <c r="E67" s="6"/>
      <c r="F67" s="6"/>
      <c r="G67" s="6"/>
      <c r="H67" s="6"/>
      <c r="I67" s="6"/>
      <c r="J67" s="6"/>
      <c r="K67" s="6"/>
    </row>
    <row r="68" spans="2:11">
      <c r="B68" s="1668" t="s">
        <v>95</v>
      </c>
      <c r="C68" s="93"/>
      <c r="D68" s="47"/>
      <c r="E68" s="6"/>
      <c r="F68" s="6"/>
      <c r="G68" s="6"/>
      <c r="H68" s="6"/>
      <c r="I68" s="6"/>
      <c r="J68" s="6"/>
      <c r="K68" s="6"/>
    </row>
    <row r="69" spans="2:11">
      <c r="B69" s="1669"/>
      <c r="C69" s="93"/>
      <c r="D69" s="17"/>
      <c r="E69" s="6"/>
      <c r="F69" s="6"/>
      <c r="G69" s="6"/>
      <c r="H69" s="6"/>
      <c r="I69" s="6"/>
      <c r="J69" s="6"/>
      <c r="K69" s="6"/>
    </row>
    <row r="70" spans="2:11">
      <c r="B70" s="1669"/>
      <c r="C70" s="93"/>
      <c r="D70" s="47" t="s">
        <v>96</v>
      </c>
      <c r="E70" s="6"/>
      <c r="F70" s="6"/>
      <c r="G70" s="6"/>
      <c r="H70" s="6"/>
      <c r="I70" s="6"/>
      <c r="J70" s="6"/>
      <c r="K70" s="6"/>
    </row>
    <row r="71" spans="2:11" ht="61.5">
      <c r="B71" s="1669"/>
      <c r="C71" s="93"/>
      <c r="D71" s="47" t="s">
        <v>652</v>
      </c>
      <c r="E71" s="6"/>
      <c r="F71" s="6"/>
      <c r="G71" s="6"/>
      <c r="H71" s="6"/>
      <c r="I71" s="6"/>
      <c r="J71" s="6"/>
      <c r="K71" s="6"/>
    </row>
    <row r="72" spans="2:11" ht="49.5">
      <c r="B72" s="1669"/>
      <c r="C72" s="93"/>
      <c r="D72" s="47" t="s">
        <v>653</v>
      </c>
      <c r="E72" s="6"/>
      <c r="F72" s="6"/>
      <c r="G72" s="6"/>
      <c r="H72" s="6"/>
      <c r="I72" s="6"/>
      <c r="J72" s="6"/>
      <c r="K72" s="6"/>
    </row>
    <row r="73" spans="2:11" ht="49.5">
      <c r="B73" s="1669"/>
      <c r="C73" s="93"/>
      <c r="D73" s="47" t="s">
        <v>654</v>
      </c>
      <c r="E73" s="6"/>
      <c r="F73" s="6"/>
      <c r="G73" s="6"/>
      <c r="H73" s="6"/>
      <c r="I73" s="6"/>
      <c r="J73" s="6"/>
      <c r="K73" s="6"/>
    </row>
    <row r="74" spans="2:11" ht="72.75" thickBot="1">
      <c r="B74" s="1670"/>
      <c r="C74" s="3"/>
      <c r="D74" s="41" t="s">
        <v>655</v>
      </c>
      <c r="E74" s="6"/>
      <c r="F74" s="6"/>
      <c r="G74" s="6"/>
      <c r="H74" s="6"/>
      <c r="I74" s="6"/>
      <c r="J74" s="6"/>
      <c r="K74" s="6"/>
    </row>
    <row r="75" spans="2:11">
      <c r="B75" s="6"/>
      <c r="D75" s="6"/>
      <c r="E75" s="6"/>
      <c r="F75" s="6"/>
      <c r="G75" s="6"/>
      <c r="H75" s="6"/>
      <c r="I75" s="6"/>
      <c r="J75" s="6"/>
      <c r="K75" s="6"/>
    </row>
    <row r="76" spans="2:11">
      <c r="B76" s="6"/>
      <c r="D76" s="6"/>
      <c r="E76" s="6"/>
      <c r="F76" s="6"/>
      <c r="G76" s="6"/>
      <c r="H76" s="6"/>
      <c r="I76" s="6"/>
      <c r="J76" s="6"/>
      <c r="K76" s="6"/>
    </row>
    <row r="77" spans="2:11">
      <c r="B77" s="6"/>
      <c r="D77" s="6"/>
      <c r="E77" s="6"/>
      <c r="F77" s="6"/>
      <c r="G77" s="6"/>
      <c r="H77" s="6"/>
      <c r="I77" s="6"/>
      <c r="J77" s="6"/>
      <c r="K77" s="6"/>
    </row>
    <row r="78" spans="2:11">
      <c r="B78" s="6"/>
      <c r="D78" s="6"/>
      <c r="E78" s="6"/>
      <c r="F78" s="6"/>
      <c r="G78" s="6"/>
      <c r="H78" s="6"/>
      <c r="I78" s="6"/>
      <c r="J78" s="6"/>
      <c r="K78" s="6"/>
    </row>
    <row r="79" spans="2:11">
      <c r="B79" s="6"/>
      <c r="D79" s="6"/>
      <c r="E79" s="6"/>
      <c r="F79" s="6"/>
      <c r="G79" s="6"/>
      <c r="H79" s="6"/>
      <c r="I79" s="6"/>
      <c r="J79" s="6"/>
      <c r="K79" s="6"/>
    </row>
    <row r="80" spans="2:11">
      <c r="B80" s="6"/>
      <c r="D80" s="6"/>
      <c r="E80" s="6"/>
      <c r="F80" s="6"/>
      <c r="G80" s="6"/>
      <c r="H80" s="6"/>
      <c r="I80" s="6"/>
      <c r="J80" s="6"/>
      <c r="K80" s="6"/>
    </row>
    <row r="81" spans="2:11">
      <c r="B81" s="6"/>
      <c r="D81" s="6"/>
      <c r="E81" s="6"/>
      <c r="F81" s="6"/>
      <c r="G81" s="6"/>
      <c r="H81" s="6"/>
      <c r="I81" s="6"/>
      <c r="J81" s="6"/>
      <c r="K81" s="6"/>
    </row>
    <row r="82" spans="2:11">
      <c r="B82" s="6"/>
      <c r="D82" s="6"/>
      <c r="E82" s="6"/>
      <c r="F82" s="6"/>
      <c r="G82" s="6"/>
      <c r="H82" s="6"/>
      <c r="I82" s="6"/>
      <c r="J82" s="6"/>
      <c r="K82" s="6"/>
    </row>
    <row r="83" spans="2:11">
      <c r="B83" s="6"/>
      <c r="D83" s="6"/>
      <c r="E83" s="6"/>
      <c r="F83" s="6"/>
      <c r="G83" s="6"/>
      <c r="H83" s="6"/>
      <c r="I83" s="6"/>
      <c r="J83" s="6"/>
      <c r="K83" s="6"/>
    </row>
    <row r="84" spans="2:11">
      <c r="B84" s="6"/>
      <c r="D84" s="6"/>
      <c r="E84" s="6"/>
      <c r="F84" s="6"/>
      <c r="G84" s="6"/>
      <c r="H84" s="6"/>
      <c r="I84" s="6"/>
      <c r="J84" s="6"/>
      <c r="K84" s="6"/>
    </row>
    <row r="85" spans="2:11">
      <c r="B85" s="6"/>
      <c r="D85" s="6"/>
      <c r="E85" s="6"/>
      <c r="F85" s="6"/>
      <c r="G85" s="6"/>
      <c r="H85" s="6"/>
      <c r="I85" s="6"/>
      <c r="J85" s="6"/>
      <c r="K85" s="6"/>
    </row>
    <row r="86" spans="2:11">
      <c r="B86" s="6"/>
      <c r="D86" s="6"/>
      <c r="E86" s="6"/>
      <c r="F86" s="6"/>
      <c r="G86" s="6"/>
      <c r="H86" s="6"/>
      <c r="I86" s="6"/>
      <c r="J86" s="6"/>
      <c r="K86" s="6"/>
    </row>
    <row r="87" spans="2:11">
      <c r="B87" s="6"/>
      <c r="D87" s="6"/>
      <c r="E87" s="6"/>
      <c r="F87" s="6"/>
      <c r="G87" s="6"/>
      <c r="H87" s="6"/>
      <c r="I87" s="6"/>
      <c r="J87" s="6"/>
      <c r="K87" s="6"/>
    </row>
    <row r="88" spans="2:11">
      <c r="B88" s="6"/>
      <c r="D88" s="6"/>
      <c r="E88" s="6"/>
      <c r="F88" s="6"/>
      <c r="G88" s="6"/>
      <c r="H88" s="6"/>
      <c r="I88" s="6"/>
      <c r="J88" s="6"/>
      <c r="K88" s="6"/>
    </row>
    <row r="89" spans="2:11">
      <c r="B89" s="6"/>
      <c r="D89" s="6"/>
      <c r="E89" s="6"/>
      <c r="F89" s="6"/>
      <c r="G89" s="6"/>
      <c r="H89" s="6"/>
      <c r="I89" s="6"/>
      <c r="J89" s="6"/>
      <c r="K89" s="6"/>
    </row>
    <row r="90" spans="2:11">
      <c r="B90" s="6"/>
      <c r="D90" s="6"/>
      <c r="E90" s="6"/>
      <c r="F90" s="6"/>
      <c r="G90" s="6"/>
      <c r="H90" s="6"/>
      <c r="I90" s="6"/>
      <c r="J90" s="6"/>
      <c r="K90" s="6"/>
    </row>
    <row r="91" spans="2:11">
      <c r="B91" s="6"/>
      <c r="D91" s="6"/>
      <c r="E91" s="6"/>
      <c r="F91" s="6"/>
      <c r="G91" s="6"/>
      <c r="H91" s="6"/>
      <c r="I91" s="6"/>
      <c r="J91" s="6"/>
      <c r="K91" s="6"/>
    </row>
    <row r="92" spans="2:11">
      <c r="B92" s="6"/>
      <c r="D92" s="6"/>
      <c r="E92" s="6"/>
      <c r="F92" s="6"/>
      <c r="G92" s="6"/>
      <c r="H92" s="6"/>
      <c r="I92" s="6"/>
      <c r="J92" s="6"/>
      <c r="K92" s="6"/>
    </row>
    <row r="93" spans="2:11">
      <c r="B93" s="6"/>
      <c r="D93" s="6"/>
      <c r="E93" s="6"/>
      <c r="F93" s="6"/>
      <c r="G93" s="6"/>
      <c r="H93" s="6"/>
      <c r="I93" s="6"/>
      <c r="J93" s="6"/>
      <c r="K93" s="6"/>
    </row>
    <row r="94" spans="2:11">
      <c r="B94" s="6"/>
      <c r="D94" s="6"/>
      <c r="E94" s="6"/>
      <c r="F94" s="6"/>
      <c r="G94" s="6"/>
      <c r="H94" s="6"/>
      <c r="I94" s="6"/>
      <c r="J94" s="6"/>
      <c r="K94" s="6"/>
    </row>
    <row r="95" spans="2:11">
      <c r="B95" s="6"/>
      <c r="D95" s="6"/>
      <c r="E95" s="6"/>
      <c r="F95" s="6"/>
      <c r="G95" s="6"/>
      <c r="H95" s="6"/>
      <c r="I95" s="6"/>
      <c r="J95" s="6"/>
      <c r="K95" s="6"/>
    </row>
    <row r="96" spans="2:11">
      <c r="B96" s="6"/>
      <c r="D96" s="6"/>
      <c r="E96" s="6"/>
      <c r="F96" s="6"/>
      <c r="G96" s="6"/>
      <c r="H96" s="6"/>
      <c r="I96" s="6"/>
      <c r="J96" s="6"/>
      <c r="K96" s="6"/>
    </row>
    <row r="97" spans="2:11">
      <c r="B97" s="6"/>
      <c r="D97" s="6"/>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mergeCells count="23">
    <mergeCell ref="B10:D10"/>
    <mergeCell ref="F10:S10"/>
    <mergeCell ref="F11:S11"/>
    <mergeCell ref="E12:R12"/>
    <mergeCell ref="E13:R13"/>
    <mergeCell ref="B55:B63"/>
    <mergeCell ref="B65:B67"/>
    <mergeCell ref="B68:B74"/>
    <mergeCell ref="B15:B22"/>
    <mergeCell ref="D15:I15"/>
    <mergeCell ref="D18:I18"/>
    <mergeCell ref="D23:I23"/>
    <mergeCell ref="D24:I24"/>
    <mergeCell ref="B26:E26"/>
    <mergeCell ref="B27:B33"/>
    <mergeCell ref="B35:E35"/>
    <mergeCell ref="B36:B42"/>
    <mergeCell ref="B49:E50"/>
    <mergeCell ref="A1:P1"/>
    <mergeCell ref="A2:P2"/>
    <mergeCell ref="A3:P3"/>
    <mergeCell ref="A4:D4"/>
    <mergeCell ref="A5:P5"/>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3622047244094491" right="0.23622047244094491" top="0.74803149606299213" bottom="0.74803149606299213" header="0.31496062992125984" footer="0.31496062992125984"/>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topLeftCell="A7" zoomScale="98" zoomScaleNormal="98" workbookViewId="0">
      <selection activeCell="M36" sqref="M36"/>
    </sheetView>
  </sheetViews>
  <sheetFormatPr baseColWidth="10" defaultRowHeight="15"/>
  <cols>
    <col min="1" max="1" width="1.85546875" customWidth="1"/>
    <col min="2" max="2" width="12.85546875" customWidth="1"/>
    <col min="3" max="3" width="5" style="86" bestFit="1" customWidth="1"/>
    <col min="4" max="4" width="34.85546875" customWidth="1"/>
    <col min="5" max="5" width="22.28515625" customWidth="1"/>
    <col min="6" max="6" width="18.5703125" customWidth="1"/>
    <col min="7" max="7" width="16.85546875" customWidth="1"/>
    <col min="8" max="8" width="15.140625" customWidth="1"/>
    <col min="9" max="10" width="13.140625" bestFit="1" customWidth="1"/>
    <col min="12" max="13" width="15.140625" bestFit="1" customWidth="1"/>
    <col min="14" max="14" width="16.28515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663</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28"/>
      <c r="C7" s="76"/>
      <c r="D7" s="6"/>
      <c r="E7" s="18"/>
      <c r="F7" s="6" t="s">
        <v>134</v>
      </c>
      <c r="G7" s="6"/>
      <c r="H7" s="6"/>
      <c r="I7" s="6"/>
      <c r="J7" s="6"/>
      <c r="K7" s="6"/>
    </row>
    <row r="8" spans="1:21" ht="15.75" thickBot="1">
      <c r="B8" s="173" t="s">
        <v>1203</v>
      </c>
      <c r="C8" s="214">
        <v>2018</v>
      </c>
      <c r="D8" s="218">
        <f>IF(E10="NO APLICA","NO APLICA",IF(E11="NO SE REPORTA","SIN INFORMACION",+H20))/4</f>
        <v>0.25</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Gestión'!E72:H72</f>
        <v>Proyecto No 4.2. Gestión Ambiental Sectorial (10)</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 customHeight="1" thickTop="1">
      <c r="B15" s="1683" t="s">
        <v>2</v>
      </c>
      <c r="C15" s="88"/>
      <c r="D15" s="1685" t="s">
        <v>344</v>
      </c>
      <c r="E15" s="1686"/>
      <c r="F15" s="1686"/>
      <c r="G15" s="1686"/>
      <c r="H15" s="1686"/>
      <c r="I15" s="1686"/>
      <c r="J15" s="1686"/>
      <c r="K15" s="1687"/>
    </row>
    <row r="16" spans="1:21" ht="15.75" thickBot="1">
      <c r="B16" s="1684"/>
      <c r="C16" s="91"/>
      <c r="D16" s="1784" t="s">
        <v>663</v>
      </c>
      <c r="E16" s="1785"/>
      <c r="F16" s="1785"/>
      <c r="G16" s="1785"/>
      <c r="H16" s="1785"/>
      <c r="I16" s="1785"/>
      <c r="J16" s="1785"/>
      <c r="K16" s="1786"/>
    </row>
    <row r="17" spans="2:14" ht="15.75" thickBot="1">
      <c r="B17" s="1684"/>
      <c r="C17" s="89" t="s">
        <v>24</v>
      </c>
      <c r="D17" s="39" t="s">
        <v>261</v>
      </c>
      <c r="E17" s="39" t="s">
        <v>25</v>
      </c>
      <c r="F17" s="39" t="s">
        <v>26</v>
      </c>
      <c r="G17" s="39" t="s">
        <v>27</v>
      </c>
      <c r="H17" s="39" t="s">
        <v>28</v>
      </c>
      <c r="I17" s="39" t="s">
        <v>262</v>
      </c>
      <c r="K17" s="22"/>
    </row>
    <row r="18" spans="2:14" ht="36.75" thickBot="1">
      <c r="B18" s="1684"/>
      <c r="C18" s="90" t="s">
        <v>158</v>
      </c>
      <c r="D18" s="41" t="s">
        <v>698</v>
      </c>
      <c r="E18" s="7">
        <v>2</v>
      </c>
      <c r="F18" s="7">
        <v>2</v>
      </c>
      <c r="G18" s="7">
        <v>2</v>
      </c>
      <c r="H18" s="7">
        <v>2</v>
      </c>
      <c r="I18" s="1066">
        <f>SUM(E18:H18)</f>
        <v>8</v>
      </c>
      <c r="K18" s="22"/>
    </row>
    <row r="19" spans="2:14" ht="36.75" thickBot="1">
      <c r="B19" s="1684"/>
      <c r="C19" s="90" t="s">
        <v>160</v>
      </c>
      <c r="D19" s="41" t="s">
        <v>1196</v>
      </c>
      <c r="E19" s="7">
        <v>2</v>
      </c>
      <c r="F19" s="7">
        <v>2</v>
      </c>
      <c r="G19" s="7">
        <v>2</v>
      </c>
      <c r="H19" s="7">
        <v>2</v>
      </c>
      <c r="I19" s="1066">
        <f>SUM(E19:H19)</f>
        <v>8</v>
      </c>
      <c r="K19" s="22"/>
    </row>
    <row r="20" spans="2:14" ht="48.75" thickBot="1">
      <c r="B20" s="1684"/>
      <c r="C20" s="90" t="s">
        <v>162</v>
      </c>
      <c r="D20" s="41" t="s">
        <v>1195</v>
      </c>
      <c r="E20" s="150">
        <f>IFERROR(E19/E18,0)</f>
        <v>1</v>
      </c>
      <c r="F20" s="150">
        <f>IFERROR(F19/F18,0)</f>
        <v>1</v>
      </c>
      <c r="G20" s="150">
        <f>IFERROR(G19/G18,0)</f>
        <v>1</v>
      </c>
      <c r="H20" s="150">
        <f>IFERROR(H19/H18,0)</f>
        <v>1</v>
      </c>
      <c r="I20" s="150">
        <f>IFERROR(I19/I18,0)</f>
        <v>1</v>
      </c>
      <c r="K20" s="22"/>
    </row>
    <row r="21" spans="2:14">
      <c r="B21" s="425"/>
      <c r="C21" s="91"/>
      <c r="D21" s="1688"/>
      <c r="E21" s="1689"/>
      <c r="F21" s="1689"/>
      <c r="G21" s="1689"/>
      <c r="H21" s="1689"/>
      <c r="I21" s="1689"/>
      <c r="J21" s="1689"/>
      <c r="K21" s="1690"/>
    </row>
    <row r="22" spans="2:14">
      <c r="B22" s="425"/>
      <c r="C22" s="91"/>
      <c r="D22" s="1784" t="s">
        <v>699</v>
      </c>
      <c r="E22" s="1785"/>
      <c r="F22" s="1785"/>
      <c r="G22" s="1785"/>
      <c r="H22" s="1785"/>
      <c r="I22" s="1785"/>
      <c r="J22" s="1785"/>
      <c r="K22" s="1786"/>
    </row>
    <row r="23" spans="2:14" ht="24" customHeight="1" thickBot="1">
      <c r="B23" s="425"/>
      <c r="C23" s="91"/>
      <c r="D23" s="1803" t="s">
        <v>694</v>
      </c>
      <c r="E23" s="1804"/>
      <c r="F23" s="1804"/>
      <c r="G23" s="1804"/>
      <c r="H23" s="1804"/>
      <c r="I23" s="1804"/>
      <c r="J23" s="1804"/>
      <c r="K23" s="1805"/>
    </row>
    <row r="24" spans="2:14" ht="15.75" thickBot="1">
      <c r="B24" s="425"/>
      <c r="C24" s="1687" t="s">
        <v>24</v>
      </c>
      <c r="D24" s="1737" t="s">
        <v>278</v>
      </c>
      <c r="E24" s="1737" t="s">
        <v>627</v>
      </c>
      <c r="F24" s="1729" t="s">
        <v>700</v>
      </c>
      <c r="G24" s="1807" t="s">
        <v>701</v>
      </c>
      <c r="H24" s="1808"/>
      <c r="I24" s="1808"/>
      <c r="J24" s="1809"/>
      <c r="K24" s="118"/>
    </row>
    <row r="25" spans="2:14">
      <c r="B25" s="425"/>
      <c r="C25" s="1690"/>
      <c r="D25" s="1738"/>
      <c r="E25" s="1738"/>
      <c r="F25" s="1806"/>
      <c r="G25" s="1065" t="s">
        <v>481</v>
      </c>
      <c r="H25" s="1729" t="s">
        <v>703</v>
      </c>
      <c r="I25" s="1729" t="s">
        <v>282</v>
      </c>
      <c r="J25" s="1729" t="s">
        <v>283</v>
      </c>
      <c r="K25" s="12"/>
    </row>
    <row r="26" spans="2:14" ht="15.75" thickBot="1">
      <c r="B26" s="425"/>
      <c r="C26" s="1718"/>
      <c r="D26" s="1739"/>
      <c r="E26" s="1739"/>
      <c r="F26" s="1730"/>
      <c r="G26" s="206" t="s">
        <v>702</v>
      </c>
      <c r="H26" s="1730"/>
      <c r="I26" s="1730"/>
      <c r="J26" s="1730"/>
      <c r="K26" s="12"/>
    </row>
    <row r="27" spans="2:14" ht="60.75" thickBot="1">
      <c r="B27" s="425"/>
      <c r="C27" s="31">
        <v>1</v>
      </c>
      <c r="D27" s="831" t="s">
        <v>1732</v>
      </c>
      <c r="E27" s="464" t="s">
        <v>704</v>
      </c>
      <c r="F27" s="31"/>
      <c r="G27" s="872">
        <v>40533926</v>
      </c>
      <c r="H27" s="872">
        <v>40249734</v>
      </c>
      <c r="I27" s="872">
        <v>16175909</v>
      </c>
      <c r="J27" s="872">
        <v>16175909</v>
      </c>
      <c r="K27" s="12"/>
      <c r="L27" s="843"/>
      <c r="M27" s="843"/>
      <c r="N27" s="871"/>
    </row>
    <row r="28" spans="2:14" ht="36.75" thickBot="1">
      <c r="B28" s="425"/>
      <c r="C28" s="31">
        <v>2</v>
      </c>
      <c r="D28" s="831" t="s">
        <v>1733</v>
      </c>
      <c r="E28" s="464" t="s">
        <v>705</v>
      </c>
      <c r="F28" s="31"/>
      <c r="G28" s="872">
        <v>40533926</v>
      </c>
      <c r="H28" s="872">
        <v>40249734</v>
      </c>
      <c r="I28" s="872">
        <v>16175909</v>
      </c>
      <c r="J28" s="872">
        <v>16175909</v>
      </c>
      <c r="K28" s="12"/>
      <c r="L28" s="843"/>
      <c r="M28" s="843"/>
      <c r="N28" s="871"/>
    </row>
    <row r="29" spans="2:14" s="403" customFormat="1" ht="36.75" thickBot="1">
      <c r="B29" s="826"/>
      <c r="C29" s="31">
        <v>3</v>
      </c>
      <c r="D29" s="831" t="s">
        <v>1734</v>
      </c>
      <c r="E29" s="464"/>
      <c r="F29" s="31" t="s">
        <v>1740</v>
      </c>
      <c r="G29" s="872">
        <v>40533926</v>
      </c>
      <c r="H29" s="872">
        <v>538167404</v>
      </c>
      <c r="I29" s="872">
        <f>14721566+497917670</f>
        <v>512639236</v>
      </c>
      <c r="J29" s="872">
        <v>14721566</v>
      </c>
      <c r="K29" s="12"/>
      <c r="L29" s="217"/>
      <c r="M29" s="843"/>
      <c r="N29" s="871"/>
    </row>
    <row r="30" spans="2:14" s="403" customFormat="1" ht="48.75" thickBot="1">
      <c r="B30" s="826"/>
      <c r="C30" s="31">
        <v>4</v>
      </c>
      <c r="D30" s="832" t="s">
        <v>1735</v>
      </c>
      <c r="E30" s="464"/>
      <c r="F30" s="31" t="s">
        <v>1740</v>
      </c>
      <c r="G30" s="872">
        <v>40533926</v>
      </c>
      <c r="H30" s="872">
        <v>40249734</v>
      </c>
      <c r="I30" s="872">
        <v>16175909</v>
      </c>
      <c r="J30" s="872">
        <v>16175909</v>
      </c>
      <c r="K30" s="12"/>
      <c r="L30" s="843"/>
      <c r="M30" s="843"/>
      <c r="N30" s="871"/>
    </row>
    <row r="31" spans="2:14" ht="36.75" thickBot="1">
      <c r="B31" s="425"/>
      <c r="C31" s="31">
        <v>5</v>
      </c>
      <c r="D31" s="832" t="s">
        <v>1736</v>
      </c>
      <c r="E31" s="464" t="s">
        <v>706</v>
      </c>
      <c r="F31" s="31" t="s">
        <v>1741</v>
      </c>
      <c r="G31" s="872">
        <v>40533926</v>
      </c>
      <c r="H31" s="872">
        <v>45649734</v>
      </c>
      <c r="I31" s="872">
        <v>18259893</v>
      </c>
      <c r="J31" s="872">
        <v>18259893</v>
      </c>
      <c r="K31" s="12"/>
      <c r="L31" s="217"/>
      <c r="M31" s="843"/>
      <c r="N31" s="871"/>
    </row>
    <row r="32" spans="2:14" ht="48.75" thickBot="1">
      <c r="B32" s="425"/>
      <c r="C32" s="31">
        <v>6</v>
      </c>
      <c r="D32" s="832" t="s">
        <v>1737</v>
      </c>
      <c r="E32" s="464" t="s">
        <v>707</v>
      </c>
      <c r="F32" s="31" t="s">
        <v>1822</v>
      </c>
      <c r="G32" s="872">
        <v>59620866</v>
      </c>
      <c r="H32" s="872">
        <v>49780229</v>
      </c>
      <c r="I32" s="872">
        <v>19988107</v>
      </c>
      <c r="J32" s="872">
        <v>19988107</v>
      </c>
      <c r="K32" s="12"/>
      <c r="L32" s="217"/>
      <c r="M32" s="843"/>
      <c r="N32" s="871"/>
    </row>
    <row r="33" spans="2:14" ht="60.75" thickBot="1">
      <c r="B33" s="425"/>
      <c r="C33" s="31">
        <v>7</v>
      </c>
      <c r="D33" s="832" t="s">
        <v>1738</v>
      </c>
      <c r="E33" s="464" t="s">
        <v>708</v>
      </c>
      <c r="F33" s="31" t="s">
        <v>1741</v>
      </c>
      <c r="G33" s="872">
        <f>59620866+2</f>
        <v>59620868</v>
      </c>
      <c r="H33" s="872">
        <v>49780229</v>
      </c>
      <c r="I33" s="872">
        <v>19988407</v>
      </c>
      <c r="J33" s="872">
        <v>19988407</v>
      </c>
      <c r="K33" s="12"/>
      <c r="L33" s="217"/>
      <c r="M33" s="843"/>
      <c r="N33" s="871"/>
    </row>
    <row r="34" spans="2:14" ht="36.75" thickBot="1">
      <c r="B34" s="425"/>
      <c r="C34" s="31">
        <v>8</v>
      </c>
      <c r="D34" s="832" t="s">
        <v>1739</v>
      </c>
      <c r="E34" s="464" t="s">
        <v>1823</v>
      </c>
      <c r="F34" s="31" t="s">
        <v>1742</v>
      </c>
      <c r="G34" s="872">
        <v>40533926</v>
      </c>
      <c r="H34" s="872">
        <v>40249733</v>
      </c>
      <c r="I34" s="872">
        <v>16251625</v>
      </c>
      <c r="J34" s="872">
        <v>16251625</v>
      </c>
      <c r="K34" s="12"/>
      <c r="L34" s="217"/>
      <c r="M34" s="843"/>
      <c r="N34" s="871"/>
    </row>
    <row r="35" spans="2:14" ht="15.75" thickBot="1">
      <c r="B35" s="425"/>
      <c r="C35" s="40"/>
      <c r="D35" s="40" t="s">
        <v>157</v>
      </c>
      <c r="E35" s="40"/>
      <c r="F35" s="41"/>
      <c r="G35" s="873">
        <f>SUM(G27:G34)</f>
        <v>362445290</v>
      </c>
      <c r="H35" s="873">
        <f>SUM(H27:H34)</f>
        <v>844376531</v>
      </c>
      <c r="I35" s="873">
        <f>SUM(I27:I34)</f>
        <v>635654995</v>
      </c>
      <c r="J35" s="873">
        <f>SUM(J27:J34)</f>
        <v>137737325</v>
      </c>
      <c r="K35" s="13"/>
      <c r="M35" s="843"/>
      <c r="N35" s="843"/>
    </row>
    <row r="36" spans="2:14">
      <c r="B36" s="425"/>
      <c r="C36" s="91"/>
      <c r="D36" s="1685" t="s">
        <v>638</v>
      </c>
      <c r="E36" s="1686"/>
      <c r="F36" s="1686"/>
      <c r="G36" s="1686"/>
      <c r="H36" s="1686"/>
      <c r="I36" s="1686"/>
      <c r="J36" s="1686"/>
      <c r="K36" s="1687"/>
    </row>
    <row r="37" spans="2:14" ht="24" customHeight="1" thickBot="1">
      <c r="B37" s="425"/>
      <c r="C37" s="91"/>
      <c r="D37" s="1688" t="s">
        <v>709</v>
      </c>
      <c r="E37" s="1689"/>
      <c r="F37" s="1689"/>
      <c r="G37" s="1689"/>
      <c r="H37" s="1689"/>
      <c r="I37" s="1689"/>
      <c r="J37" s="1689"/>
      <c r="K37" s="1690"/>
      <c r="M37" s="871"/>
    </row>
    <row r="38" spans="2:14" ht="15.75" thickBot="1">
      <c r="B38" s="425"/>
      <c r="C38" s="1810" t="s">
        <v>24</v>
      </c>
      <c r="D38" s="1811" t="s">
        <v>710</v>
      </c>
      <c r="E38" s="1814" t="s">
        <v>711</v>
      </c>
      <c r="F38" s="1815"/>
      <c r="G38" s="70"/>
      <c r="H38" s="6"/>
      <c r="I38" s="6"/>
      <c r="K38" s="22"/>
    </row>
    <row r="39" spans="2:14">
      <c r="B39" s="425"/>
      <c r="C39" s="1676"/>
      <c r="D39" s="1812"/>
      <c r="E39" s="1668" t="s">
        <v>712</v>
      </c>
      <c r="F39" s="47" t="s">
        <v>713</v>
      </c>
      <c r="G39" s="1668" t="s">
        <v>60</v>
      </c>
      <c r="H39" s="6"/>
      <c r="I39" s="6"/>
      <c r="K39" s="22"/>
      <c r="M39" s="871"/>
    </row>
    <row r="40" spans="2:14" ht="15.75" thickBot="1">
      <c r="B40" s="425"/>
      <c r="C40" s="1679"/>
      <c r="D40" s="1813"/>
      <c r="E40" s="1670"/>
      <c r="F40" s="41" t="s">
        <v>703</v>
      </c>
      <c r="G40" s="1670"/>
      <c r="H40" s="6"/>
      <c r="I40" s="6"/>
      <c r="K40" s="22"/>
    </row>
    <row r="41" spans="2:14" ht="15.75" thickBot="1">
      <c r="B41" s="425"/>
      <c r="C41" s="465">
        <v>1</v>
      </c>
      <c r="D41" s="160">
        <v>0.12</v>
      </c>
      <c r="E41" s="144">
        <f>IFERROR(I27/H27,0)</f>
        <v>0.4</v>
      </c>
      <c r="F41" s="144">
        <f>IFERROR(J27/I27,0)</f>
        <v>1</v>
      </c>
      <c r="G41" s="464"/>
      <c r="H41" s="6"/>
      <c r="I41" s="6"/>
      <c r="K41" s="22"/>
      <c r="M41" s="843"/>
    </row>
    <row r="42" spans="2:14" ht="15.75" thickBot="1">
      <c r="B42" s="425"/>
      <c r="C42" s="465">
        <v>2</v>
      </c>
      <c r="D42" s="160">
        <v>0.13</v>
      </c>
      <c r="E42" s="144">
        <f>IFERROR(I28/H28,0)</f>
        <v>0.4</v>
      </c>
      <c r="F42" s="144">
        <f>IFERROR(J28/I28,0)</f>
        <v>1</v>
      </c>
      <c r="G42" s="464"/>
      <c r="H42" s="6"/>
      <c r="I42" s="6"/>
      <c r="K42" s="22"/>
    </row>
    <row r="43" spans="2:14" ht="15.75" thickBot="1">
      <c r="B43" s="425"/>
      <c r="C43" s="465">
        <v>3</v>
      </c>
      <c r="D43" s="160">
        <v>0.13</v>
      </c>
      <c r="E43" s="144">
        <f t="shared" ref="E43:F47" si="0">IFERROR(I31/H31,0)</f>
        <v>0.4</v>
      </c>
      <c r="F43" s="144">
        <f t="shared" si="0"/>
        <v>1</v>
      </c>
      <c r="G43" s="464"/>
      <c r="H43" s="6"/>
      <c r="I43" s="6"/>
      <c r="K43" s="22"/>
    </row>
    <row r="44" spans="2:14" ht="15.75" thickBot="1">
      <c r="B44" s="425"/>
      <c r="C44" s="465">
        <v>4</v>
      </c>
      <c r="D44" s="160">
        <v>0.13</v>
      </c>
      <c r="E44" s="144">
        <f t="shared" si="0"/>
        <v>0.4</v>
      </c>
      <c r="F44" s="144">
        <f t="shared" si="0"/>
        <v>1</v>
      </c>
      <c r="G44" s="464"/>
      <c r="H44" s="6"/>
      <c r="I44" s="6"/>
      <c r="K44" s="22"/>
    </row>
    <row r="45" spans="2:14" ht="15.75" thickBot="1">
      <c r="B45" s="425"/>
      <c r="C45" s="465">
        <v>5</v>
      </c>
      <c r="D45" s="160">
        <v>0.12</v>
      </c>
      <c r="E45" s="144">
        <f t="shared" si="0"/>
        <v>0.4</v>
      </c>
      <c r="F45" s="144">
        <f t="shared" si="0"/>
        <v>1</v>
      </c>
      <c r="G45" s="464"/>
      <c r="H45" s="6"/>
      <c r="I45" s="6"/>
      <c r="K45" s="22"/>
    </row>
    <row r="46" spans="2:14" s="403" customFormat="1" ht="15.75" thickBot="1">
      <c r="B46" s="826"/>
      <c r="C46" s="465">
        <v>6</v>
      </c>
      <c r="D46" s="160">
        <v>0.12</v>
      </c>
      <c r="E46" s="144">
        <f t="shared" si="0"/>
        <v>0.4</v>
      </c>
      <c r="F46" s="144">
        <f t="shared" si="0"/>
        <v>1</v>
      </c>
      <c r="G46" s="464"/>
      <c r="H46" s="6"/>
      <c r="I46" s="6"/>
      <c r="K46" s="22"/>
    </row>
    <row r="47" spans="2:14" s="403" customFormat="1" ht="15.75" thickBot="1">
      <c r="B47" s="826"/>
      <c r="C47" s="465">
        <v>7</v>
      </c>
      <c r="D47" s="160">
        <v>0.13</v>
      </c>
      <c r="E47" s="144">
        <f t="shared" si="0"/>
        <v>0.75</v>
      </c>
      <c r="F47" s="144">
        <f t="shared" si="0"/>
        <v>0.22</v>
      </c>
      <c r="G47" s="464"/>
      <c r="H47" s="6"/>
      <c r="I47" s="6"/>
      <c r="K47" s="22"/>
    </row>
    <row r="48" spans="2:14" ht="15.75" thickBot="1">
      <c r="B48" s="425"/>
      <c r="C48" s="465">
        <v>8</v>
      </c>
      <c r="D48" s="160">
        <v>0.12</v>
      </c>
      <c r="E48" s="144">
        <f>IFERROR(I34/H34,0)</f>
        <v>0.4</v>
      </c>
      <c r="F48" s="144">
        <f>IFERROR(J34/I34,0)</f>
        <v>1</v>
      </c>
      <c r="G48" s="464"/>
      <c r="H48" s="6"/>
      <c r="I48" s="6"/>
      <c r="K48" s="22"/>
    </row>
    <row r="49" spans="2:11" ht="15.75" thickBot="1">
      <c r="B49" s="426"/>
      <c r="C49" s="69"/>
      <c r="D49" s="161">
        <f>Formulas!$D$22</f>
        <v>1</v>
      </c>
      <c r="E49" s="145">
        <f>+$D41*E41+$D42*E42+$D43*E43+$D44*E44+$D45*E45+$D48*E48</f>
        <v>0.3</v>
      </c>
      <c r="F49" s="144">
        <f>IFERROR(J35/I35,0)</f>
        <v>0.22</v>
      </c>
      <c r="G49" s="41"/>
      <c r="H49" s="23"/>
      <c r="I49" s="23"/>
      <c r="J49" s="23"/>
      <c r="K49" s="24"/>
    </row>
    <row r="50" spans="2:11" ht="15.75" thickBot="1">
      <c r="B50" s="38"/>
      <c r="C50" s="87"/>
      <c r="D50" s="6"/>
      <c r="E50" s="6"/>
      <c r="F50" s="6"/>
      <c r="G50" s="6"/>
      <c r="H50" s="6"/>
      <c r="I50" s="6"/>
      <c r="J50" s="6"/>
      <c r="K50" s="6"/>
    </row>
    <row r="51" spans="2:11" ht="84.75" thickBot="1">
      <c r="B51" s="53" t="s">
        <v>39</v>
      </c>
      <c r="C51" s="97"/>
      <c r="D51" s="44" t="s">
        <v>714</v>
      </c>
      <c r="E51" s="6"/>
      <c r="F51" s="6"/>
      <c r="G51" s="6"/>
      <c r="H51" s="6"/>
      <c r="I51" s="6"/>
      <c r="J51" s="6"/>
      <c r="K51" s="6"/>
    </row>
    <row r="52" spans="2:11" ht="60.75" thickBot="1">
      <c r="B52" s="48" t="s">
        <v>41</v>
      </c>
      <c r="C52" s="3"/>
      <c r="D52" s="41" t="s">
        <v>354</v>
      </c>
      <c r="E52" s="6"/>
      <c r="F52" s="6"/>
      <c r="G52" s="6"/>
      <c r="H52" s="6"/>
      <c r="I52" s="6"/>
      <c r="J52" s="6"/>
      <c r="K52" s="6"/>
    </row>
    <row r="53" spans="2:11" ht="15.75" thickBot="1">
      <c r="B53" s="2"/>
      <c r="C53" s="75"/>
      <c r="D53" s="6"/>
      <c r="E53" s="6"/>
      <c r="F53" s="6"/>
      <c r="G53" s="6"/>
      <c r="H53" s="6"/>
      <c r="I53" s="6"/>
      <c r="J53" s="6"/>
      <c r="K53" s="6"/>
    </row>
    <row r="54" spans="2:11" ht="24" customHeight="1" thickBot="1">
      <c r="B54" s="1671" t="s">
        <v>43</v>
      </c>
      <c r="C54" s="1672"/>
      <c r="D54" s="1672"/>
      <c r="E54" s="1673"/>
      <c r="F54" s="6"/>
      <c r="G54" s="6"/>
      <c r="H54" s="6"/>
      <c r="I54" s="6"/>
      <c r="J54" s="6"/>
      <c r="K54" s="6"/>
    </row>
    <row r="55" spans="2:11" ht="15.75" thickBot="1">
      <c r="B55" s="1668">
        <v>1</v>
      </c>
      <c r="C55" s="93"/>
      <c r="D55" s="49" t="s">
        <v>44</v>
      </c>
      <c r="E55" s="42" t="s">
        <v>1616</v>
      </c>
      <c r="F55" s="6"/>
      <c r="G55" s="6"/>
      <c r="H55" s="6"/>
      <c r="I55" s="6"/>
      <c r="J55" s="6"/>
      <c r="K55" s="6"/>
    </row>
    <row r="56" spans="2:11" ht="15.75" thickBot="1">
      <c r="B56" s="1669"/>
      <c r="C56" s="93"/>
      <c r="D56" s="41" t="s">
        <v>45</v>
      </c>
      <c r="E56" s="42" t="s">
        <v>1756</v>
      </c>
      <c r="F56" s="6"/>
      <c r="G56" s="6"/>
      <c r="H56" s="6"/>
      <c r="I56" s="6"/>
      <c r="J56" s="6"/>
      <c r="K56" s="6"/>
    </row>
    <row r="57" spans="2:11" ht="15.75" thickBot="1">
      <c r="B57" s="1669"/>
      <c r="C57" s="93"/>
      <c r="D57" s="41" t="s">
        <v>46</v>
      </c>
      <c r="E57" s="42" t="s">
        <v>2021</v>
      </c>
      <c r="F57" s="6"/>
      <c r="G57" s="6"/>
      <c r="H57" s="6"/>
      <c r="I57" s="6"/>
      <c r="J57" s="6"/>
      <c r="K57" s="6"/>
    </row>
    <row r="58" spans="2:11" ht="15.75" thickBot="1">
      <c r="B58" s="1669"/>
      <c r="C58" s="93"/>
      <c r="D58" s="41" t="s">
        <v>47</v>
      </c>
      <c r="E58" s="42" t="s">
        <v>1626</v>
      </c>
      <c r="F58" s="6"/>
      <c r="G58" s="6"/>
      <c r="H58" s="6"/>
      <c r="I58" s="6"/>
      <c r="J58" s="6"/>
      <c r="K58" s="6"/>
    </row>
    <row r="59" spans="2:11" ht="15.75" thickBot="1">
      <c r="B59" s="1669"/>
      <c r="C59" s="93"/>
      <c r="D59" s="41" t="s">
        <v>48</v>
      </c>
      <c r="E59" s="839" t="s">
        <v>2033</v>
      </c>
      <c r="F59" s="6"/>
      <c r="G59" s="6"/>
      <c r="H59" s="6"/>
      <c r="I59" s="6"/>
      <c r="J59" s="6"/>
      <c r="K59" s="6"/>
    </row>
    <row r="60" spans="2:11" ht="15.75" thickBot="1">
      <c r="B60" s="1669"/>
      <c r="C60" s="93"/>
      <c r="D60" s="41" t="s">
        <v>49</v>
      </c>
      <c r="E60" s="42" t="s">
        <v>1743</v>
      </c>
      <c r="F60" s="6"/>
      <c r="G60" s="6"/>
      <c r="H60" s="6"/>
      <c r="I60" s="6"/>
      <c r="J60" s="6"/>
      <c r="K60" s="6"/>
    </row>
    <row r="61" spans="2:11" ht="15.75" thickBot="1">
      <c r="B61" s="1670"/>
      <c r="C61" s="3"/>
      <c r="D61" s="41" t="s">
        <v>50</v>
      </c>
      <c r="E61" s="42" t="s">
        <v>1607</v>
      </c>
      <c r="F61" s="6"/>
      <c r="G61" s="6"/>
      <c r="H61" s="6"/>
      <c r="I61" s="6"/>
      <c r="J61" s="6"/>
      <c r="K61" s="6"/>
    </row>
    <row r="62" spans="2:11" ht="15.75" thickBot="1">
      <c r="B62" s="2"/>
      <c r="C62" s="75"/>
      <c r="D62" s="6"/>
      <c r="E62" s="6"/>
      <c r="F62" s="6"/>
      <c r="G62" s="6"/>
      <c r="H62" s="6"/>
      <c r="I62" s="6"/>
      <c r="J62" s="6"/>
      <c r="K62" s="6"/>
    </row>
    <row r="63" spans="2:11" ht="15.75" thickBot="1">
      <c r="B63" s="1671" t="s">
        <v>51</v>
      </c>
      <c r="C63" s="1672"/>
      <c r="D63" s="1672"/>
      <c r="E63" s="1673"/>
      <c r="F63" s="6"/>
      <c r="G63" s="6"/>
      <c r="H63" s="6"/>
      <c r="I63" s="6"/>
      <c r="J63" s="6"/>
      <c r="K63" s="6"/>
    </row>
    <row r="64" spans="2:11" ht="15.75" thickBot="1">
      <c r="B64" s="1668">
        <v>1</v>
      </c>
      <c r="C64" s="93"/>
      <c r="D64" s="49" t="s">
        <v>44</v>
      </c>
      <c r="E64" s="130" t="s">
        <v>52</v>
      </c>
      <c r="F64" s="6"/>
      <c r="G64" s="6"/>
      <c r="H64" s="6"/>
      <c r="I64" s="6"/>
      <c r="J64" s="6"/>
      <c r="K64" s="6"/>
    </row>
    <row r="65" spans="2:11" ht="15.75" thickBot="1">
      <c r="B65" s="1669"/>
      <c r="C65" s="93"/>
      <c r="D65" s="41" t="s">
        <v>45</v>
      </c>
      <c r="E65" s="130" t="s">
        <v>53</v>
      </c>
      <c r="F65" s="6"/>
      <c r="G65" s="6"/>
      <c r="H65" s="6"/>
      <c r="I65" s="6"/>
      <c r="J65" s="6"/>
      <c r="K65" s="6"/>
    </row>
    <row r="66" spans="2:11" ht="15.75" thickBot="1">
      <c r="B66" s="1669"/>
      <c r="C66" s="93"/>
      <c r="D66" s="41" t="s">
        <v>46</v>
      </c>
      <c r="E66" s="169"/>
      <c r="F66" s="6"/>
      <c r="G66" s="6"/>
      <c r="H66" s="6"/>
      <c r="I66" s="6"/>
      <c r="J66" s="6"/>
      <c r="K66" s="6"/>
    </row>
    <row r="67" spans="2:11" ht="15.75" thickBot="1">
      <c r="B67" s="1669"/>
      <c r="C67" s="93"/>
      <c r="D67" s="41" t="s">
        <v>47</v>
      </c>
      <c r="E67" s="169"/>
      <c r="F67" s="6"/>
      <c r="G67" s="6"/>
      <c r="H67" s="6"/>
      <c r="I67" s="6"/>
      <c r="J67" s="6"/>
      <c r="K67" s="6"/>
    </row>
    <row r="68" spans="2:11" ht="15.75" thickBot="1">
      <c r="B68" s="1669"/>
      <c r="C68" s="93"/>
      <c r="D68" s="41" t="s">
        <v>48</v>
      </c>
      <c r="E68" s="169"/>
      <c r="F68" s="6"/>
      <c r="G68" s="6"/>
      <c r="H68" s="6"/>
      <c r="I68" s="6"/>
      <c r="J68" s="6"/>
      <c r="K68" s="6"/>
    </row>
    <row r="69" spans="2:11" ht="15.75" thickBot="1">
      <c r="B69" s="1669"/>
      <c r="C69" s="93"/>
      <c r="D69" s="41" t="s">
        <v>49</v>
      </c>
      <c r="E69" s="169"/>
      <c r="F69" s="6"/>
      <c r="G69" s="6"/>
      <c r="H69" s="6"/>
      <c r="I69" s="6"/>
      <c r="J69" s="6"/>
      <c r="K69" s="6"/>
    </row>
    <row r="70" spans="2:11" ht="15.75" thickBot="1">
      <c r="B70" s="1670"/>
      <c r="C70" s="3"/>
      <c r="D70" s="41" t="s">
        <v>50</v>
      </c>
      <c r="E70" s="169"/>
      <c r="F70" s="6"/>
      <c r="G70" s="6"/>
      <c r="H70" s="6"/>
      <c r="I70" s="6"/>
      <c r="J70" s="6"/>
      <c r="K70" s="6"/>
    </row>
    <row r="71" spans="2:11" ht="15.75" thickBot="1">
      <c r="B71" s="2"/>
      <c r="C71" s="75"/>
      <c r="D71" s="6"/>
      <c r="E71" s="6"/>
      <c r="F71" s="6"/>
      <c r="G71" s="6"/>
      <c r="H71" s="6"/>
      <c r="I71" s="6"/>
      <c r="J71" s="6"/>
      <c r="K71" s="6"/>
    </row>
    <row r="72" spans="2:11" ht="15.75" thickBot="1">
      <c r="B72" s="1671" t="s">
        <v>54</v>
      </c>
      <c r="C72" s="1672"/>
      <c r="D72" s="1672"/>
      <c r="E72" s="1672"/>
      <c r="F72" s="1673"/>
      <c r="G72" s="6"/>
      <c r="H72" s="6"/>
      <c r="I72" s="6"/>
      <c r="J72" s="6"/>
      <c r="K72" s="6"/>
    </row>
    <row r="73" spans="2:11" ht="24.75" thickBot="1">
      <c r="B73" s="48" t="s">
        <v>55</v>
      </c>
      <c r="C73" s="41" t="s">
        <v>56</v>
      </c>
      <c r="D73" s="41" t="s">
        <v>57</v>
      </c>
      <c r="E73" s="41" t="s">
        <v>58</v>
      </c>
      <c r="F73" s="6"/>
      <c r="G73" s="6"/>
      <c r="H73" s="6"/>
      <c r="I73" s="6"/>
      <c r="J73" s="6"/>
    </row>
    <row r="74" spans="2:11" ht="84.75" thickBot="1">
      <c r="B74" s="50">
        <v>42401</v>
      </c>
      <c r="C74" s="41">
        <v>0.01</v>
      </c>
      <c r="D74" s="51" t="s">
        <v>715</v>
      </c>
      <c r="E74" s="41"/>
      <c r="F74" s="6"/>
      <c r="G74" s="6"/>
      <c r="H74" s="6"/>
      <c r="I74" s="6"/>
      <c r="J74" s="6"/>
    </row>
    <row r="75" spans="2:11" ht="15.75" thickBot="1">
      <c r="B75" s="4"/>
      <c r="C75" s="94"/>
      <c r="D75" s="6"/>
      <c r="E75" s="6"/>
      <c r="F75" s="6"/>
      <c r="G75" s="6"/>
      <c r="H75" s="6"/>
      <c r="I75" s="6"/>
      <c r="J75" s="6"/>
      <c r="K75" s="6"/>
    </row>
    <row r="76" spans="2:11">
      <c r="B76" s="134" t="s">
        <v>60</v>
      </c>
      <c r="C76" s="95"/>
      <c r="D76" s="6"/>
      <c r="E76" s="6"/>
      <c r="F76" s="6"/>
      <c r="G76" s="6"/>
      <c r="H76" s="6"/>
      <c r="I76" s="6"/>
      <c r="J76" s="6"/>
      <c r="K76" s="6"/>
    </row>
    <row r="77" spans="2:11">
      <c r="B77" s="1797"/>
      <c r="C77" s="1798"/>
      <c r="D77" s="1798"/>
      <c r="E77" s="1798"/>
      <c r="F77" s="1799"/>
      <c r="G77" s="6"/>
      <c r="H77" s="6"/>
      <c r="I77" s="6"/>
      <c r="J77" s="6"/>
      <c r="K77" s="6"/>
    </row>
    <row r="78" spans="2:11">
      <c r="B78" s="1800"/>
      <c r="C78" s="1801"/>
      <c r="D78" s="1801"/>
      <c r="E78" s="1801"/>
      <c r="F78" s="1802"/>
      <c r="G78" s="6"/>
      <c r="H78" s="6"/>
      <c r="I78" s="6"/>
      <c r="J78" s="6"/>
      <c r="K78" s="6"/>
    </row>
    <row r="79" spans="2:11">
      <c r="B79" s="2"/>
      <c r="C79" s="75"/>
      <c r="D79" s="6"/>
      <c r="E79" s="6"/>
      <c r="F79" s="6"/>
      <c r="G79" s="6"/>
      <c r="H79" s="6"/>
      <c r="I79" s="6"/>
      <c r="J79" s="6"/>
      <c r="K79" s="6"/>
    </row>
    <row r="80" spans="2:11" ht="15.75" thickBot="1">
      <c r="B80" s="6"/>
      <c r="D80" s="6"/>
      <c r="E80" s="6"/>
      <c r="F80" s="6"/>
      <c r="G80" s="6"/>
      <c r="H80" s="6"/>
      <c r="I80" s="6"/>
      <c r="J80" s="6"/>
      <c r="K80" s="6"/>
    </row>
    <row r="81" spans="2:11" ht="24.75" thickBot="1">
      <c r="B81" s="52" t="s">
        <v>61</v>
      </c>
      <c r="C81" s="96"/>
      <c r="D81" s="6"/>
      <c r="E81" s="6"/>
      <c r="F81" s="6"/>
      <c r="G81" s="6"/>
      <c r="H81" s="6"/>
      <c r="I81" s="6"/>
      <c r="J81" s="6"/>
      <c r="K81" s="6"/>
    </row>
    <row r="82" spans="2:11" ht="15.75" thickBot="1">
      <c r="B82" s="38"/>
      <c r="C82" s="87"/>
      <c r="D82" s="6"/>
      <c r="E82" s="6"/>
      <c r="F82" s="6"/>
      <c r="G82" s="6"/>
      <c r="H82" s="6"/>
      <c r="I82" s="6"/>
      <c r="J82" s="6"/>
      <c r="K82" s="6"/>
    </row>
    <row r="83" spans="2:11" ht="84.75" thickBot="1">
      <c r="B83" s="53" t="s">
        <v>62</v>
      </c>
      <c r="C83" s="97"/>
      <c r="D83" s="44" t="s">
        <v>664</v>
      </c>
      <c r="E83" s="6"/>
      <c r="F83" s="6"/>
      <c r="G83" s="6"/>
      <c r="H83" s="6"/>
      <c r="I83" s="6"/>
      <c r="J83" s="6"/>
      <c r="K83" s="6"/>
    </row>
    <row r="84" spans="2:11">
      <c r="B84" s="1668" t="s">
        <v>64</v>
      </c>
      <c r="C84" s="93"/>
      <c r="D84" s="54" t="s">
        <v>65</v>
      </c>
      <c r="E84" s="6"/>
      <c r="F84" s="6"/>
      <c r="G84" s="6"/>
      <c r="H84" s="6"/>
      <c r="I84" s="6"/>
      <c r="J84" s="6"/>
      <c r="K84" s="6"/>
    </row>
    <row r="85" spans="2:11" ht="120">
      <c r="B85" s="1669"/>
      <c r="C85" s="93"/>
      <c r="D85" s="47" t="s">
        <v>665</v>
      </c>
      <c r="E85" s="6"/>
      <c r="F85" s="6"/>
      <c r="G85" s="6"/>
      <c r="H85" s="6"/>
      <c r="I85" s="6"/>
      <c r="J85" s="6"/>
      <c r="K85" s="6"/>
    </row>
    <row r="86" spans="2:11">
      <c r="B86" s="1669"/>
      <c r="C86" s="93"/>
      <c r="D86" s="54" t="s">
        <v>68</v>
      </c>
      <c r="E86" s="6"/>
      <c r="F86" s="6"/>
      <c r="G86" s="6"/>
      <c r="H86" s="6"/>
      <c r="I86" s="6"/>
      <c r="J86" s="6"/>
      <c r="K86" s="6"/>
    </row>
    <row r="87" spans="2:11">
      <c r="B87" s="1669"/>
      <c r="C87" s="93"/>
      <c r="D87" s="47" t="s">
        <v>666</v>
      </c>
      <c r="E87" s="6"/>
      <c r="F87" s="6"/>
      <c r="G87" s="6"/>
      <c r="H87" s="6"/>
      <c r="I87" s="6"/>
      <c r="J87" s="6"/>
      <c r="K87" s="6"/>
    </row>
    <row r="88" spans="2:11" ht="24">
      <c r="B88" s="1669"/>
      <c r="C88" s="93"/>
      <c r="D88" s="47" t="s">
        <v>667</v>
      </c>
      <c r="E88" s="6"/>
      <c r="F88" s="6"/>
      <c r="G88" s="6"/>
      <c r="H88" s="6"/>
      <c r="I88" s="6"/>
      <c r="J88" s="6"/>
      <c r="K88" s="6"/>
    </row>
    <row r="89" spans="2:11">
      <c r="B89" s="1669"/>
      <c r="C89" s="93"/>
      <c r="D89" s="54" t="s">
        <v>296</v>
      </c>
      <c r="E89" s="6"/>
      <c r="F89" s="6"/>
      <c r="G89" s="6"/>
      <c r="H89" s="6"/>
      <c r="I89" s="6"/>
      <c r="J89" s="6"/>
      <c r="K89" s="6"/>
    </row>
    <row r="90" spans="2:11" ht="24">
      <c r="B90" s="1669"/>
      <c r="C90" s="93"/>
      <c r="D90" s="47" t="s">
        <v>668</v>
      </c>
      <c r="E90" s="6"/>
      <c r="F90" s="6"/>
      <c r="G90" s="6"/>
      <c r="H90" s="6"/>
      <c r="I90" s="6"/>
      <c r="J90" s="6"/>
      <c r="K90" s="6"/>
    </row>
    <row r="91" spans="2:11" ht="24.75" thickBot="1">
      <c r="B91" s="1670"/>
      <c r="C91" s="3"/>
      <c r="D91" s="41" t="s">
        <v>669</v>
      </c>
      <c r="E91" s="6"/>
      <c r="F91" s="6"/>
      <c r="G91" s="6"/>
      <c r="H91" s="6"/>
      <c r="I91" s="6"/>
      <c r="J91" s="6"/>
      <c r="K91" s="6"/>
    </row>
    <row r="92" spans="2:11" ht="24.75" thickBot="1">
      <c r="B92" s="48" t="s">
        <v>77</v>
      </c>
      <c r="C92" s="3"/>
      <c r="D92" s="41"/>
      <c r="E92" s="6"/>
      <c r="F92" s="6"/>
      <c r="G92" s="6"/>
      <c r="H92" s="6"/>
      <c r="I92" s="6"/>
      <c r="J92" s="6"/>
      <c r="K92" s="6"/>
    </row>
    <row r="93" spans="2:11" ht="108">
      <c r="B93" s="1668" t="s">
        <v>78</v>
      </c>
      <c r="C93" s="93"/>
      <c r="D93" s="47" t="s">
        <v>670</v>
      </c>
      <c r="E93" s="6"/>
      <c r="F93" s="6"/>
      <c r="G93" s="6"/>
      <c r="H93" s="6"/>
      <c r="I93" s="6"/>
      <c r="J93" s="6"/>
      <c r="K93" s="6"/>
    </row>
    <row r="94" spans="2:11">
      <c r="B94" s="1669"/>
      <c r="C94" s="93"/>
      <c r="D94" s="47" t="s">
        <v>671</v>
      </c>
      <c r="E94" s="6"/>
      <c r="F94" s="6"/>
      <c r="G94" s="6"/>
      <c r="H94" s="6"/>
      <c r="I94" s="6"/>
      <c r="J94" s="6"/>
      <c r="K94" s="6"/>
    </row>
    <row r="95" spans="2:11" ht="108">
      <c r="B95" s="1669"/>
      <c r="C95" s="93"/>
      <c r="D95" s="47" t="s">
        <v>672</v>
      </c>
      <c r="E95" s="6"/>
      <c r="F95" s="6"/>
      <c r="G95" s="6"/>
      <c r="H95" s="6"/>
      <c r="I95" s="6"/>
      <c r="J95" s="6"/>
      <c r="K95" s="6"/>
    </row>
    <row r="96" spans="2:11" ht="108">
      <c r="B96" s="1669"/>
      <c r="C96" s="93"/>
      <c r="D96" s="47" t="s">
        <v>673</v>
      </c>
      <c r="E96" s="6"/>
      <c r="F96" s="6"/>
      <c r="G96" s="6"/>
      <c r="H96" s="6"/>
      <c r="I96" s="6"/>
      <c r="J96" s="6"/>
      <c r="K96" s="6"/>
    </row>
    <row r="97" spans="2:11" ht="108">
      <c r="B97" s="1669"/>
      <c r="C97" s="93"/>
      <c r="D97" s="47" t="s">
        <v>674</v>
      </c>
      <c r="E97" s="6"/>
      <c r="F97" s="6"/>
      <c r="G97" s="6"/>
      <c r="H97" s="6"/>
      <c r="I97" s="6"/>
      <c r="J97" s="6"/>
      <c r="K97" s="6"/>
    </row>
    <row r="98" spans="2:11" ht="84">
      <c r="B98" s="1669"/>
      <c r="C98" s="93"/>
      <c r="D98" s="47" t="s">
        <v>675</v>
      </c>
      <c r="E98" s="6"/>
      <c r="F98" s="6"/>
      <c r="G98" s="6"/>
      <c r="H98" s="6"/>
      <c r="I98" s="6"/>
      <c r="J98" s="6"/>
      <c r="K98" s="6"/>
    </row>
    <row r="99" spans="2:11" ht="84">
      <c r="B99" s="1669"/>
      <c r="C99" s="93"/>
      <c r="D99" s="47" t="s">
        <v>676</v>
      </c>
      <c r="E99" s="6"/>
      <c r="F99" s="6"/>
      <c r="G99" s="6"/>
      <c r="H99" s="6"/>
      <c r="I99" s="6"/>
      <c r="J99" s="6"/>
      <c r="K99" s="6"/>
    </row>
    <row r="100" spans="2:11" ht="216">
      <c r="B100" s="1669"/>
      <c r="C100" s="93"/>
      <c r="D100" s="47" t="s">
        <v>677</v>
      </c>
      <c r="E100" s="6"/>
      <c r="F100" s="6"/>
      <c r="G100" s="6"/>
      <c r="H100" s="6"/>
      <c r="I100" s="6"/>
      <c r="J100" s="6"/>
      <c r="K100" s="6"/>
    </row>
    <row r="101" spans="2:11" ht="168">
      <c r="B101" s="1669"/>
      <c r="C101" s="93"/>
      <c r="D101" s="47" t="s">
        <v>678</v>
      </c>
      <c r="E101" s="6"/>
      <c r="F101" s="6"/>
      <c r="G101" s="6"/>
      <c r="H101" s="6"/>
      <c r="I101" s="6"/>
      <c r="J101" s="6"/>
      <c r="K101" s="6"/>
    </row>
    <row r="102" spans="2:11" ht="24">
      <c r="B102" s="1669"/>
      <c r="C102" s="93"/>
      <c r="D102" s="47" t="s">
        <v>679</v>
      </c>
      <c r="E102" s="6"/>
      <c r="F102" s="6"/>
      <c r="G102" s="6"/>
      <c r="H102" s="6"/>
      <c r="I102" s="6"/>
      <c r="J102" s="6"/>
      <c r="K102" s="6"/>
    </row>
    <row r="103" spans="2:11" ht="24">
      <c r="B103" s="1669"/>
      <c r="C103" s="93"/>
      <c r="D103" s="26" t="s">
        <v>680</v>
      </c>
      <c r="E103" s="6"/>
      <c r="F103" s="6"/>
      <c r="G103" s="6"/>
      <c r="H103" s="6"/>
      <c r="I103" s="6"/>
      <c r="J103" s="6"/>
      <c r="K103" s="6"/>
    </row>
    <row r="104" spans="2:11" ht="36">
      <c r="B104" s="1669"/>
      <c r="C104" s="93"/>
      <c r="D104" s="26" t="s">
        <v>681</v>
      </c>
      <c r="E104" s="6"/>
      <c r="F104" s="6"/>
      <c r="G104" s="6"/>
      <c r="H104" s="6"/>
      <c r="I104" s="6"/>
      <c r="J104" s="6"/>
      <c r="K104" s="6"/>
    </row>
    <row r="105" spans="2:11" ht="48">
      <c r="B105" s="1669"/>
      <c r="C105" s="93"/>
      <c r="D105" s="26" t="s">
        <v>682</v>
      </c>
      <c r="E105" s="6"/>
      <c r="F105" s="6"/>
      <c r="G105" s="6"/>
      <c r="H105" s="6"/>
      <c r="I105" s="6"/>
      <c r="J105" s="6"/>
      <c r="K105" s="6"/>
    </row>
    <row r="106" spans="2:11" ht="144">
      <c r="B106" s="1669"/>
      <c r="C106" s="93"/>
      <c r="D106" s="47" t="s">
        <v>683</v>
      </c>
      <c r="E106" s="6"/>
      <c r="F106" s="6"/>
      <c r="G106" s="6"/>
      <c r="H106" s="6"/>
      <c r="I106" s="6"/>
      <c r="J106" s="6"/>
      <c r="K106" s="6"/>
    </row>
    <row r="107" spans="2:11" ht="60">
      <c r="B107" s="1669"/>
      <c r="C107" s="93"/>
      <c r="D107" s="47" t="s">
        <v>684</v>
      </c>
      <c r="E107" s="6"/>
      <c r="F107" s="6"/>
      <c r="G107" s="6"/>
      <c r="H107" s="6"/>
      <c r="I107" s="6"/>
      <c r="J107" s="6"/>
      <c r="K107" s="6"/>
    </row>
    <row r="108" spans="2:11" ht="36">
      <c r="B108" s="1669"/>
      <c r="C108" s="93"/>
      <c r="D108" s="47" t="s">
        <v>685</v>
      </c>
      <c r="E108" s="6"/>
      <c r="F108" s="6"/>
      <c r="G108" s="6"/>
      <c r="H108" s="6"/>
      <c r="I108" s="6"/>
      <c r="J108" s="6"/>
      <c r="K108" s="6"/>
    </row>
    <row r="109" spans="2:11" ht="60">
      <c r="B109" s="1669"/>
      <c r="C109" s="93"/>
      <c r="D109" s="62" t="s">
        <v>686</v>
      </c>
      <c r="E109" s="6"/>
      <c r="F109" s="6"/>
      <c r="G109" s="6"/>
      <c r="H109" s="6"/>
      <c r="I109" s="6"/>
      <c r="J109" s="6"/>
      <c r="K109" s="6"/>
    </row>
    <row r="110" spans="2:11" ht="24">
      <c r="B110" s="1669"/>
      <c r="C110" s="93"/>
      <c r="D110" s="62" t="s">
        <v>687</v>
      </c>
      <c r="E110" s="6"/>
      <c r="F110" s="6"/>
      <c r="G110" s="6"/>
      <c r="H110" s="6"/>
      <c r="I110" s="6"/>
      <c r="J110" s="6"/>
      <c r="K110" s="6"/>
    </row>
    <row r="111" spans="2:11" ht="24">
      <c r="B111" s="1669"/>
      <c r="C111" s="93"/>
      <c r="D111" s="62" t="s">
        <v>688</v>
      </c>
      <c r="E111" s="6"/>
      <c r="F111" s="6"/>
      <c r="G111" s="6"/>
      <c r="H111" s="6"/>
      <c r="I111" s="6"/>
      <c r="J111" s="6"/>
      <c r="K111" s="6"/>
    </row>
    <row r="112" spans="2:11" ht="36.75" thickBot="1">
      <c r="B112" s="1670"/>
      <c r="C112" s="3"/>
      <c r="D112" s="63" t="s">
        <v>689</v>
      </c>
      <c r="E112" s="6"/>
      <c r="F112" s="6"/>
      <c r="G112" s="6"/>
      <c r="H112" s="6"/>
      <c r="I112" s="6"/>
      <c r="J112" s="6"/>
      <c r="K112" s="6"/>
    </row>
    <row r="113" spans="2:11" ht="36">
      <c r="B113" s="1668" t="s">
        <v>95</v>
      </c>
      <c r="C113" s="93"/>
      <c r="D113" s="54" t="s">
        <v>690</v>
      </c>
      <c r="E113" s="6"/>
      <c r="F113" s="6"/>
      <c r="G113" s="6"/>
      <c r="H113" s="6"/>
      <c r="I113" s="6"/>
      <c r="J113" s="6"/>
      <c r="K113" s="6"/>
    </row>
    <row r="114" spans="2:11">
      <c r="B114" s="1669"/>
      <c r="C114" s="93"/>
      <c r="D114" s="17"/>
      <c r="E114" s="6"/>
      <c r="F114" s="6"/>
      <c r="G114" s="6"/>
      <c r="H114" s="6"/>
      <c r="I114" s="6"/>
      <c r="J114" s="6"/>
      <c r="K114" s="6"/>
    </row>
    <row r="115" spans="2:11">
      <c r="B115" s="1669"/>
      <c r="C115" s="93"/>
      <c r="D115" s="47" t="s">
        <v>96</v>
      </c>
      <c r="E115" s="6"/>
      <c r="F115" s="6"/>
      <c r="G115" s="6"/>
      <c r="H115" s="6"/>
      <c r="I115" s="6"/>
      <c r="J115" s="6"/>
      <c r="K115" s="6"/>
    </row>
    <row r="116" spans="2:11" ht="49.5">
      <c r="B116" s="1669"/>
      <c r="C116" s="93"/>
      <c r="D116" s="47" t="s">
        <v>691</v>
      </c>
      <c r="E116" s="6"/>
      <c r="F116" s="6"/>
      <c r="G116" s="6"/>
      <c r="H116" s="6"/>
      <c r="I116" s="6"/>
      <c r="J116" s="6"/>
      <c r="K116" s="6"/>
    </row>
    <row r="117" spans="2:11" ht="37.5">
      <c r="B117" s="1669"/>
      <c r="C117" s="93"/>
      <c r="D117" s="47" t="s">
        <v>692</v>
      </c>
      <c r="E117" s="6"/>
      <c r="F117" s="6"/>
      <c r="G117" s="6"/>
      <c r="H117" s="6"/>
      <c r="I117" s="6"/>
      <c r="J117" s="6"/>
      <c r="K117" s="6"/>
    </row>
    <row r="118" spans="2:11" ht="49.5">
      <c r="B118" s="1669"/>
      <c r="C118" s="93"/>
      <c r="D118" s="47" t="s">
        <v>693</v>
      </c>
      <c r="E118" s="6"/>
      <c r="F118" s="6"/>
      <c r="G118" s="6"/>
      <c r="H118" s="6"/>
      <c r="I118" s="6"/>
      <c r="J118" s="6"/>
      <c r="K118" s="6"/>
    </row>
    <row r="119" spans="2:11">
      <c r="B119" s="1669"/>
      <c r="C119" s="93"/>
      <c r="D119" s="54" t="s">
        <v>254</v>
      </c>
      <c r="E119" s="6"/>
      <c r="F119" s="6"/>
      <c r="G119" s="6"/>
      <c r="H119" s="6"/>
      <c r="I119" s="6"/>
      <c r="J119" s="6"/>
      <c r="K119" s="6"/>
    </row>
    <row r="120" spans="2:11" ht="48">
      <c r="B120" s="1669"/>
      <c r="C120" s="93"/>
      <c r="D120" s="54" t="s">
        <v>694</v>
      </c>
      <c r="E120" s="6"/>
      <c r="F120" s="6"/>
      <c r="G120" s="6"/>
      <c r="H120" s="6"/>
      <c r="I120" s="6"/>
      <c r="J120" s="6"/>
      <c r="K120" s="6"/>
    </row>
    <row r="121" spans="2:11">
      <c r="B121" s="1669"/>
      <c r="C121" s="93"/>
      <c r="D121" s="17"/>
      <c r="E121" s="6"/>
      <c r="F121" s="6"/>
      <c r="G121" s="6"/>
      <c r="H121" s="6"/>
      <c r="I121" s="6"/>
      <c r="J121" s="6"/>
      <c r="K121" s="6"/>
    </row>
    <row r="122" spans="2:11">
      <c r="B122" s="1669"/>
      <c r="C122" s="93"/>
      <c r="D122" s="47" t="s">
        <v>96</v>
      </c>
      <c r="E122" s="6"/>
      <c r="F122" s="6"/>
      <c r="G122" s="6"/>
      <c r="H122" s="6"/>
      <c r="I122" s="6"/>
      <c r="J122" s="6"/>
      <c r="K122" s="6"/>
    </row>
    <row r="123" spans="2:11" ht="61.5">
      <c r="B123" s="1669"/>
      <c r="C123" s="93"/>
      <c r="D123" s="47" t="s">
        <v>695</v>
      </c>
      <c r="E123" s="6"/>
      <c r="F123" s="6"/>
      <c r="G123" s="6"/>
      <c r="H123" s="6"/>
      <c r="I123" s="6"/>
      <c r="J123" s="6"/>
      <c r="K123" s="6"/>
    </row>
    <row r="124" spans="2:11" ht="61.5">
      <c r="B124" s="1669"/>
      <c r="C124" s="93"/>
      <c r="D124" s="47" t="s">
        <v>696</v>
      </c>
      <c r="E124" s="6"/>
      <c r="F124" s="6"/>
      <c r="G124" s="6"/>
      <c r="H124" s="6"/>
      <c r="I124" s="6"/>
      <c r="J124" s="6"/>
      <c r="K124" s="6"/>
    </row>
    <row r="125" spans="2:11" ht="62.25" thickBot="1">
      <c r="B125" s="1670"/>
      <c r="C125" s="3"/>
      <c r="D125" s="41" t="s">
        <v>697</v>
      </c>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sheetData>
  <sheetProtection sheet="1" objects="1" scenarios="1" insertRows="0"/>
  <mergeCells count="40">
    <mergeCell ref="B10:D10"/>
    <mergeCell ref="F10:S10"/>
    <mergeCell ref="F11:S11"/>
    <mergeCell ref="E12:R12"/>
    <mergeCell ref="E13:R13"/>
    <mergeCell ref="D16:K16"/>
    <mergeCell ref="D21:K21"/>
    <mergeCell ref="D38:D40"/>
    <mergeCell ref="E38:F38"/>
    <mergeCell ref="E39:E40"/>
    <mergeCell ref="G39:G40"/>
    <mergeCell ref="B93:B112"/>
    <mergeCell ref="B113:B125"/>
    <mergeCell ref="C24:C26"/>
    <mergeCell ref="D24:D26"/>
    <mergeCell ref="E24:E26"/>
    <mergeCell ref="B84:B91"/>
    <mergeCell ref="B63:E63"/>
    <mergeCell ref="B64:B70"/>
    <mergeCell ref="B15:B20"/>
    <mergeCell ref="B77:F78"/>
    <mergeCell ref="B72:F72"/>
    <mergeCell ref="D22:K22"/>
    <mergeCell ref="D23:K23"/>
    <mergeCell ref="D36:K36"/>
    <mergeCell ref="D37:K37"/>
    <mergeCell ref="B54:E54"/>
    <mergeCell ref="B55:B61"/>
    <mergeCell ref="F24:F26"/>
    <mergeCell ref="G24:J24"/>
    <mergeCell ref="H25:H26"/>
    <mergeCell ref="I25:I26"/>
    <mergeCell ref="J25:J26"/>
    <mergeCell ref="C38:C40"/>
    <mergeCell ref="D15:K15"/>
    <mergeCell ref="A1:P1"/>
    <mergeCell ref="A2:P2"/>
    <mergeCell ref="A3:P3"/>
    <mergeCell ref="A4:D4"/>
    <mergeCell ref="A5:P5"/>
  </mergeCells>
  <conditionalFormatting sqref="D49">
    <cfRule type="containsText" dxfId="57" priority="5" operator="containsText" text="ERROR">
      <formula>NOT(ISERROR(SEARCH("ERROR",D49)))</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4">
      <formula1>0</formula1>
    </dataValidation>
    <dataValidation type="decimal" allowBlank="1" showInputMessage="1" showErrorMessage="1" errorTitle="ERROR" error="Escriba un valor entre 0% y 100%" sqref="D41:D48">
      <formula1>0</formula1>
      <formula2>1</formula2>
    </dataValidation>
    <dataValidation allowBlank="1" showInputMessage="1" showErrorMessage="1" sqref="D49 I18:I19 E41:F49 G35:J3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9" r:id="rId1"/>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8"/>
  <sheetViews>
    <sheetView showGridLines="0" topLeftCell="A7" zoomScale="98" zoomScaleNormal="98" workbookViewId="0">
      <selection activeCell="H49" sqref="H49"/>
    </sheetView>
  </sheetViews>
  <sheetFormatPr baseColWidth="10" defaultRowHeight="15"/>
  <cols>
    <col min="1" max="1" width="1.85546875" customWidth="1"/>
    <col min="2" max="2" width="12.85546875" customWidth="1"/>
    <col min="3" max="3" width="5" style="86" bestFit="1" customWidth="1"/>
    <col min="4" max="4" width="34.85546875" customWidth="1"/>
    <col min="5" max="5" width="24.85546875" customWidth="1"/>
    <col min="6" max="6" width="13.140625" bestFit="1" customWidth="1"/>
    <col min="7" max="7" width="15" customWidth="1"/>
    <col min="8" max="8" width="16.5703125" customWidth="1"/>
    <col min="9" max="9" width="13.7109375" customWidth="1"/>
    <col min="10" max="10" width="13.140625" customWidth="1"/>
    <col min="14" max="14" width="15.85546875" customWidth="1"/>
    <col min="15" max="15" width="18.7109375" customWidth="1"/>
    <col min="16" max="16" width="15.140625" bestFit="1" customWidth="1"/>
    <col min="18" max="18" width="13.140625" bestFit="1"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716</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3" t="s">
        <v>1203</v>
      </c>
      <c r="C8" s="214">
        <v>2018</v>
      </c>
      <c r="D8" s="218">
        <f>IF(E10="NO APLICA","NO APLICA",IF(E11="NO SE REPORTA","SIN INFORMACION",+I35))</f>
        <v>0.52</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Gestión'!E69:H69</f>
        <v>Programa No 4. Gestion Ambiental Sectorial y Urbana.</v>
      </c>
      <c r="F12" s="1591"/>
      <c r="G12" s="1591"/>
      <c r="H12" s="1591"/>
      <c r="I12" s="1591"/>
      <c r="J12" s="1591"/>
      <c r="K12" s="1591"/>
      <c r="L12" s="1591"/>
      <c r="M12" s="1591"/>
      <c r="N12" s="1591"/>
      <c r="O12" s="1591"/>
      <c r="P12" s="1591"/>
      <c r="Q12" s="1591"/>
      <c r="R12" s="1591"/>
    </row>
    <row r="13" spans="1:21" s="403" customFormat="1" ht="24.75" customHeight="1">
      <c r="A13" s="237"/>
      <c r="B13" s="483"/>
      <c r="C13" s="296"/>
      <c r="D13" s="488" t="s">
        <v>1265</v>
      </c>
      <c r="E13" s="1592" t="s">
        <v>1840</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 customHeight="1" thickTop="1">
      <c r="B15" s="1683" t="s">
        <v>2</v>
      </c>
      <c r="C15" s="88"/>
      <c r="D15" s="1685" t="s">
        <v>344</v>
      </c>
      <c r="E15" s="1686"/>
      <c r="F15" s="1686"/>
      <c r="G15" s="1686"/>
      <c r="H15" s="1686"/>
      <c r="I15" s="1686"/>
      <c r="J15" s="1686"/>
      <c r="K15" s="1686"/>
      <c r="L15" s="1733"/>
    </row>
    <row r="16" spans="1:21" ht="15.75" thickBot="1">
      <c r="B16" s="1684"/>
      <c r="C16" s="91"/>
      <c r="D16" s="1784" t="s">
        <v>765</v>
      </c>
      <c r="E16" s="1785"/>
      <c r="F16" s="1785"/>
      <c r="G16" s="1785"/>
      <c r="H16" s="1785"/>
      <c r="I16" s="1785"/>
      <c r="J16" s="1785"/>
      <c r="K16" s="1785"/>
      <c r="L16" s="1816"/>
    </row>
    <row r="17" spans="2:12" ht="15.75" thickBot="1">
      <c r="B17" s="1684"/>
      <c r="C17" s="89" t="s">
        <v>24</v>
      </c>
      <c r="D17" s="39" t="s">
        <v>261</v>
      </c>
      <c r="E17" s="39" t="s">
        <v>25</v>
      </c>
      <c r="F17" s="39" t="s">
        <v>26</v>
      </c>
      <c r="G17" s="39" t="s">
        <v>27</v>
      </c>
      <c r="H17" s="39" t="s">
        <v>28</v>
      </c>
      <c r="I17" s="39" t="s">
        <v>262</v>
      </c>
      <c r="J17" s="6"/>
      <c r="L17" s="22"/>
    </row>
    <row r="18" spans="2:12" ht="24.75" thickBot="1">
      <c r="B18" s="1684"/>
      <c r="C18" s="90" t="s">
        <v>158</v>
      </c>
      <c r="D18" s="41" t="s">
        <v>778</v>
      </c>
      <c r="E18" s="7">
        <v>10</v>
      </c>
      <c r="F18" s="7">
        <v>12</v>
      </c>
      <c r="G18" s="7">
        <v>11</v>
      </c>
      <c r="H18" s="7">
        <v>10</v>
      </c>
      <c r="I18" s="147">
        <v>12</v>
      </c>
      <c r="J18" s="6"/>
      <c r="L18" s="22"/>
    </row>
    <row r="19" spans="2:12">
      <c r="B19" s="1684"/>
      <c r="C19" s="91"/>
      <c r="D19" s="1688"/>
      <c r="E19" s="1689"/>
      <c r="F19" s="1689"/>
      <c r="G19" s="1689"/>
      <c r="H19" s="1689"/>
      <c r="I19" s="1689"/>
      <c r="J19" s="1689"/>
      <c r="K19" s="1689"/>
      <c r="L19" s="1734"/>
    </row>
    <row r="20" spans="2:12" ht="15.75" thickBot="1">
      <c r="B20" s="425"/>
      <c r="C20" s="91"/>
      <c r="D20" s="1688" t="s">
        <v>779</v>
      </c>
      <c r="E20" s="1689"/>
      <c r="F20" s="1689"/>
      <c r="G20" s="1689"/>
      <c r="H20" s="1689"/>
      <c r="I20" s="1689"/>
      <c r="J20" s="1689"/>
      <c r="K20" s="1689"/>
      <c r="L20" s="1734"/>
    </row>
    <row r="21" spans="2:12" ht="15.75" thickBot="1">
      <c r="B21" s="425"/>
      <c r="C21" s="1758" t="s">
        <v>24</v>
      </c>
      <c r="D21" s="1668" t="s">
        <v>278</v>
      </c>
      <c r="E21" s="1668" t="s">
        <v>627</v>
      </c>
      <c r="F21" s="1818" t="s">
        <v>628</v>
      </c>
      <c r="G21" s="1819"/>
      <c r="H21" s="1819"/>
      <c r="I21" s="1819"/>
      <c r="J21" s="1820"/>
      <c r="L21" s="22"/>
    </row>
    <row r="22" spans="2:12" ht="36.75" thickBot="1">
      <c r="B22" s="425"/>
      <c r="C22" s="1759"/>
      <c r="D22" s="1670"/>
      <c r="E22" s="1670"/>
      <c r="F22" s="204" t="s">
        <v>629</v>
      </c>
      <c r="G22" s="204" t="s">
        <v>630</v>
      </c>
      <c r="H22" s="204" t="s">
        <v>631</v>
      </c>
      <c r="I22" s="204" t="s">
        <v>632</v>
      </c>
      <c r="J22" s="204" t="s">
        <v>60</v>
      </c>
      <c r="L22" s="22"/>
    </row>
    <row r="23" spans="2:12" ht="60.75" thickBot="1">
      <c r="B23" s="425"/>
      <c r="C23" s="133">
        <v>1</v>
      </c>
      <c r="D23" s="840" t="s">
        <v>1744</v>
      </c>
      <c r="E23" s="45" t="s">
        <v>780</v>
      </c>
      <c r="F23" s="909">
        <v>1</v>
      </c>
      <c r="G23" s="1295"/>
      <c r="H23" s="909">
        <v>0.09</v>
      </c>
      <c r="I23" s="910">
        <f>+G23*H23</f>
        <v>0</v>
      </c>
      <c r="J23" s="31"/>
      <c r="L23" s="22"/>
    </row>
    <row r="24" spans="2:12" ht="84.75" thickBot="1">
      <c r="B24" s="425"/>
      <c r="C24" s="133">
        <v>2</v>
      </c>
      <c r="D24" s="840" t="s">
        <v>1745</v>
      </c>
      <c r="E24" s="45" t="s">
        <v>781</v>
      </c>
      <c r="F24" s="909">
        <v>1</v>
      </c>
      <c r="G24" s="1295">
        <v>0.6</v>
      </c>
      <c r="H24" s="909">
        <v>0.08</v>
      </c>
      <c r="I24" s="1400">
        <f t="shared" ref="I24:I34" si="0">+G24*H24</f>
        <v>0.05</v>
      </c>
      <c r="J24" s="31"/>
      <c r="L24" s="22"/>
    </row>
    <row r="25" spans="2:12" ht="72.75" thickBot="1">
      <c r="B25" s="425"/>
      <c r="C25" s="133">
        <v>3</v>
      </c>
      <c r="D25" s="840" t="s">
        <v>1746</v>
      </c>
      <c r="E25" s="45" t="s">
        <v>782</v>
      </c>
      <c r="F25" s="909">
        <v>1</v>
      </c>
      <c r="G25" s="1295">
        <v>0.17</v>
      </c>
      <c r="H25" s="909">
        <v>0.1</v>
      </c>
      <c r="I25" s="1400">
        <f t="shared" si="0"/>
        <v>0.02</v>
      </c>
      <c r="J25" s="31"/>
      <c r="L25" s="22"/>
    </row>
    <row r="26" spans="2:12" s="403" customFormat="1" ht="24.75" thickBot="1">
      <c r="B26" s="827"/>
      <c r="C26" s="133">
        <v>4</v>
      </c>
      <c r="D26" s="840" t="s">
        <v>1747</v>
      </c>
      <c r="E26" s="45"/>
      <c r="F26" s="909">
        <v>1</v>
      </c>
      <c r="G26" s="1295">
        <v>1</v>
      </c>
      <c r="H26" s="909">
        <v>0.09</v>
      </c>
      <c r="I26" s="910">
        <f t="shared" si="0"/>
        <v>0.09</v>
      </c>
      <c r="J26" s="31"/>
      <c r="L26" s="22"/>
    </row>
    <row r="27" spans="2:12" s="403" customFormat="1" ht="48.75" thickBot="1">
      <c r="B27" s="827"/>
      <c r="C27" s="133">
        <v>5</v>
      </c>
      <c r="D27" s="840" t="s">
        <v>1748</v>
      </c>
      <c r="E27" s="45"/>
      <c r="F27" s="909">
        <v>1</v>
      </c>
      <c r="G27" s="1295">
        <v>0.8</v>
      </c>
      <c r="H27" s="909">
        <v>0.08</v>
      </c>
      <c r="I27" s="1400">
        <f t="shared" si="0"/>
        <v>0.06</v>
      </c>
      <c r="J27" s="31"/>
      <c r="L27" s="22"/>
    </row>
    <row r="28" spans="2:12" s="403" customFormat="1" ht="36.75" thickBot="1">
      <c r="B28" s="827"/>
      <c r="C28" s="133">
        <v>6</v>
      </c>
      <c r="D28" s="840" t="s">
        <v>1749</v>
      </c>
      <c r="E28" s="45"/>
      <c r="F28" s="909">
        <v>1</v>
      </c>
      <c r="G28" s="1295">
        <v>0</v>
      </c>
      <c r="H28" s="909">
        <v>0.1</v>
      </c>
      <c r="I28" s="910">
        <f t="shared" si="0"/>
        <v>0</v>
      </c>
      <c r="J28" s="31"/>
      <c r="L28" s="22"/>
    </row>
    <row r="29" spans="2:12" s="403" customFormat="1" ht="48.75" thickBot="1">
      <c r="B29" s="827"/>
      <c r="C29" s="133">
        <v>7</v>
      </c>
      <c r="D29" s="840" t="s">
        <v>1750</v>
      </c>
      <c r="E29" s="45"/>
      <c r="F29" s="909">
        <v>1</v>
      </c>
      <c r="G29" s="1295">
        <v>0.2</v>
      </c>
      <c r="H29" s="909">
        <v>7.0000000000000007E-2</v>
      </c>
      <c r="I29" s="910">
        <f t="shared" si="0"/>
        <v>1.4E-2</v>
      </c>
      <c r="J29" s="31"/>
      <c r="L29" s="22"/>
    </row>
    <row r="30" spans="2:12" ht="24.75" thickBot="1">
      <c r="B30" s="425"/>
      <c r="C30" s="133">
        <v>8</v>
      </c>
      <c r="D30" s="45" t="s">
        <v>1751</v>
      </c>
      <c r="E30" s="45"/>
      <c r="F30" s="909">
        <v>1</v>
      </c>
      <c r="G30" s="1295">
        <v>1</v>
      </c>
      <c r="H30" s="909">
        <v>7.0000000000000007E-2</v>
      </c>
      <c r="I30" s="910">
        <f t="shared" si="0"/>
        <v>7.0000000000000007E-2</v>
      </c>
      <c r="J30" s="31"/>
      <c r="L30" s="22"/>
    </row>
    <row r="31" spans="2:12" ht="36.75" thickBot="1">
      <c r="B31" s="425"/>
      <c r="C31" s="133">
        <v>9</v>
      </c>
      <c r="D31" s="840" t="s">
        <v>1752</v>
      </c>
      <c r="E31" s="45"/>
      <c r="F31" s="909">
        <v>1</v>
      </c>
      <c r="G31" s="1295">
        <v>0.75</v>
      </c>
      <c r="H31" s="909">
        <v>0.08</v>
      </c>
      <c r="I31" s="910">
        <f t="shared" si="0"/>
        <v>0.06</v>
      </c>
      <c r="J31" s="31"/>
      <c r="L31" s="22"/>
    </row>
    <row r="32" spans="2:12" s="403" customFormat="1" ht="48.75" thickBot="1">
      <c r="B32" s="827"/>
      <c r="C32" s="133">
        <v>10</v>
      </c>
      <c r="D32" s="840" t="s">
        <v>1753</v>
      </c>
      <c r="E32" s="45"/>
      <c r="F32" s="909">
        <v>1</v>
      </c>
      <c r="G32" s="1295">
        <v>1</v>
      </c>
      <c r="H32" s="909">
        <v>7.0000000000000007E-2</v>
      </c>
      <c r="I32" s="910">
        <f t="shared" si="0"/>
        <v>7.0000000000000007E-2</v>
      </c>
      <c r="J32" s="31"/>
      <c r="L32" s="22"/>
    </row>
    <row r="33" spans="2:16" ht="24.75" thickBot="1">
      <c r="B33" s="425"/>
      <c r="C33" s="133">
        <v>11</v>
      </c>
      <c r="D33" s="840" t="s">
        <v>1754</v>
      </c>
      <c r="E33" s="45"/>
      <c r="F33" s="909">
        <v>1</v>
      </c>
      <c r="G33" s="1295">
        <v>1</v>
      </c>
      <c r="H33" s="909">
        <v>0.09</v>
      </c>
      <c r="I33" s="910">
        <f t="shared" si="0"/>
        <v>0.09</v>
      </c>
      <c r="J33" s="31"/>
      <c r="L33" s="22"/>
    </row>
    <row r="34" spans="2:16" ht="48.75" thickBot="1">
      <c r="B34" s="425"/>
      <c r="C34" s="133">
        <v>12</v>
      </c>
      <c r="D34" s="840" t="s">
        <v>1755</v>
      </c>
      <c r="E34" s="45"/>
      <c r="F34" s="920">
        <v>1</v>
      </c>
      <c r="G34" s="1296"/>
      <c r="H34" s="909">
        <v>0.08</v>
      </c>
      <c r="I34" s="910">
        <f t="shared" si="0"/>
        <v>0</v>
      </c>
      <c r="J34" s="31"/>
      <c r="L34" s="22"/>
    </row>
    <row r="35" spans="2:16" ht="15.75" thickBot="1">
      <c r="B35" s="425"/>
      <c r="C35" s="93"/>
      <c r="D35" s="40"/>
      <c r="E35" s="40" t="s">
        <v>157</v>
      </c>
      <c r="F35" s="331"/>
      <c r="G35" s="331"/>
      <c r="H35" s="161">
        <f>Formulas!$D$23</f>
        <v>1</v>
      </c>
      <c r="I35" s="1319">
        <f>Formulas!$E$23</f>
        <v>0.52</v>
      </c>
      <c r="J35" s="31"/>
      <c r="L35" s="22"/>
    </row>
    <row r="36" spans="2:16">
      <c r="B36" s="425"/>
      <c r="C36" s="91"/>
      <c r="D36" s="1688" t="s">
        <v>638</v>
      </c>
      <c r="E36" s="1689"/>
      <c r="F36" s="1689"/>
      <c r="G36" s="1689"/>
      <c r="H36" s="1689"/>
      <c r="I36" s="1689"/>
      <c r="J36" s="1689"/>
      <c r="K36" s="1689"/>
      <c r="L36" s="1734"/>
    </row>
    <row r="37" spans="2:16">
      <c r="B37" s="425"/>
      <c r="C37" s="91"/>
      <c r="D37" s="1674" t="s">
        <v>254</v>
      </c>
      <c r="E37" s="1675"/>
      <c r="F37" s="1675"/>
      <c r="G37" s="1675"/>
      <c r="H37" s="1675"/>
      <c r="I37" s="1675"/>
      <c r="J37" s="1675"/>
      <c r="K37" s="1675"/>
      <c r="L37" s="1735"/>
    </row>
    <row r="38" spans="2:16" ht="15.75" thickBot="1">
      <c r="B38" s="425"/>
      <c r="C38" s="91"/>
      <c r="D38" s="1677" t="s">
        <v>783</v>
      </c>
      <c r="E38" s="1678"/>
      <c r="F38" s="1678"/>
      <c r="G38" s="1678"/>
      <c r="H38" s="1678"/>
      <c r="I38" s="1678"/>
      <c r="J38" s="1678"/>
      <c r="K38" s="1678"/>
      <c r="L38" s="1817"/>
    </row>
    <row r="39" spans="2:16" ht="15.75" thickBot="1">
      <c r="B39" s="425"/>
      <c r="C39" s="1758" t="s">
        <v>24</v>
      </c>
      <c r="D39" s="1749" t="s">
        <v>278</v>
      </c>
      <c r="E39" s="1749" t="s">
        <v>627</v>
      </c>
      <c r="F39" s="1818" t="s">
        <v>701</v>
      </c>
      <c r="G39" s="1819"/>
      <c r="H39" s="1819"/>
      <c r="I39" s="1819"/>
      <c r="J39" s="1819"/>
      <c r="K39" s="1820"/>
      <c r="L39" s="118"/>
      <c r="N39" s="843"/>
    </row>
    <row r="40" spans="2:16" ht="23.25" thickBot="1">
      <c r="B40" s="425"/>
      <c r="C40" s="1759"/>
      <c r="D40" s="1751"/>
      <c r="E40" s="1751"/>
      <c r="F40" s="206" t="s">
        <v>784</v>
      </c>
      <c r="G40" s="1318" t="s">
        <v>352</v>
      </c>
      <c r="H40" s="1318" t="s">
        <v>282</v>
      </c>
      <c r="I40" s="1318" t="s">
        <v>283</v>
      </c>
      <c r="J40" s="1318" t="s">
        <v>785</v>
      </c>
      <c r="K40" s="1318" t="s">
        <v>786</v>
      </c>
      <c r="L40" s="12"/>
    </row>
    <row r="41" spans="2:16" ht="60.75" thickBot="1">
      <c r="B41" s="425"/>
      <c r="C41" s="466">
        <v>1</v>
      </c>
      <c r="D41" s="831" t="str">
        <f t="shared" ref="D41:E43" si="1">+D23</f>
        <v>Conocer e identificar la base natural que soporta el territorio.  Asesorías a los municipios de Riohacha y Maicao para la delimitación de la estructura ecológica urbana.</v>
      </c>
      <c r="E41" s="464" t="str">
        <f t="shared" si="1"/>
        <v>Planificación y ordenamiento ambiental en áreas urbanas</v>
      </c>
      <c r="F41" s="1044">
        <v>28097302</v>
      </c>
      <c r="G41" s="1044">
        <f>28097302+3</f>
        <v>28097305</v>
      </c>
      <c r="H41" s="1044">
        <f>10542226+4</f>
        <v>10542230</v>
      </c>
      <c r="I41" s="1044">
        <f>10542226+4</f>
        <v>10542230</v>
      </c>
      <c r="J41" s="842">
        <f>+H41/G41</f>
        <v>0.38</v>
      </c>
      <c r="K41" s="842">
        <f>+I41/H41</f>
        <v>1</v>
      </c>
      <c r="L41" s="12"/>
      <c r="N41" s="843"/>
      <c r="O41" s="871"/>
    </row>
    <row r="42" spans="2:16" ht="84.75" thickBot="1">
      <c r="B42" s="425"/>
      <c r="C42" s="370">
        <v>2</v>
      </c>
      <c r="D42" s="831" t="str">
        <f t="shared" si="1"/>
        <v>Identificar, prevenir y mitigar amenazas y vulnerabilidades de origen natural, socio natural y antrópico. Desarrollo de campañas para la recuperación de humedales, mantenimiento o adecuación de canales, acequias o pasos de aguas de escorrentía.</v>
      </c>
      <c r="E42" s="464" t="str">
        <f t="shared" si="1"/>
        <v>Gestión ambiental del Espacio Público en áreas urbanas</v>
      </c>
      <c r="F42" s="1044">
        <v>28097302</v>
      </c>
      <c r="G42" s="1044">
        <v>28097302</v>
      </c>
      <c r="H42" s="1044">
        <v>10542226</v>
      </c>
      <c r="I42" s="1044">
        <v>10542226</v>
      </c>
      <c r="J42" s="842">
        <f t="shared" ref="J42:J53" si="2">+H42/G42</f>
        <v>0.38</v>
      </c>
      <c r="K42" s="842">
        <f t="shared" ref="K42:K53" si="3">+I42/H42</f>
        <v>1</v>
      </c>
      <c r="L42" s="12"/>
      <c r="M42" s="993"/>
      <c r="N42" s="843"/>
      <c r="O42" s="871"/>
    </row>
    <row r="43" spans="2:16" ht="72.75" thickBot="1">
      <c r="B43" s="425"/>
      <c r="C43" s="370">
        <v>3</v>
      </c>
      <c r="D43" s="831" t="str">
        <f t="shared" si="1"/>
        <v xml:space="preserve">Conservar, preservar y recuperar elementos naturales del espacio público. Realización de jornadas de arborización urbana en viviendas de interés social, vivienda de interés prioritarias y/o áreas públicas </v>
      </c>
      <c r="E43" s="464" t="str">
        <f t="shared" si="1"/>
        <v xml:space="preserve">Prevención y Control de la Contaminación del Aire en áreas urbanas </v>
      </c>
      <c r="F43" s="1044">
        <v>36097302</v>
      </c>
      <c r="G43" s="1044">
        <v>28097302</v>
      </c>
      <c r="H43" s="1044">
        <v>10542226</v>
      </c>
      <c r="I43" s="1044">
        <v>10542226</v>
      </c>
      <c r="J43" s="842">
        <f t="shared" si="2"/>
        <v>0.38</v>
      </c>
      <c r="K43" s="842">
        <f t="shared" si="3"/>
        <v>1</v>
      </c>
      <c r="L43" s="12"/>
      <c r="M43" s="993"/>
      <c r="N43" s="843"/>
      <c r="O43" s="871"/>
    </row>
    <row r="44" spans="2:16" s="403" customFormat="1" ht="24.75" thickBot="1">
      <c r="B44" s="827"/>
      <c r="C44" s="370">
        <v>4</v>
      </c>
      <c r="D44" s="832" t="str">
        <f>D26</f>
        <v>Recuperación participativa de barrios para la gestión ambiental urbana.</v>
      </c>
      <c r="E44" s="464" t="s">
        <v>1824</v>
      </c>
      <c r="F44" s="1044">
        <v>37384983</v>
      </c>
      <c r="G44" s="1044">
        <v>28097302</v>
      </c>
      <c r="H44" s="1044">
        <v>10542226</v>
      </c>
      <c r="I44" s="1044">
        <v>10542226</v>
      </c>
      <c r="J44" s="842">
        <f t="shared" si="2"/>
        <v>0.38</v>
      </c>
      <c r="K44" s="842">
        <f t="shared" si="3"/>
        <v>1</v>
      </c>
      <c r="L44" s="12"/>
      <c r="N44" s="843"/>
      <c r="O44" s="871"/>
    </row>
    <row r="45" spans="2:16" s="403" customFormat="1" ht="48.75" thickBot="1">
      <c r="B45" s="827"/>
      <c r="C45" s="370">
        <v>5</v>
      </c>
      <c r="D45" s="832" t="str">
        <f>D27</f>
        <v>Desarrollo de jornadas para la conservación ambiental en zonas de playas de los municipios costeros del Departamento.</v>
      </c>
      <c r="E45" s="464"/>
      <c r="F45" s="1044">
        <v>28097302</v>
      </c>
      <c r="G45" s="1044">
        <v>28097302</v>
      </c>
      <c r="H45" s="1044">
        <v>10542226</v>
      </c>
      <c r="I45" s="1044">
        <v>10542226</v>
      </c>
      <c r="J45" s="842">
        <f t="shared" si="2"/>
        <v>0.38</v>
      </c>
      <c r="K45" s="842">
        <f t="shared" si="3"/>
        <v>1</v>
      </c>
      <c r="L45" s="12"/>
      <c r="N45" s="843"/>
      <c r="O45" s="871"/>
    </row>
    <row r="46" spans="2:16" s="403" customFormat="1" ht="36.75" thickBot="1">
      <c r="B46" s="827"/>
      <c r="C46" s="370">
        <v>6</v>
      </c>
      <c r="D46" s="832" t="str">
        <f>D28</f>
        <v>Asesorías para la formulación e implementación de los planes locales de arborización en Riohacha y Maicao.</v>
      </c>
      <c r="E46" s="464"/>
      <c r="F46" s="1044">
        <v>36097302</v>
      </c>
      <c r="G46" s="1044">
        <v>28097302</v>
      </c>
      <c r="H46" s="1044">
        <v>10542226</v>
      </c>
      <c r="I46" s="1044">
        <v>10542226</v>
      </c>
      <c r="J46" s="842">
        <f t="shared" si="2"/>
        <v>0.38</v>
      </c>
      <c r="K46" s="842">
        <f t="shared" si="3"/>
        <v>1</v>
      </c>
      <c r="L46" s="12"/>
      <c r="N46" s="843"/>
      <c r="O46" s="871"/>
      <c r="P46" s="1275"/>
    </row>
    <row r="47" spans="2:16" s="403" customFormat="1" ht="48.75" thickBot="1">
      <c r="B47" s="827"/>
      <c r="C47" s="370">
        <v>7</v>
      </c>
      <c r="D47" s="832" t="str">
        <f>D29</f>
        <v>Asesoría y asistencia técnica a los entes territoriales en alternativas innovadoras para la disposición final de residuos sólidos</v>
      </c>
      <c r="E47" s="464"/>
      <c r="F47" s="1044">
        <v>37384983</v>
      </c>
      <c r="G47" s="1044">
        <v>28097302</v>
      </c>
      <c r="H47" s="1044">
        <v>10542226</v>
      </c>
      <c r="I47" s="1044">
        <v>10542226</v>
      </c>
      <c r="J47" s="842">
        <f t="shared" si="2"/>
        <v>0.38</v>
      </c>
      <c r="K47" s="146">
        <f t="shared" si="3"/>
        <v>1</v>
      </c>
      <c r="L47" s="12"/>
      <c r="M47" s="993"/>
      <c r="N47" s="843"/>
      <c r="O47" s="871"/>
      <c r="P47" s="843"/>
    </row>
    <row r="48" spans="2:16" ht="24.75" thickBot="1">
      <c r="B48" s="425"/>
      <c r="C48" s="370">
        <v>8</v>
      </c>
      <c r="D48" s="831" t="str">
        <f>+D30</f>
        <v>Sensibilización de la aplicación del comparendo ambiental.</v>
      </c>
      <c r="E48" s="464"/>
      <c r="F48" s="1044">
        <v>29384983</v>
      </c>
      <c r="G48" s="1044">
        <f>28097302+43642421</f>
        <v>71739723</v>
      </c>
      <c r="H48" s="1044">
        <f>10542226+43275711</f>
        <v>53817937</v>
      </c>
      <c r="I48" s="1044">
        <v>10542226</v>
      </c>
      <c r="J48" s="146">
        <f t="shared" si="2"/>
        <v>0.75</v>
      </c>
      <c r="K48" s="146">
        <f t="shared" si="3"/>
        <v>0.2</v>
      </c>
      <c r="L48" s="12"/>
      <c r="N48" s="843"/>
      <c r="O48" s="871"/>
    </row>
    <row r="49" spans="2:20" ht="36.75" thickBot="1">
      <c r="B49" s="425"/>
      <c r="C49" s="370">
        <v>9</v>
      </c>
      <c r="D49" s="831" t="str">
        <f>+D31</f>
        <v>Promoción del reciclaje y aprovechamiento de residuos orgánicos e inorgánicos enfocado al programa Basura 0.</v>
      </c>
      <c r="E49" s="464"/>
      <c r="F49" s="1044">
        <v>37384983</v>
      </c>
      <c r="G49" s="1044">
        <v>28097302</v>
      </c>
      <c r="H49" s="1044">
        <v>10542226</v>
      </c>
      <c r="I49" s="1044">
        <v>10542226</v>
      </c>
      <c r="J49" s="146">
        <f t="shared" si="2"/>
        <v>0.38</v>
      </c>
      <c r="K49" s="146">
        <f t="shared" si="3"/>
        <v>1</v>
      </c>
      <c r="L49" s="12"/>
      <c r="N49" s="843"/>
      <c r="O49" s="871"/>
      <c r="P49" s="843"/>
    </row>
    <row r="50" spans="2:20" s="403" customFormat="1" ht="48.75" thickBot="1">
      <c r="B50" s="827"/>
      <c r="C50" s="370">
        <v>10</v>
      </c>
      <c r="D50" s="832" t="str">
        <f>D32</f>
        <v>Asesorías para la conformación o fortalecimiento a grupos de recicladores o empresas comunitarias prestadoras de servicios públicos en saneamiento.</v>
      </c>
      <c r="E50" s="464"/>
      <c r="F50" s="1044">
        <v>29384983</v>
      </c>
      <c r="G50" s="1044">
        <v>28097302</v>
      </c>
      <c r="H50" s="1044">
        <v>10542226</v>
      </c>
      <c r="I50" s="1044">
        <v>10542226</v>
      </c>
      <c r="J50" s="146">
        <f t="shared" si="2"/>
        <v>0.38</v>
      </c>
      <c r="K50" s="146">
        <f t="shared" si="3"/>
        <v>1</v>
      </c>
      <c r="L50" s="12"/>
      <c r="N50" s="843"/>
      <c r="O50" s="871"/>
    </row>
    <row r="51" spans="2:20" ht="24.75" thickBot="1">
      <c r="B51" s="425"/>
      <c r="C51" s="370">
        <v>11</v>
      </c>
      <c r="D51" s="831" t="str">
        <f>+D33</f>
        <v>Recopilación, análisis y reporte de los Indicadores de Calidad Ambiental Urbana.</v>
      </c>
      <c r="E51" s="464"/>
      <c r="F51" s="1044">
        <v>28097302</v>
      </c>
      <c r="G51" s="1044">
        <v>28097302</v>
      </c>
      <c r="H51" s="1044">
        <v>10542226</v>
      </c>
      <c r="I51" s="1044">
        <v>10542226</v>
      </c>
      <c r="J51" s="146">
        <f t="shared" si="2"/>
        <v>0.38</v>
      </c>
      <c r="K51" s="146">
        <f t="shared" si="3"/>
        <v>1</v>
      </c>
      <c r="L51" s="12"/>
      <c r="N51" s="843"/>
      <c r="O51" s="871"/>
    </row>
    <row r="52" spans="2:20" ht="48.75" thickBot="1">
      <c r="B52" s="425"/>
      <c r="C52" s="370">
        <v>12</v>
      </c>
      <c r="D52" s="831" t="str">
        <f>+D34</f>
        <v>Asesoría y asistencia técnica para la gestión de residuos de centros de acopio de residuos sólidos reciclables, escombros y demolición.</v>
      </c>
      <c r="E52" s="464"/>
      <c r="F52" s="1044">
        <v>29384983</v>
      </c>
      <c r="G52" s="1044">
        <v>28097302</v>
      </c>
      <c r="H52" s="1044">
        <v>10542226</v>
      </c>
      <c r="I52" s="1044">
        <v>10542226</v>
      </c>
      <c r="J52" s="146">
        <f t="shared" si="2"/>
        <v>0.38</v>
      </c>
      <c r="K52" s="146">
        <f t="shared" si="3"/>
        <v>1</v>
      </c>
      <c r="L52" s="12"/>
      <c r="N52" s="843"/>
      <c r="O52" s="871"/>
      <c r="P52" s="843"/>
    </row>
    <row r="53" spans="2:20" ht="15.75" thickBot="1">
      <c r="B53" s="425"/>
      <c r="C53" s="100"/>
      <c r="D53" s="331"/>
      <c r="E53" s="331" t="s">
        <v>157</v>
      </c>
      <c r="F53" s="1045">
        <f>SUM(F41:F52)</f>
        <v>384893710</v>
      </c>
      <c r="G53" s="1046">
        <f>SUM(G41:G52)</f>
        <v>380810048</v>
      </c>
      <c r="H53" s="1046">
        <f>SUM(H41:H52)</f>
        <v>169782427</v>
      </c>
      <c r="I53" s="1046">
        <f>SUM(I41:I52)</f>
        <v>126506716</v>
      </c>
      <c r="J53" s="146">
        <f t="shared" si="2"/>
        <v>0.45</v>
      </c>
      <c r="K53" s="146">
        <f t="shared" si="3"/>
        <v>0.75</v>
      </c>
      <c r="L53" s="919"/>
      <c r="N53" s="921"/>
      <c r="O53" s="871"/>
      <c r="P53" s="871"/>
    </row>
    <row r="54" spans="2:20" ht="15.75" thickBot="1">
      <c r="B54" s="426"/>
      <c r="C54" s="92"/>
      <c r="D54" s="1716" t="s">
        <v>638</v>
      </c>
      <c r="E54" s="1717"/>
      <c r="F54" s="1717"/>
      <c r="G54" s="1717"/>
      <c r="H54" s="1717"/>
      <c r="I54" s="1717"/>
      <c r="J54" s="1717"/>
      <c r="K54" s="1717"/>
      <c r="L54" s="1736"/>
      <c r="N54" s="843"/>
      <c r="P54" s="843"/>
      <c r="R54" s="843"/>
      <c r="T54" s="843"/>
    </row>
    <row r="55" spans="2:20" ht="15.75" thickBot="1">
      <c r="B55" s="38"/>
      <c r="C55" s="87"/>
      <c r="D55" s="6"/>
      <c r="E55" s="6"/>
      <c r="F55" s="6"/>
      <c r="G55" s="6"/>
      <c r="H55" s="6"/>
      <c r="I55" s="6"/>
      <c r="J55" s="6"/>
      <c r="K55" s="6"/>
    </row>
    <row r="56" spans="2:20" ht="72.75" thickBot="1">
      <c r="B56" s="53" t="s">
        <v>39</v>
      </c>
      <c r="C56" s="97"/>
      <c r="D56" s="44" t="s">
        <v>787</v>
      </c>
      <c r="E56" s="6"/>
      <c r="F56" s="6"/>
      <c r="G56" s="6"/>
      <c r="H56" s="6"/>
      <c r="I56" s="6"/>
      <c r="J56" s="6"/>
      <c r="K56" s="6"/>
    </row>
    <row r="57" spans="2:20" ht="60.75" thickBot="1">
      <c r="B57" s="53" t="s">
        <v>41</v>
      </c>
      <c r="C57" s="207"/>
      <c r="D57" s="53" t="s">
        <v>354</v>
      </c>
      <c r="E57" s="6"/>
      <c r="F57" s="6"/>
      <c r="G57" s="6"/>
      <c r="H57" s="6"/>
      <c r="I57" s="6"/>
      <c r="J57" s="6"/>
      <c r="K57" s="6"/>
    </row>
    <row r="58" spans="2:20" ht="15.75" thickBot="1">
      <c r="B58" s="2"/>
      <c r="C58" s="75"/>
      <c r="D58" s="6"/>
      <c r="E58" s="6"/>
      <c r="F58" s="6"/>
      <c r="G58" s="6"/>
      <c r="H58" s="6"/>
      <c r="I58" s="6"/>
      <c r="J58" s="991"/>
      <c r="K58" s="6"/>
    </row>
    <row r="59" spans="2:20" ht="24" customHeight="1" thickBot="1">
      <c r="B59" s="1671" t="s">
        <v>43</v>
      </c>
      <c r="C59" s="1672"/>
      <c r="D59" s="1672"/>
      <c r="E59" s="1673"/>
      <c r="F59" s="6"/>
      <c r="G59" s="6"/>
      <c r="H59" s="6"/>
      <c r="I59" s="6"/>
      <c r="J59" s="992"/>
      <c r="K59" s="6"/>
    </row>
    <row r="60" spans="2:20" ht="15.75" thickBot="1">
      <c r="B60" s="1668">
        <v>1</v>
      </c>
      <c r="C60" s="93"/>
      <c r="D60" s="49" t="s">
        <v>44</v>
      </c>
      <c r="E60" s="139" t="s">
        <v>1616</v>
      </c>
      <c r="F60" s="6"/>
      <c r="G60" s="6"/>
      <c r="H60" s="6"/>
      <c r="I60" s="6"/>
      <c r="J60" s="6"/>
      <c r="K60" s="6"/>
    </row>
    <row r="61" spans="2:20" ht="15.75" thickBot="1">
      <c r="B61" s="1669"/>
      <c r="C61" s="93"/>
      <c r="D61" s="41" t="s">
        <v>45</v>
      </c>
      <c r="E61" s="139" t="s">
        <v>1756</v>
      </c>
      <c r="F61" s="6"/>
      <c r="G61" s="6"/>
      <c r="H61" s="6"/>
      <c r="I61" s="6"/>
      <c r="J61" s="6"/>
      <c r="K61" s="6"/>
    </row>
    <row r="62" spans="2:20" ht="15.75" thickBot="1">
      <c r="B62" s="1669"/>
      <c r="C62" s="93"/>
      <c r="D62" s="41" t="s">
        <v>46</v>
      </c>
      <c r="E62" s="139" t="s">
        <v>2021</v>
      </c>
      <c r="F62" s="6"/>
      <c r="G62" s="6"/>
      <c r="H62" s="6"/>
      <c r="I62" s="6"/>
      <c r="J62" s="6"/>
      <c r="K62" s="6"/>
    </row>
    <row r="63" spans="2:20" ht="15.75" thickBot="1">
      <c r="B63" s="1669"/>
      <c r="C63" s="93"/>
      <c r="D63" s="41" t="s">
        <v>47</v>
      </c>
      <c r="E63" s="139" t="s">
        <v>1626</v>
      </c>
      <c r="F63" s="6"/>
      <c r="G63" s="6"/>
      <c r="H63" s="6"/>
      <c r="I63" s="6"/>
      <c r="J63" s="6"/>
      <c r="K63" s="6"/>
    </row>
    <row r="64" spans="2:20" ht="15.75" thickBot="1">
      <c r="B64" s="1669"/>
      <c r="C64" s="93"/>
      <c r="D64" s="41" t="s">
        <v>48</v>
      </c>
      <c r="E64" s="841" t="s">
        <v>2033</v>
      </c>
      <c r="F64" s="6"/>
      <c r="G64" s="6"/>
      <c r="H64" s="6"/>
      <c r="I64" s="6"/>
      <c r="J64" s="6"/>
      <c r="K64" s="6"/>
    </row>
    <row r="65" spans="2:11" ht="15.75" thickBot="1">
      <c r="B65" s="1669"/>
      <c r="C65" s="93"/>
      <c r="D65" s="41" t="s">
        <v>49</v>
      </c>
      <c r="E65" s="139" t="s">
        <v>1757</v>
      </c>
      <c r="F65" s="6"/>
      <c r="G65" s="6"/>
      <c r="H65" s="6"/>
      <c r="I65" s="6"/>
      <c r="J65" s="6"/>
      <c r="K65" s="6"/>
    </row>
    <row r="66" spans="2:11" ht="15.75" thickBot="1">
      <c r="B66" s="1670"/>
      <c r="C66" s="3"/>
      <c r="D66" s="41" t="s">
        <v>50</v>
      </c>
      <c r="E66" s="139" t="s">
        <v>1607</v>
      </c>
      <c r="F66" s="6"/>
      <c r="G66" s="6"/>
      <c r="H66" s="6"/>
      <c r="I66" s="6"/>
      <c r="J66" s="6"/>
      <c r="K66" s="6"/>
    </row>
    <row r="67" spans="2:11" ht="15.75" thickBot="1">
      <c r="B67" s="2"/>
      <c r="C67" s="75"/>
      <c r="D67" s="6"/>
      <c r="E67" s="6"/>
      <c r="F67" s="6"/>
      <c r="G67" s="6"/>
      <c r="H67" s="6"/>
      <c r="I67" s="6"/>
      <c r="J67" s="6"/>
      <c r="K67" s="6"/>
    </row>
    <row r="68" spans="2:11" ht="15.75" thickBot="1">
      <c r="B68" s="1671" t="s">
        <v>51</v>
      </c>
      <c r="C68" s="1672"/>
      <c r="D68" s="1672"/>
      <c r="E68" s="1673"/>
      <c r="F68" s="6"/>
      <c r="G68" s="6"/>
      <c r="H68" s="6"/>
      <c r="I68" s="6"/>
      <c r="J68" s="6"/>
      <c r="K68" s="6"/>
    </row>
    <row r="69" spans="2:11" ht="15.75" thickBot="1">
      <c r="B69" s="1668">
        <v>1</v>
      </c>
      <c r="C69" s="93"/>
      <c r="D69" s="49" t="s">
        <v>44</v>
      </c>
      <c r="E69" s="130" t="s">
        <v>52</v>
      </c>
      <c r="F69" s="6"/>
      <c r="G69" s="6"/>
      <c r="H69" s="6"/>
      <c r="I69" s="6"/>
      <c r="J69" s="6"/>
      <c r="K69" s="6"/>
    </row>
    <row r="70" spans="2:11" ht="15.75" thickBot="1">
      <c r="B70" s="1669"/>
      <c r="C70" s="93"/>
      <c r="D70" s="41" t="s">
        <v>45</v>
      </c>
      <c r="E70" s="170" t="s">
        <v>166</v>
      </c>
      <c r="F70" s="6"/>
      <c r="G70" s="6"/>
      <c r="H70" s="6"/>
      <c r="I70" s="6"/>
      <c r="J70" s="6"/>
      <c r="K70" s="6"/>
    </row>
    <row r="71" spans="2:11" ht="15.75" thickBot="1">
      <c r="B71" s="1669"/>
      <c r="C71" s="93"/>
      <c r="D71" s="41" t="s">
        <v>46</v>
      </c>
      <c r="E71" s="171"/>
      <c r="F71" s="6"/>
      <c r="G71" s="6"/>
      <c r="H71" s="6"/>
      <c r="I71" s="6"/>
      <c r="J71" s="6"/>
      <c r="K71" s="6"/>
    </row>
    <row r="72" spans="2:11" ht="15.75" thickBot="1">
      <c r="B72" s="1669"/>
      <c r="C72" s="93"/>
      <c r="D72" s="41" t="s">
        <v>47</v>
      </c>
      <c r="E72" s="171"/>
      <c r="F72" s="6"/>
      <c r="G72" s="6"/>
      <c r="H72" s="6"/>
      <c r="I72" s="6"/>
      <c r="J72" s="6"/>
      <c r="K72" s="6"/>
    </row>
    <row r="73" spans="2:11" ht="15.75" thickBot="1">
      <c r="B73" s="1669"/>
      <c r="C73" s="93"/>
      <c r="D73" s="41" t="s">
        <v>48</v>
      </c>
      <c r="E73" s="171"/>
      <c r="F73" s="6"/>
      <c r="G73" s="6"/>
      <c r="H73" s="6"/>
      <c r="I73" s="6"/>
      <c r="J73" s="6"/>
      <c r="K73" s="6"/>
    </row>
    <row r="74" spans="2:11" ht="15.75" thickBot="1">
      <c r="B74" s="1669"/>
      <c r="C74" s="93"/>
      <c r="D74" s="41" t="s">
        <v>49</v>
      </c>
      <c r="E74" s="171"/>
      <c r="F74" s="6"/>
      <c r="G74" s="6"/>
      <c r="H74" s="6"/>
      <c r="I74" s="6"/>
      <c r="J74" s="6"/>
      <c r="K74" s="6"/>
    </row>
    <row r="75" spans="2:11" ht="15.75" thickBot="1">
      <c r="B75" s="1670"/>
      <c r="C75" s="3"/>
      <c r="D75" s="41" t="s">
        <v>50</v>
      </c>
      <c r="E75" s="171"/>
      <c r="F75" s="6"/>
      <c r="G75" s="6"/>
      <c r="H75" s="6"/>
      <c r="I75" s="6"/>
      <c r="J75" s="6"/>
      <c r="K75" s="6"/>
    </row>
    <row r="76" spans="2:11" ht="15.75" thickBot="1">
      <c r="B76" s="2"/>
      <c r="C76" s="75"/>
      <c r="D76" s="6"/>
      <c r="E76" s="6"/>
      <c r="F76" s="6"/>
      <c r="G76" s="6"/>
      <c r="H76" s="6"/>
      <c r="I76" s="6"/>
      <c r="J76" s="6"/>
      <c r="K76" s="6"/>
    </row>
    <row r="77" spans="2:11" ht="15" customHeight="1" thickBot="1">
      <c r="B77" s="123" t="s">
        <v>54</v>
      </c>
      <c r="C77" s="124"/>
      <c r="D77" s="124"/>
      <c r="E77" s="125"/>
      <c r="G77" s="6"/>
      <c r="H77" s="6"/>
      <c r="I77" s="6"/>
      <c r="J77" s="6"/>
      <c r="K77" s="6"/>
    </row>
    <row r="78" spans="2:11" ht="24.75" thickBot="1">
      <c r="B78" s="48" t="s">
        <v>55</v>
      </c>
      <c r="C78" s="41" t="s">
        <v>56</v>
      </c>
      <c r="D78" s="41" t="s">
        <v>57</v>
      </c>
      <c r="E78" s="41" t="s">
        <v>58</v>
      </c>
      <c r="F78" s="6"/>
      <c r="G78" s="6"/>
      <c r="H78" s="6"/>
      <c r="I78" s="6"/>
      <c r="J78" s="6"/>
    </row>
    <row r="79" spans="2:11" ht="72.75" thickBot="1">
      <c r="B79" s="50">
        <v>42401</v>
      </c>
      <c r="C79" s="41">
        <v>1</v>
      </c>
      <c r="D79" s="41" t="s">
        <v>788</v>
      </c>
      <c r="E79" s="41"/>
      <c r="F79" s="6"/>
      <c r="G79" s="6"/>
      <c r="H79" s="6"/>
      <c r="I79" s="6"/>
      <c r="J79" s="6"/>
    </row>
    <row r="80" spans="2:11" ht="15.75" thickBot="1">
      <c r="B80" s="4"/>
      <c r="C80" s="94"/>
      <c r="D80" s="6"/>
      <c r="E80" s="6"/>
      <c r="F80" s="6"/>
      <c r="G80" s="6"/>
      <c r="H80" s="6"/>
      <c r="I80" s="6"/>
      <c r="J80" s="6"/>
      <c r="K80" s="6"/>
    </row>
    <row r="81" spans="2:11" ht="15.75" thickBot="1">
      <c r="B81" s="191" t="s">
        <v>60</v>
      </c>
      <c r="C81" s="95"/>
      <c r="D81" s="6"/>
      <c r="E81" s="6"/>
      <c r="F81" s="6"/>
      <c r="G81" s="6"/>
      <c r="H81" s="6"/>
      <c r="I81" s="6"/>
      <c r="J81" s="6"/>
      <c r="K81" s="6"/>
    </row>
    <row r="82" spans="2:11">
      <c r="B82" s="1821"/>
      <c r="C82" s="1822"/>
      <c r="D82" s="1822"/>
      <c r="E82" s="1823"/>
      <c r="F82" s="6"/>
      <c r="G82" s="6"/>
      <c r="H82" s="6"/>
      <c r="I82" s="6"/>
      <c r="J82" s="6"/>
      <c r="K82" s="6"/>
    </row>
    <row r="83" spans="2:11" ht="15.75" thickBot="1">
      <c r="B83" s="1824"/>
      <c r="C83" s="1825"/>
      <c r="D83" s="1825"/>
      <c r="E83" s="1826"/>
      <c r="F83" s="6"/>
      <c r="G83" s="6"/>
      <c r="H83" s="6"/>
      <c r="I83" s="6"/>
      <c r="J83" s="6"/>
      <c r="K83" s="6"/>
    </row>
    <row r="84" spans="2:11" ht="15.75" thickBot="1">
      <c r="B84" s="6"/>
      <c r="D84" s="6"/>
      <c r="E84" s="6"/>
      <c r="F84" s="6"/>
      <c r="G84" s="6"/>
      <c r="H84" s="6"/>
      <c r="I84" s="6"/>
      <c r="J84" s="6"/>
      <c r="K84" s="6"/>
    </row>
    <row r="85" spans="2:11" ht="15.75" thickBot="1">
      <c r="B85" s="1671" t="s">
        <v>61</v>
      </c>
      <c r="C85" s="1672"/>
      <c r="D85" s="1673"/>
      <c r="E85" s="6"/>
      <c r="F85" s="6"/>
      <c r="G85" s="6"/>
      <c r="H85" s="6"/>
      <c r="I85" s="6"/>
      <c r="J85" s="6"/>
      <c r="K85" s="6"/>
    </row>
    <row r="86" spans="2:11" ht="60.75" thickBot="1">
      <c r="B86" s="48" t="s">
        <v>62</v>
      </c>
      <c r="C86" s="3"/>
      <c r="D86" s="41" t="s">
        <v>717</v>
      </c>
      <c r="E86" s="6"/>
      <c r="F86" s="6"/>
      <c r="G86" s="6"/>
      <c r="H86" s="6"/>
      <c r="I86" s="6"/>
      <c r="J86" s="6"/>
      <c r="K86" s="6"/>
    </row>
    <row r="87" spans="2:11">
      <c r="B87" s="1668" t="s">
        <v>64</v>
      </c>
      <c r="C87" s="93"/>
      <c r="D87" s="54" t="s">
        <v>65</v>
      </c>
      <c r="E87" s="6"/>
      <c r="F87" s="6"/>
      <c r="G87" s="6"/>
      <c r="H87" s="6"/>
      <c r="I87" s="6"/>
      <c r="J87" s="6"/>
      <c r="K87" s="6"/>
    </row>
    <row r="88" spans="2:11" ht="96">
      <c r="B88" s="1669"/>
      <c r="C88" s="93"/>
      <c r="D88" s="47" t="s">
        <v>718</v>
      </c>
      <c r="E88" s="6"/>
      <c r="F88" s="6"/>
      <c r="G88" s="6"/>
      <c r="H88" s="6"/>
      <c r="I88" s="6"/>
      <c r="J88" s="6"/>
      <c r="K88" s="6"/>
    </row>
    <row r="89" spans="2:11">
      <c r="B89" s="1669"/>
      <c r="C89" s="93"/>
      <c r="D89" s="54" t="s">
        <v>68</v>
      </c>
      <c r="E89" s="6"/>
      <c r="F89" s="6"/>
      <c r="G89" s="6"/>
      <c r="H89" s="6"/>
      <c r="I89" s="6"/>
      <c r="J89" s="6"/>
      <c r="K89" s="6"/>
    </row>
    <row r="90" spans="2:11">
      <c r="B90" s="1669"/>
      <c r="C90" s="93"/>
      <c r="D90" s="47" t="s">
        <v>69</v>
      </c>
      <c r="E90" s="6"/>
      <c r="F90" s="6"/>
      <c r="G90" s="6"/>
      <c r="H90" s="6"/>
      <c r="I90" s="6"/>
      <c r="J90" s="6"/>
      <c r="K90" s="6"/>
    </row>
    <row r="91" spans="2:11">
      <c r="B91" s="1669"/>
      <c r="C91" s="93"/>
      <c r="D91" s="47" t="s">
        <v>719</v>
      </c>
      <c r="E91" s="6"/>
      <c r="F91" s="6"/>
      <c r="G91" s="6"/>
      <c r="H91" s="6"/>
      <c r="I91" s="6"/>
      <c r="J91" s="6"/>
      <c r="K91" s="6"/>
    </row>
    <row r="92" spans="2:11">
      <c r="B92" s="1669"/>
      <c r="C92" s="93"/>
      <c r="D92" s="47" t="s">
        <v>70</v>
      </c>
      <c r="E92" s="6"/>
      <c r="F92" s="6"/>
      <c r="G92" s="6"/>
      <c r="H92" s="6"/>
      <c r="I92" s="6"/>
      <c r="J92" s="6"/>
      <c r="K92" s="6"/>
    </row>
    <row r="93" spans="2:11">
      <c r="B93" s="1669"/>
      <c r="C93" s="93"/>
      <c r="D93" s="47" t="s">
        <v>720</v>
      </c>
      <c r="E93" s="6"/>
      <c r="F93" s="6"/>
      <c r="G93" s="6"/>
      <c r="H93" s="6"/>
      <c r="I93" s="6"/>
      <c r="J93" s="6"/>
      <c r="K93" s="6"/>
    </row>
    <row r="94" spans="2:11" ht="24">
      <c r="B94" s="1669"/>
      <c r="C94" s="93"/>
      <c r="D94" s="47" t="s">
        <v>721</v>
      </c>
      <c r="E94" s="6"/>
      <c r="F94" s="6"/>
      <c r="G94" s="6"/>
      <c r="H94" s="6"/>
      <c r="I94" s="6"/>
      <c r="J94" s="6"/>
      <c r="K94" s="6"/>
    </row>
    <row r="95" spans="2:11">
      <c r="B95" s="1669"/>
      <c r="C95" s="93"/>
      <c r="D95" s="54" t="s">
        <v>296</v>
      </c>
      <c r="E95" s="6"/>
      <c r="F95" s="6"/>
      <c r="G95" s="6"/>
      <c r="H95" s="6"/>
      <c r="I95" s="6"/>
      <c r="J95" s="6"/>
      <c r="K95" s="6"/>
    </row>
    <row r="96" spans="2:11">
      <c r="B96" s="1669"/>
      <c r="C96" s="93"/>
      <c r="D96" s="47" t="s">
        <v>363</v>
      </c>
      <c r="E96" s="6"/>
      <c r="F96" s="6"/>
      <c r="G96" s="6"/>
      <c r="H96" s="6"/>
      <c r="I96" s="6"/>
      <c r="J96" s="6"/>
      <c r="K96" s="6"/>
    </row>
    <row r="97" spans="2:11">
      <c r="B97" s="1669"/>
      <c r="C97" s="93"/>
      <c r="D97" s="47" t="s">
        <v>722</v>
      </c>
      <c r="E97" s="6"/>
      <c r="F97" s="6"/>
      <c r="G97" s="6"/>
      <c r="H97" s="6"/>
      <c r="I97" s="6"/>
      <c r="J97" s="6"/>
      <c r="K97" s="6"/>
    </row>
    <row r="98" spans="2:11" ht="24">
      <c r="B98" s="1669"/>
      <c r="C98" s="93"/>
      <c r="D98" s="47" t="s">
        <v>723</v>
      </c>
      <c r="E98" s="6"/>
      <c r="F98" s="6"/>
      <c r="G98" s="6"/>
      <c r="H98" s="6"/>
      <c r="I98" s="6"/>
      <c r="J98" s="6"/>
      <c r="K98" s="6"/>
    </row>
    <row r="99" spans="2:11" ht="24">
      <c r="B99" s="1669"/>
      <c r="C99" s="93"/>
      <c r="D99" s="47" t="s">
        <v>724</v>
      </c>
      <c r="E99" s="6"/>
      <c r="F99" s="6"/>
      <c r="G99" s="6"/>
      <c r="H99" s="6"/>
      <c r="I99" s="6"/>
      <c r="J99" s="6"/>
      <c r="K99" s="6"/>
    </row>
    <row r="100" spans="2:11" ht="36">
      <c r="B100" s="1669"/>
      <c r="C100" s="93"/>
      <c r="D100" s="47" t="s">
        <v>725</v>
      </c>
      <c r="E100" s="6"/>
      <c r="F100" s="6"/>
      <c r="G100" s="6"/>
      <c r="H100" s="6"/>
      <c r="I100" s="6"/>
      <c r="J100" s="6"/>
      <c r="K100" s="6"/>
    </row>
    <row r="101" spans="2:11">
      <c r="B101" s="1669"/>
      <c r="C101" s="93"/>
      <c r="D101" s="47" t="s">
        <v>726</v>
      </c>
      <c r="E101" s="6"/>
      <c r="F101" s="6"/>
      <c r="G101" s="6"/>
      <c r="H101" s="6"/>
      <c r="I101" s="6"/>
      <c r="J101" s="6"/>
      <c r="K101" s="6"/>
    </row>
    <row r="102" spans="2:11">
      <c r="B102" s="1669"/>
      <c r="C102" s="93"/>
      <c r="D102" s="47" t="s">
        <v>727</v>
      </c>
      <c r="E102" s="6"/>
      <c r="F102" s="6"/>
      <c r="G102" s="6"/>
      <c r="H102" s="6"/>
      <c r="I102" s="6"/>
      <c r="J102" s="6"/>
      <c r="K102" s="6"/>
    </row>
    <row r="103" spans="2:11" ht="15.75" thickBot="1">
      <c r="B103" s="1670"/>
      <c r="C103" s="3"/>
      <c r="D103" s="41" t="s">
        <v>728</v>
      </c>
      <c r="E103" s="6"/>
      <c r="F103" s="6"/>
      <c r="G103" s="6"/>
      <c r="H103" s="6"/>
      <c r="I103" s="6"/>
      <c r="J103" s="6"/>
      <c r="K103" s="6"/>
    </row>
    <row r="104" spans="2:11" ht="24.75" thickBot="1">
      <c r="B104" s="48" t="s">
        <v>77</v>
      </c>
      <c r="C104" s="3"/>
      <c r="D104" s="41"/>
      <c r="E104" s="6"/>
      <c r="F104" s="6"/>
      <c r="G104" s="6"/>
      <c r="H104" s="6"/>
      <c r="I104" s="6"/>
      <c r="J104" s="6"/>
      <c r="K104" s="6"/>
    </row>
    <row r="105" spans="2:11" ht="252">
      <c r="B105" s="1668" t="s">
        <v>78</v>
      </c>
      <c r="C105" s="93"/>
      <c r="D105" s="47" t="s">
        <v>729</v>
      </c>
      <c r="E105" s="6"/>
      <c r="F105" s="6"/>
      <c r="G105" s="6"/>
      <c r="H105" s="6"/>
      <c r="I105" s="6"/>
      <c r="J105" s="6"/>
      <c r="K105" s="6"/>
    </row>
    <row r="106" spans="2:11" ht="24">
      <c r="B106" s="1669"/>
      <c r="C106" s="93"/>
      <c r="D106" s="47" t="s">
        <v>730</v>
      </c>
      <c r="E106" s="6"/>
      <c r="F106" s="6"/>
      <c r="G106" s="6"/>
      <c r="H106" s="6"/>
      <c r="I106" s="6"/>
      <c r="J106" s="6"/>
      <c r="K106" s="6"/>
    </row>
    <row r="107" spans="2:11" ht="108">
      <c r="B107" s="1669"/>
      <c r="C107" s="93"/>
      <c r="D107" s="47" t="s">
        <v>731</v>
      </c>
      <c r="E107" s="6"/>
      <c r="F107" s="6"/>
      <c r="G107" s="6"/>
      <c r="H107" s="6"/>
      <c r="I107" s="6"/>
      <c r="J107" s="6"/>
      <c r="K107" s="6"/>
    </row>
    <row r="108" spans="2:11" ht="384">
      <c r="B108" s="1669"/>
      <c r="C108" s="93"/>
      <c r="D108" s="47" t="s">
        <v>732</v>
      </c>
      <c r="E108" s="6"/>
      <c r="F108" s="6"/>
      <c r="G108" s="6"/>
      <c r="H108" s="6"/>
      <c r="I108" s="6"/>
      <c r="J108" s="6"/>
      <c r="K108" s="6"/>
    </row>
    <row r="109" spans="2:11" ht="192">
      <c r="B109" s="1669"/>
      <c r="C109" s="93"/>
      <c r="D109" s="47" t="s">
        <v>733</v>
      </c>
      <c r="E109" s="6"/>
      <c r="F109" s="6"/>
      <c r="G109" s="6"/>
      <c r="H109" s="6"/>
      <c r="I109" s="6"/>
      <c r="J109" s="6"/>
      <c r="K109" s="6"/>
    </row>
    <row r="110" spans="2:11" ht="72">
      <c r="B110" s="1669"/>
      <c r="C110" s="93"/>
      <c r="D110" s="47" t="s">
        <v>734</v>
      </c>
      <c r="E110" s="6"/>
      <c r="F110" s="6"/>
      <c r="G110" s="6"/>
      <c r="H110" s="6"/>
      <c r="I110" s="6"/>
      <c r="J110" s="6"/>
      <c r="K110" s="6"/>
    </row>
    <row r="111" spans="2:11" ht="24">
      <c r="B111" s="1669"/>
      <c r="C111" s="93"/>
      <c r="D111" s="47" t="s">
        <v>735</v>
      </c>
      <c r="E111" s="6"/>
      <c r="F111" s="6"/>
      <c r="G111" s="6"/>
      <c r="H111" s="6"/>
      <c r="I111" s="6"/>
      <c r="J111" s="6"/>
      <c r="K111" s="6"/>
    </row>
    <row r="112" spans="2:11" ht="24">
      <c r="B112" s="1669"/>
      <c r="C112" s="93"/>
      <c r="D112" s="47" t="s">
        <v>736</v>
      </c>
      <c r="E112" s="6"/>
      <c r="F112" s="6"/>
      <c r="G112" s="6"/>
      <c r="H112" s="6"/>
      <c r="I112" s="6"/>
      <c r="J112" s="6"/>
      <c r="K112" s="6"/>
    </row>
    <row r="113" spans="2:11" ht="24">
      <c r="B113" s="1669"/>
      <c r="C113" s="93"/>
      <c r="D113" s="47" t="s">
        <v>737</v>
      </c>
      <c r="E113" s="6"/>
      <c r="F113" s="6"/>
      <c r="G113" s="6"/>
      <c r="H113" s="6"/>
      <c r="I113" s="6"/>
      <c r="J113" s="6"/>
      <c r="K113" s="6"/>
    </row>
    <row r="114" spans="2:11" ht="84">
      <c r="B114" s="1669"/>
      <c r="C114" s="93"/>
      <c r="D114" s="47" t="s">
        <v>738</v>
      </c>
      <c r="E114" s="6"/>
      <c r="F114" s="6"/>
      <c r="G114" s="6"/>
      <c r="H114" s="6"/>
      <c r="I114" s="6"/>
      <c r="J114" s="6"/>
      <c r="K114" s="6"/>
    </row>
    <row r="115" spans="2:11" ht="24">
      <c r="B115" s="1669"/>
      <c r="C115" s="93"/>
      <c r="D115" s="47" t="s">
        <v>739</v>
      </c>
      <c r="E115" s="6"/>
      <c r="F115" s="6"/>
      <c r="G115" s="6"/>
      <c r="H115" s="6"/>
      <c r="I115" s="6"/>
      <c r="J115" s="6"/>
      <c r="K115" s="6"/>
    </row>
    <row r="116" spans="2:11" ht="24">
      <c r="B116" s="1669"/>
      <c r="C116" s="93"/>
      <c r="D116" s="47" t="s">
        <v>740</v>
      </c>
      <c r="E116" s="6"/>
      <c r="F116" s="6"/>
      <c r="G116" s="6"/>
      <c r="H116" s="6"/>
      <c r="I116" s="6"/>
      <c r="J116" s="6"/>
      <c r="K116" s="6"/>
    </row>
    <row r="117" spans="2:11">
      <c r="B117" s="1669"/>
      <c r="C117" s="93"/>
      <c r="D117" s="47" t="s">
        <v>741</v>
      </c>
      <c r="E117" s="6"/>
      <c r="F117" s="6"/>
      <c r="G117" s="6"/>
      <c r="H117" s="6"/>
      <c r="I117" s="6"/>
      <c r="J117" s="6"/>
      <c r="K117" s="6"/>
    </row>
    <row r="118" spans="2:11" ht="24">
      <c r="B118" s="1669"/>
      <c r="C118" s="93"/>
      <c r="D118" s="47" t="s">
        <v>742</v>
      </c>
      <c r="E118" s="6"/>
      <c r="F118" s="6"/>
      <c r="G118" s="6"/>
      <c r="H118" s="6"/>
      <c r="I118" s="6"/>
      <c r="J118" s="6"/>
      <c r="K118" s="6"/>
    </row>
    <row r="119" spans="2:11" ht="36">
      <c r="B119" s="1669"/>
      <c r="C119" s="93"/>
      <c r="D119" s="47" t="s">
        <v>743</v>
      </c>
      <c r="E119" s="6"/>
      <c r="F119" s="6"/>
      <c r="G119" s="6"/>
      <c r="H119" s="6"/>
      <c r="I119" s="6"/>
      <c r="J119" s="6"/>
      <c r="K119" s="6"/>
    </row>
    <row r="120" spans="2:11" ht="24">
      <c r="B120" s="1669"/>
      <c r="C120" s="93"/>
      <c r="D120" s="47" t="s">
        <v>744</v>
      </c>
      <c r="E120" s="6"/>
      <c r="F120" s="6"/>
      <c r="G120" s="6"/>
      <c r="H120" s="6"/>
      <c r="I120" s="6"/>
      <c r="J120" s="6"/>
      <c r="K120" s="6"/>
    </row>
    <row r="121" spans="2:11" ht="24">
      <c r="B121" s="1669"/>
      <c r="C121" s="93"/>
      <c r="D121" s="47" t="s">
        <v>745</v>
      </c>
      <c r="E121" s="6"/>
      <c r="F121" s="6"/>
      <c r="G121" s="6"/>
      <c r="H121" s="6"/>
      <c r="I121" s="6"/>
      <c r="J121" s="6"/>
      <c r="K121" s="6"/>
    </row>
    <row r="122" spans="2:11" ht="72">
      <c r="B122" s="1669"/>
      <c r="C122" s="93"/>
      <c r="D122" s="47" t="s">
        <v>746</v>
      </c>
      <c r="E122" s="6"/>
      <c r="F122" s="6"/>
      <c r="G122" s="6"/>
      <c r="H122" s="6"/>
      <c r="I122" s="6"/>
      <c r="J122" s="6"/>
      <c r="K122" s="6"/>
    </row>
    <row r="123" spans="2:11" ht="48">
      <c r="B123" s="1669"/>
      <c r="C123" s="93"/>
      <c r="D123" s="47" t="s">
        <v>747</v>
      </c>
      <c r="E123" s="6"/>
      <c r="F123" s="6"/>
      <c r="G123" s="6"/>
      <c r="H123" s="6"/>
      <c r="I123" s="6"/>
      <c r="J123" s="6"/>
      <c r="K123" s="6"/>
    </row>
    <row r="124" spans="2:11" ht="48">
      <c r="B124" s="1669"/>
      <c r="C124" s="93"/>
      <c r="D124" s="47" t="s">
        <v>748</v>
      </c>
      <c r="E124" s="6"/>
      <c r="F124" s="6"/>
      <c r="G124" s="6"/>
      <c r="H124" s="6"/>
      <c r="I124" s="6"/>
      <c r="J124" s="6"/>
      <c r="K124" s="6"/>
    </row>
    <row r="125" spans="2:11" ht="36">
      <c r="B125" s="1669"/>
      <c r="C125" s="93"/>
      <c r="D125" s="47" t="s">
        <v>749</v>
      </c>
      <c r="E125" s="6"/>
      <c r="F125" s="6"/>
      <c r="G125" s="6"/>
      <c r="H125" s="6"/>
      <c r="I125" s="6"/>
      <c r="J125" s="6"/>
      <c r="K125" s="6"/>
    </row>
    <row r="126" spans="2:11" ht="24">
      <c r="B126" s="1669"/>
      <c r="C126" s="93"/>
      <c r="D126" s="47" t="s">
        <v>750</v>
      </c>
      <c r="E126" s="6"/>
      <c r="F126" s="6"/>
      <c r="G126" s="6"/>
      <c r="H126" s="6"/>
      <c r="I126" s="6"/>
      <c r="J126" s="6"/>
      <c r="K126" s="6"/>
    </row>
    <row r="127" spans="2:11" ht="36">
      <c r="B127" s="1669"/>
      <c r="C127" s="93"/>
      <c r="D127" s="47" t="s">
        <v>751</v>
      </c>
      <c r="E127" s="6"/>
      <c r="F127" s="6"/>
      <c r="G127" s="6"/>
      <c r="H127" s="6"/>
      <c r="I127" s="6"/>
      <c r="J127" s="6"/>
      <c r="K127" s="6"/>
    </row>
    <row r="128" spans="2:11" ht="24">
      <c r="B128" s="1669"/>
      <c r="C128" s="93"/>
      <c r="D128" s="47" t="s">
        <v>752</v>
      </c>
      <c r="E128" s="6"/>
      <c r="F128" s="6"/>
      <c r="G128" s="6"/>
      <c r="H128" s="6"/>
      <c r="I128" s="6"/>
      <c r="J128" s="6"/>
      <c r="K128" s="6"/>
    </row>
    <row r="129" spans="2:11" ht="36">
      <c r="B129" s="1669"/>
      <c r="C129" s="93"/>
      <c r="D129" s="47" t="s">
        <v>753</v>
      </c>
      <c r="E129" s="6"/>
      <c r="F129" s="6"/>
      <c r="G129" s="6"/>
      <c r="H129" s="6"/>
      <c r="I129" s="6"/>
      <c r="J129" s="6"/>
      <c r="K129" s="6"/>
    </row>
    <row r="130" spans="2:11" ht="36">
      <c r="B130" s="1669"/>
      <c r="C130" s="93"/>
      <c r="D130" s="47" t="s">
        <v>754</v>
      </c>
      <c r="E130" s="6"/>
      <c r="F130" s="6"/>
      <c r="G130" s="6"/>
      <c r="H130" s="6"/>
      <c r="I130" s="6"/>
      <c r="J130" s="6"/>
      <c r="K130" s="6"/>
    </row>
    <row r="131" spans="2:11" ht="36">
      <c r="B131" s="1669"/>
      <c r="C131" s="93"/>
      <c r="D131" s="47" t="s">
        <v>755</v>
      </c>
      <c r="E131" s="6"/>
      <c r="F131" s="6"/>
      <c r="G131" s="6"/>
      <c r="H131" s="6"/>
      <c r="I131" s="6"/>
      <c r="J131" s="6"/>
      <c r="K131" s="6"/>
    </row>
    <row r="132" spans="2:11" ht="60">
      <c r="B132" s="1669"/>
      <c r="C132" s="93"/>
      <c r="D132" s="47" t="s">
        <v>756</v>
      </c>
      <c r="E132" s="6"/>
      <c r="F132" s="6"/>
      <c r="G132" s="6"/>
      <c r="H132" s="6"/>
      <c r="I132" s="6"/>
      <c r="J132" s="6"/>
      <c r="K132" s="6"/>
    </row>
    <row r="133" spans="2:11" ht="48">
      <c r="B133" s="1669"/>
      <c r="C133" s="93"/>
      <c r="D133" s="47" t="s">
        <v>757</v>
      </c>
      <c r="E133" s="6"/>
      <c r="F133" s="6"/>
      <c r="G133" s="6"/>
      <c r="H133" s="6"/>
      <c r="I133" s="6"/>
      <c r="J133" s="6"/>
      <c r="K133" s="6"/>
    </row>
    <row r="134" spans="2:11" ht="24">
      <c r="B134" s="1669"/>
      <c r="C134" s="93"/>
      <c r="D134" s="47" t="s">
        <v>758</v>
      </c>
      <c r="E134" s="6"/>
      <c r="F134" s="6"/>
      <c r="G134" s="6"/>
      <c r="H134" s="6"/>
      <c r="I134" s="6"/>
      <c r="J134" s="6"/>
      <c r="K134" s="6"/>
    </row>
    <row r="135" spans="2:11" ht="24">
      <c r="B135" s="1669"/>
      <c r="C135" s="93"/>
      <c r="D135" s="47" t="s">
        <v>759</v>
      </c>
      <c r="E135" s="6"/>
      <c r="F135" s="6"/>
      <c r="G135" s="6"/>
      <c r="H135" s="6"/>
      <c r="I135" s="6"/>
      <c r="J135" s="6"/>
      <c r="K135" s="6"/>
    </row>
    <row r="136" spans="2:11" ht="24">
      <c r="B136" s="1669"/>
      <c r="C136" s="93"/>
      <c r="D136" s="47" t="s">
        <v>760</v>
      </c>
      <c r="E136" s="6"/>
      <c r="F136" s="6"/>
      <c r="G136" s="6"/>
      <c r="H136" s="6"/>
      <c r="I136" s="6"/>
      <c r="J136" s="6"/>
      <c r="K136" s="6"/>
    </row>
    <row r="137" spans="2:11" ht="24">
      <c r="B137" s="1669"/>
      <c r="C137" s="93"/>
      <c r="D137" s="47" t="s">
        <v>761</v>
      </c>
      <c r="E137" s="6"/>
      <c r="F137" s="6"/>
      <c r="G137" s="6"/>
      <c r="H137" s="6"/>
      <c r="I137" s="6"/>
      <c r="J137" s="6"/>
      <c r="K137" s="6"/>
    </row>
    <row r="138" spans="2:11" ht="48">
      <c r="B138" s="1669"/>
      <c r="C138" s="93"/>
      <c r="D138" s="47" t="s">
        <v>762</v>
      </c>
      <c r="E138" s="6"/>
      <c r="F138" s="6"/>
      <c r="G138" s="6"/>
      <c r="H138" s="6"/>
      <c r="I138" s="6"/>
      <c r="J138" s="6"/>
      <c r="K138" s="6"/>
    </row>
    <row r="139" spans="2:11" ht="24">
      <c r="B139" s="1669"/>
      <c r="C139" s="93"/>
      <c r="D139" s="47" t="s">
        <v>763</v>
      </c>
      <c r="E139" s="6"/>
      <c r="F139" s="6"/>
      <c r="G139" s="6"/>
      <c r="H139" s="6"/>
      <c r="I139" s="6"/>
      <c r="J139" s="6"/>
      <c r="K139" s="6"/>
    </row>
    <row r="140" spans="2:11" ht="36.75" thickBot="1">
      <c r="B140" s="1670"/>
      <c r="C140" s="3"/>
      <c r="D140" s="41" t="s">
        <v>764</v>
      </c>
      <c r="E140" s="6"/>
      <c r="F140" s="6"/>
      <c r="G140" s="6"/>
      <c r="H140" s="6"/>
      <c r="I140" s="6"/>
      <c r="J140" s="6"/>
      <c r="K140" s="6"/>
    </row>
    <row r="141" spans="2:11" ht="24">
      <c r="B141" s="1668" t="s">
        <v>95</v>
      </c>
      <c r="C141" s="93"/>
      <c r="D141" s="54" t="s">
        <v>765</v>
      </c>
      <c r="E141" s="6"/>
      <c r="F141" s="6"/>
      <c r="G141" s="6"/>
      <c r="H141" s="6"/>
      <c r="I141" s="6"/>
      <c r="J141" s="6"/>
      <c r="K141" s="6"/>
    </row>
    <row r="142" spans="2:11" ht="25.35" customHeight="1">
      <c r="B142" s="1669"/>
      <c r="C142" s="93"/>
      <c r="D142" s="47" t="s">
        <v>256</v>
      </c>
      <c r="E142" s="6"/>
      <c r="F142" s="6"/>
      <c r="G142" s="6"/>
      <c r="H142" s="6"/>
      <c r="I142" s="6"/>
      <c r="J142" s="6"/>
      <c r="K142" s="6"/>
    </row>
    <row r="143" spans="2:11">
      <c r="B143" s="1669"/>
      <c r="C143" s="93"/>
      <c r="D143" s="47" t="s">
        <v>96</v>
      </c>
      <c r="E143" s="6"/>
      <c r="F143" s="6"/>
      <c r="G143" s="6"/>
      <c r="H143" s="6"/>
      <c r="I143" s="6"/>
      <c r="J143" s="6"/>
      <c r="K143" s="6"/>
    </row>
    <row r="144" spans="2:11" ht="37.5">
      <c r="B144" s="1669"/>
      <c r="C144" s="93"/>
      <c r="D144" s="47" t="s">
        <v>766</v>
      </c>
      <c r="E144" s="6"/>
      <c r="F144" s="6"/>
      <c r="G144" s="6"/>
      <c r="H144" s="6"/>
      <c r="I144" s="6"/>
      <c r="J144" s="6"/>
      <c r="K144" s="6"/>
    </row>
    <row r="145" spans="2:11" ht="37.5">
      <c r="B145" s="1669"/>
      <c r="C145" s="93"/>
      <c r="D145" s="47" t="s">
        <v>767</v>
      </c>
      <c r="E145" s="6"/>
      <c r="F145" s="6"/>
      <c r="G145" s="6"/>
      <c r="H145" s="6"/>
      <c r="I145" s="6"/>
      <c r="J145" s="6"/>
      <c r="K145" s="6"/>
    </row>
    <row r="146" spans="2:11" ht="37.5">
      <c r="B146" s="1669"/>
      <c r="C146" s="93"/>
      <c r="D146" s="47" t="s">
        <v>768</v>
      </c>
      <c r="E146" s="6"/>
      <c r="F146" s="6"/>
      <c r="G146" s="6"/>
      <c r="H146" s="6"/>
      <c r="I146" s="6"/>
      <c r="J146" s="6"/>
      <c r="K146" s="6"/>
    </row>
    <row r="147" spans="2:11" ht="37.5">
      <c r="B147" s="1669"/>
      <c r="C147" s="93"/>
      <c r="D147" s="47" t="s">
        <v>769</v>
      </c>
      <c r="E147" s="6"/>
      <c r="F147" s="6"/>
      <c r="G147" s="6"/>
      <c r="H147" s="6"/>
      <c r="I147" s="6"/>
      <c r="J147" s="6"/>
      <c r="K147" s="6"/>
    </row>
    <row r="148" spans="2:11">
      <c r="B148" s="1669"/>
      <c r="C148" s="93"/>
      <c r="D148" s="47" t="s">
        <v>770</v>
      </c>
      <c r="E148" s="6"/>
      <c r="F148" s="6"/>
      <c r="G148" s="6"/>
      <c r="H148" s="6"/>
      <c r="I148" s="6"/>
      <c r="J148" s="6"/>
      <c r="K148" s="6"/>
    </row>
    <row r="149" spans="2:11">
      <c r="B149" s="1669"/>
      <c r="C149" s="93"/>
      <c r="D149" s="47" t="s">
        <v>771</v>
      </c>
      <c r="E149" s="6"/>
      <c r="F149" s="6"/>
      <c r="G149" s="6"/>
      <c r="H149" s="6"/>
      <c r="I149" s="6"/>
      <c r="J149" s="6"/>
      <c r="K149" s="6"/>
    </row>
    <row r="150" spans="2:11">
      <c r="B150" s="1669"/>
      <c r="C150" s="93"/>
      <c r="D150" s="47" t="s">
        <v>772</v>
      </c>
      <c r="E150" s="6"/>
      <c r="F150" s="6"/>
      <c r="G150" s="6"/>
      <c r="H150" s="6"/>
      <c r="I150" s="6"/>
      <c r="J150" s="6"/>
      <c r="K150" s="6"/>
    </row>
    <row r="151" spans="2:11">
      <c r="B151" s="1669"/>
      <c r="C151" s="93"/>
      <c r="D151" s="47" t="s">
        <v>773</v>
      </c>
      <c r="E151" s="6"/>
      <c r="F151" s="6"/>
      <c r="G151" s="6"/>
      <c r="H151" s="6"/>
      <c r="I151" s="6"/>
      <c r="J151" s="6"/>
      <c r="K151" s="6"/>
    </row>
    <row r="152" spans="2:11" ht="84">
      <c r="B152" s="1669"/>
      <c r="C152" s="93"/>
      <c r="D152" s="55" t="s">
        <v>243</v>
      </c>
      <c r="E152" s="6"/>
      <c r="F152" s="6"/>
      <c r="G152" s="6"/>
      <c r="H152" s="6"/>
      <c r="I152" s="6"/>
      <c r="J152" s="6"/>
      <c r="K152" s="6"/>
    </row>
    <row r="153" spans="2:11">
      <c r="B153" s="1669"/>
      <c r="C153" s="93"/>
      <c r="D153" s="58" t="s">
        <v>254</v>
      </c>
      <c r="E153" s="6"/>
      <c r="F153" s="6"/>
      <c r="G153" s="6"/>
      <c r="H153" s="6"/>
      <c r="I153" s="6"/>
      <c r="J153" s="6"/>
      <c r="K153" s="6"/>
    </row>
    <row r="154" spans="2:11" ht="24">
      <c r="B154" s="1669"/>
      <c r="C154" s="93"/>
      <c r="D154" s="54" t="s">
        <v>774</v>
      </c>
      <c r="E154" s="6"/>
      <c r="F154" s="6"/>
      <c r="G154" s="6"/>
      <c r="H154" s="6"/>
      <c r="I154" s="6"/>
      <c r="J154" s="6"/>
      <c r="K154" s="6"/>
    </row>
    <row r="155" spans="2:11" ht="23.1" customHeight="1">
      <c r="B155" s="1669"/>
      <c r="C155" s="93"/>
      <c r="D155" s="47" t="s">
        <v>256</v>
      </c>
      <c r="E155" s="6"/>
      <c r="F155" s="6"/>
      <c r="G155" s="6"/>
      <c r="H155" s="6"/>
      <c r="I155" s="6"/>
      <c r="J155" s="6"/>
      <c r="K155" s="6"/>
    </row>
    <row r="156" spans="2:11">
      <c r="B156" s="1669"/>
      <c r="C156" s="93"/>
      <c r="D156" s="47" t="s">
        <v>96</v>
      </c>
      <c r="E156" s="6"/>
      <c r="F156" s="6"/>
      <c r="G156" s="6"/>
      <c r="H156" s="6"/>
      <c r="I156" s="6"/>
      <c r="J156" s="6"/>
      <c r="K156" s="6"/>
    </row>
    <row r="157" spans="2:11" ht="37.5">
      <c r="B157" s="1669"/>
      <c r="C157" s="93"/>
      <c r="D157" s="47" t="s">
        <v>775</v>
      </c>
      <c r="E157" s="6"/>
      <c r="F157" s="6"/>
      <c r="G157" s="6"/>
      <c r="H157" s="6"/>
      <c r="I157" s="6"/>
      <c r="J157" s="6"/>
      <c r="K157" s="6"/>
    </row>
    <row r="158" spans="2:11" ht="37.5">
      <c r="B158" s="1669"/>
      <c r="C158" s="93"/>
      <c r="D158" s="47" t="s">
        <v>776</v>
      </c>
      <c r="E158" s="6"/>
      <c r="F158" s="6"/>
      <c r="G158" s="6"/>
      <c r="H158" s="6"/>
      <c r="I158" s="6"/>
      <c r="J158" s="6"/>
      <c r="K158" s="6"/>
    </row>
    <row r="159" spans="2:11" ht="38.25" thickBot="1">
      <c r="B159" s="1670"/>
      <c r="C159" s="3"/>
      <c r="D159" s="41" t="s">
        <v>777</v>
      </c>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row r="184" spans="2:11">
      <c r="B184" s="6"/>
      <c r="D184" s="6"/>
      <c r="E184" s="6"/>
      <c r="F184" s="6"/>
      <c r="G184" s="6"/>
      <c r="H184" s="6"/>
      <c r="I184" s="6"/>
      <c r="J184" s="6"/>
      <c r="K184" s="6"/>
    </row>
    <row r="185" spans="2:11">
      <c r="B185" s="6"/>
      <c r="D185" s="6"/>
      <c r="E185" s="6"/>
      <c r="F185" s="6"/>
      <c r="G185" s="6"/>
      <c r="H185" s="6"/>
      <c r="I185" s="6"/>
      <c r="J185" s="6"/>
      <c r="K185" s="6"/>
    </row>
    <row r="186" spans="2:11">
      <c r="B186" s="6"/>
      <c r="D186" s="6"/>
      <c r="E186" s="6"/>
      <c r="F186" s="6"/>
      <c r="G186" s="6"/>
      <c r="H186" s="6"/>
      <c r="I186" s="6"/>
      <c r="J186" s="6"/>
      <c r="K186" s="6"/>
    </row>
    <row r="187" spans="2:11">
      <c r="B187" s="6"/>
      <c r="D187" s="6"/>
      <c r="E187" s="6"/>
      <c r="F187" s="6"/>
      <c r="G187" s="6"/>
      <c r="H187" s="6"/>
      <c r="I187" s="6"/>
      <c r="J187" s="6"/>
      <c r="K187" s="6"/>
    </row>
    <row r="188" spans="2:11">
      <c r="B188" s="6"/>
      <c r="D188" s="6"/>
      <c r="E188" s="6"/>
      <c r="F188" s="6"/>
      <c r="G188" s="6"/>
      <c r="H188" s="6"/>
      <c r="I188" s="6"/>
      <c r="J188" s="6"/>
      <c r="K188" s="6"/>
    </row>
  </sheetData>
  <sheetProtection sheet="1" objects="1" scenarios="1" insertColumns="0" insertRows="0"/>
  <mergeCells count="36">
    <mergeCell ref="B10:D10"/>
    <mergeCell ref="F10:S10"/>
    <mergeCell ref="F11:S11"/>
    <mergeCell ref="E12:R12"/>
    <mergeCell ref="E13:R13"/>
    <mergeCell ref="B82:E83"/>
    <mergeCell ref="B85:D85"/>
    <mergeCell ref="B87:B103"/>
    <mergeCell ref="B105:B140"/>
    <mergeCell ref="B141:B159"/>
    <mergeCell ref="D39:D40"/>
    <mergeCell ref="E39:E40"/>
    <mergeCell ref="F39:K39"/>
    <mergeCell ref="C21:C22"/>
    <mergeCell ref="D21:D22"/>
    <mergeCell ref="B15:B19"/>
    <mergeCell ref="B59:E59"/>
    <mergeCell ref="B60:B66"/>
    <mergeCell ref="B68:E68"/>
    <mergeCell ref="B69:B75"/>
    <mergeCell ref="D15:L15"/>
    <mergeCell ref="D16:L16"/>
    <mergeCell ref="D19:L19"/>
    <mergeCell ref="D20:L20"/>
    <mergeCell ref="D36:L36"/>
    <mergeCell ref="D37:L37"/>
    <mergeCell ref="D38:L38"/>
    <mergeCell ref="D54:L54"/>
    <mergeCell ref="E21:E22"/>
    <mergeCell ref="F21:J21"/>
    <mergeCell ref="C39:C40"/>
    <mergeCell ref="A1:P1"/>
    <mergeCell ref="A2:P2"/>
    <mergeCell ref="A3:P3"/>
    <mergeCell ref="A4:D4"/>
    <mergeCell ref="A5:P5"/>
  </mergeCells>
  <conditionalFormatting sqref="H35">
    <cfRule type="containsText" dxfId="52" priority="5" operator="containsText" text="ERROR">
      <formula>NOT(ISERROR(SEARCH("ERROR",H35)))</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41:I52">
      <formula1>0</formula1>
    </dataValidation>
    <dataValidation type="decimal" allowBlank="1" showInputMessage="1" showErrorMessage="1" errorTitle="ERROR" error="Escriba un valor entre 0% y 100%" sqref="F23:H34">
      <formula1>0</formula1>
      <formula2>1</formula2>
    </dataValidation>
    <dataValidation allowBlank="1" showInputMessage="1" showErrorMessage="1" sqref="G53:I53 I23:I35 H35 J41:K5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4" r:id="rId1"/>
  </hyperlinks>
  <pageMargins left="0.25" right="0.25" top="0.75" bottom="0.75" header="0.3" footer="0.3"/>
  <pageSetup paperSize="178"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topLeftCell="A7" zoomScale="98" zoomScaleNormal="98" workbookViewId="0">
      <selection activeCell="G28" sqref="G28"/>
    </sheetView>
  </sheetViews>
  <sheetFormatPr baseColWidth="10" defaultRowHeight="15"/>
  <cols>
    <col min="1" max="1" width="1.85546875" customWidth="1"/>
    <col min="2" max="2" width="10.85546875" customWidth="1"/>
    <col min="3" max="3" width="5" style="86" bestFit="1" customWidth="1"/>
    <col min="4" max="4" width="34.85546875" customWidth="1"/>
    <col min="5" max="5" width="18.140625" customWidth="1"/>
    <col min="6" max="7" width="12" bestFit="1" customWidth="1"/>
    <col min="8" max="8" width="13.5703125" customWidth="1"/>
    <col min="9" max="9" width="14.42578125" bestFit="1" customWidth="1"/>
    <col min="10" max="10" width="12.28515625" bestFit="1" customWidth="1"/>
    <col min="11" max="11" width="12" bestFit="1" customWidth="1"/>
    <col min="13" max="13" width="12.28515625" bestFit="1" customWidth="1"/>
    <col min="15" max="15" width="15.28515625" bestFit="1" customWidth="1"/>
    <col min="16" max="16" width="16.85546875" bestFit="1" customWidth="1"/>
    <col min="17" max="17" width="14.140625" bestFit="1"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789</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3" t="s">
        <v>1203</v>
      </c>
      <c r="C8" s="214">
        <v>2018</v>
      </c>
      <c r="D8" s="218">
        <f>IF(E10="NO APLICA","NO APLICA",IF(E11="NO SE REPORTA","SIN INFORMACION",+E42))</f>
        <v>0.17</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Gestión'!E67:H67</f>
        <v>Proyecto No 3.3. Negocios verdes y sostenibles (8).</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ht="15.6" customHeight="1" thickTop="1" thickBot="1">
      <c r="B15" s="1727" t="s">
        <v>2</v>
      </c>
      <c r="C15" s="88"/>
      <c r="D15" s="1685" t="s">
        <v>344</v>
      </c>
      <c r="E15" s="1686"/>
      <c r="F15" s="1686"/>
      <c r="G15" s="1686"/>
      <c r="H15" s="1686"/>
      <c r="I15" s="1686"/>
      <c r="J15" s="1686"/>
      <c r="K15" s="1686"/>
      <c r="L15" s="1733"/>
    </row>
    <row r="16" spans="1:21" ht="15.75" thickBot="1">
      <c r="B16" s="1728"/>
      <c r="C16" s="89" t="s">
        <v>24</v>
      </c>
      <c r="D16" s="39" t="s">
        <v>261</v>
      </c>
      <c r="E16" s="39" t="s">
        <v>25</v>
      </c>
      <c r="F16" s="39" t="s">
        <v>26</v>
      </c>
      <c r="G16" s="39" t="s">
        <v>27</v>
      </c>
      <c r="H16" s="39" t="s">
        <v>28</v>
      </c>
      <c r="I16" s="39" t="s">
        <v>262</v>
      </c>
      <c r="J16" s="6"/>
      <c r="L16" s="22"/>
    </row>
    <row r="17" spans="2:17" ht="48.75" thickBot="1">
      <c r="B17" s="1728"/>
      <c r="C17" s="90" t="s">
        <v>158</v>
      </c>
      <c r="D17" s="41" t="s">
        <v>840</v>
      </c>
      <c r="E17" s="7">
        <v>3</v>
      </c>
      <c r="F17" s="7">
        <v>3</v>
      </c>
      <c r="G17" s="7">
        <v>3</v>
      </c>
      <c r="H17" s="7">
        <v>3</v>
      </c>
      <c r="I17" s="43">
        <f>SUM(E17:H17)/4</f>
        <v>3</v>
      </c>
      <c r="J17" s="6"/>
      <c r="L17" s="22"/>
    </row>
    <row r="18" spans="2:17" ht="15.75" thickBot="1">
      <c r="B18" s="1728"/>
      <c r="C18" s="90" t="s">
        <v>160</v>
      </c>
      <c r="D18" s="41" t="s">
        <v>784</v>
      </c>
      <c r="E18" s="1067">
        <v>113192540</v>
      </c>
      <c r="F18" s="1067">
        <f>84830493</f>
        <v>84830493</v>
      </c>
      <c r="G18" s="1067">
        <v>57259270</v>
      </c>
      <c r="H18" s="1067">
        <v>131841700</v>
      </c>
      <c r="I18" s="1297">
        <f>SUM(E18:H18)</f>
        <v>387124003</v>
      </c>
      <c r="J18" s="6"/>
      <c r="L18" s="22"/>
    </row>
    <row r="19" spans="2:17" ht="15.75" thickBot="1">
      <c r="B19" s="1728"/>
      <c r="C19" s="90" t="s">
        <v>162</v>
      </c>
      <c r="D19" s="41" t="s">
        <v>841</v>
      </c>
      <c r="E19" s="1067">
        <v>2185857152</v>
      </c>
      <c r="F19" s="1067">
        <f>84830493-32000000-2000000</f>
        <v>50830493</v>
      </c>
      <c r="G19" s="1067">
        <v>73405271</v>
      </c>
      <c r="H19" s="1067">
        <v>101612977</v>
      </c>
      <c r="I19" s="1297">
        <f>SUM(E19:H19)</f>
        <v>2411705893</v>
      </c>
      <c r="J19" s="6"/>
      <c r="L19" s="22"/>
    </row>
    <row r="20" spans="2:17">
      <c r="B20" s="425"/>
      <c r="C20" s="91"/>
      <c r="D20" s="1688"/>
      <c r="E20" s="1689"/>
      <c r="F20" s="1689"/>
      <c r="G20" s="1689"/>
      <c r="H20" s="1689"/>
      <c r="I20" s="1689"/>
      <c r="J20" s="1689"/>
      <c r="K20" s="1689"/>
      <c r="L20" s="1734"/>
    </row>
    <row r="21" spans="2:17" ht="15.75" thickBot="1">
      <c r="B21" s="425"/>
      <c r="C21" s="91"/>
      <c r="D21" s="1716" t="s">
        <v>842</v>
      </c>
      <c r="E21" s="1717"/>
      <c r="F21" s="1717"/>
      <c r="G21" s="1717"/>
      <c r="H21" s="1717"/>
      <c r="I21" s="1717"/>
      <c r="J21" s="1717"/>
      <c r="K21" s="1717"/>
      <c r="L21" s="1736"/>
    </row>
    <row r="22" spans="2:17" ht="15" customHeight="1" thickBot="1">
      <c r="B22" s="425"/>
      <c r="C22" s="1758" t="s">
        <v>24</v>
      </c>
      <c r="D22" s="1668" t="s">
        <v>278</v>
      </c>
      <c r="E22" s="1668" t="s">
        <v>627</v>
      </c>
      <c r="F22" s="1680" t="s">
        <v>628</v>
      </c>
      <c r="G22" s="1682"/>
      <c r="H22" s="1680" t="s">
        <v>701</v>
      </c>
      <c r="I22" s="1681"/>
      <c r="J22" s="1681"/>
      <c r="K22" s="1682"/>
      <c r="L22" s="118"/>
    </row>
    <row r="23" spans="2:17" ht="34.5" thickBot="1">
      <c r="B23" s="425"/>
      <c r="C23" s="1759"/>
      <c r="D23" s="1670"/>
      <c r="E23" s="1670"/>
      <c r="F23" s="66" t="s">
        <v>629</v>
      </c>
      <c r="G23" s="67" t="s">
        <v>630</v>
      </c>
      <c r="H23" s="66" t="s">
        <v>784</v>
      </c>
      <c r="I23" s="66" t="s">
        <v>352</v>
      </c>
      <c r="J23" s="66" t="s">
        <v>282</v>
      </c>
      <c r="K23" s="66" t="s">
        <v>283</v>
      </c>
      <c r="L23" s="12"/>
    </row>
    <row r="24" spans="2:17" ht="24.75" thickBot="1">
      <c r="B24" s="425"/>
      <c r="C24" s="370">
        <v>1</v>
      </c>
      <c r="D24" s="31" t="s">
        <v>2017</v>
      </c>
      <c r="E24" s="30" t="s">
        <v>843</v>
      </c>
      <c r="F24" s="32"/>
      <c r="G24" s="32"/>
      <c r="H24" s="193"/>
      <c r="I24" s="193"/>
      <c r="J24" s="193"/>
      <c r="K24" s="193"/>
      <c r="L24" s="12"/>
    </row>
    <row r="25" spans="2:17" ht="72.75" thickBot="1">
      <c r="B25" s="425"/>
      <c r="C25" s="370">
        <v>2</v>
      </c>
      <c r="D25" s="30" t="s">
        <v>1697</v>
      </c>
      <c r="E25" s="30" t="s">
        <v>844</v>
      </c>
      <c r="F25" s="869">
        <v>1</v>
      </c>
      <c r="G25" s="869">
        <f>30%*0.3</f>
        <v>0.09</v>
      </c>
      <c r="H25" s="870">
        <v>43947233</v>
      </c>
      <c r="I25" s="870">
        <v>30483893</v>
      </c>
      <c r="J25" s="870">
        <v>5626240</v>
      </c>
      <c r="K25" s="870">
        <v>5626240</v>
      </c>
      <c r="L25" s="12"/>
      <c r="M25" s="933"/>
      <c r="O25" s="934"/>
      <c r="P25" s="935"/>
    </row>
    <row r="26" spans="2:17" ht="36.75" thickBot="1">
      <c r="B26" s="425"/>
      <c r="C26" s="370">
        <v>3</v>
      </c>
      <c r="D26" s="30" t="s">
        <v>2018</v>
      </c>
      <c r="E26" s="30" t="s">
        <v>845</v>
      </c>
      <c r="F26" s="869">
        <v>1</v>
      </c>
      <c r="G26" s="869">
        <f>100%*0.3</f>
        <v>0.3</v>
      </c>
      <c r="H26" s="870">
        <v>43947233</v>
      </c>
      <c r="I26" s="870">
        <v>34548413</v>
      </c>
      <c r="J26" s="870">
        <v>6376407</v>
      </c>
      <c r="K26" s="870">
        <v>6376407</v>
      </c>
      <c r="L26" s="12"/>
      <c r="M26" s="217"/>
      <c r="O26" s="871"/>
      <c r="P26" s="843"/>
    </row>
    <row r="27" spans="2:17" ht="48.75" thickBot="1">
      <c r="B27" s="425"/>
      <c r="C27" s="370">
        <v>4</v>
      </c>
      <c r="D27" s="30" t="s">
        <v>1696</v>
      </c>
      <c r="E27" s="30" t="s">
        <v>846</v>
      </c>
      <c r="F27" s="869">
        <v>1</v>
      </c>
      <c r="G27" s="869">
        <f>36%*0.3</f>
        <v>0.11</v>
      </c>
      <c r="H27" s="870">
        <v>43947234</v>
      </c>
      <c r="I27" s="870">
        <v>36580671</v>
      </c>
      <c r="J27" s="870">
        <v>6751488</v>
      </c>
      <c r="K27" s="870">
        <v>6751488</v>
      </c>
      <c r="L27" s="12"/>
      <c r="M27" s="217"/>
      <c r="O27" s="843"/>
      <c r="P27" s="843"/>
      <c r="Q27" s="843"/>
    </row>
    <row r="28" spans="2:17" ht="15.75" thickBot="1">
      <c r="B28" s="425"/>
      <c r="C28" s="370">
        <v>5</v>
      </c>
      <c r="D28" s="31"/>
      <c r="E28" s="30"/>
      <c r="F28" s="32"/>
      <c r="G28" s="32"/>
      <c r="H28" s="1067"/>
      <c r="I28" s="193"/>
      <c r="J28" s="1067"/>
      <c r="K28" s="193"/>
      <c r="L28" s="12"/>
    </row>
    <row r="29" spans="2:17" ht="24.75" thickBot="1">
      <c r="B29" s="425"/>
      <c r="C29" s="370">
        <v>6</v>
      </c>
      <c r="D29" s="31" t="s">
        <v>1214</v>
      </c>
      <c r="E29" s="30" t="s">
        <v>847</v>
      </c>
      <c r="F29" s="32">
        <v>1</v>
      </c>
      <c r="G29" s="32">
        <v>0</v>
      </c>
      <c r="H29" s="1067"/>
      <c r="I29" s="193"/>
      <c r="J29" s="1067"/>
      <c r="K29" s="193"/>
      <c r="L29" s="12"/>
      <c r="O29" s="843"/>
      <c r="P29" s="843"/>
    </row>
    <row r="30" spans="2:17" ht="15.75" thickBot="1">
      <c r="B30" s="425"/>
      <c r="C30" s="75"/>
      <c r="D30" s="46" t="s">
        <v>157</v>
      </c>
      <c r="E30" s="130"/>
      <c r="F30" s="131"/>
      <c r="G30" s="132"/>
      <c r="H30" s="873">
        <f>SUM(H24:H29)</f>
        <v>131841700</v>
      </c>
      <c r="I30" s="873">
        <f>SUM(I24:I29)</f>
        <v>101612977</v>
      </c>
      <c r="J30" s="873">
        <f>SUM(J24:J29)</f>
        <v>18754135</v>
      </c>
      <c r="K30" s="873">
        <f>SUM(K24:K29)</f>
        <v>18754135</v>
      </c>
      <c r="L30" s="13"/>
      <c r="O30" s="843"/>
      <c r="P30" s="843"/>
    </row>
    <row r="31" spans="2:17">
      <c r="B31" s="425"/>
      <c r="C31" s="91"/>
      <c r="D31" s="1688" t="s">
        <v>848</v>
      </c>
      <c r="E31" s="1689"/>
      <c r="F31" s="1689"/>
      <c r="G31" s="1689"/>
      <c r="H31" s="1689"/>
      <c r="I31" s="1689"/>
      <c r="J31" s="1689"/>
      <c r="K31" s="1689"/>
      <c r="L31" s="1734"/>
      <c r="P31" s="871"/>
    </row>
    <row r="32" spans="2:17" ht="24" customHeight="1" thickBot="1">
      <c r="B32" s="425"/>
      <c r="C32" s="91"/>
      <c r="D32" s="1688" t="s">
        <v>849</v>
      </c>
      <c r="E32" s="1689"/>
      <c r="F32" s="1689"/>
      <c r="G32" s="1689"/>
      <c r="H32" s="1689"/>
      <c r="I32" s="1689"/>
      <c r="J32" s="1689"/>
      <c r="K32" s="1689"/>
      <c r="L32" s="1734"/>
      <c r="P32" s="843"/>
    </row>
    <row r="33" spans="2:16" ht="15.75" thickBot="1">
      <c r="B33" s="425"/>
      <c r="C33" s="1836" t="s">
        <v>24</v>
      </c>
      <c r="D33" s="1811" t="s">
        <v>710</v>
      </c>
      <c r="E33" s="68" t="s">
        <v>850</v>
      </c>
      <c r="F33" s="1814" t="s">
        <v>711</v>
      </c>
      <c r="G33" s="1815"/>
      <c r="H33" s="1827" t="s">
        <v>60</v>
      </c>
      <c r="I33" s="6"/>
      <c r="J33" s="6"/>
      <c r="L33" s="22"/>
    </row>
    <row r="34" spans="2:16">
      <c r="B34" s="425"/>
      <c r="C34" s="1837"/>
      <c r="D34" s="1812"/>
      <c r="E34" s="1668" t="s">
        <v>851</v>
      </c>
      <c r="F34" s="1668" t="s">
        <v>712</v>
      </c>
      <c r="G34" s="47" t="s">
        <v>713</v>
      </c>
      <c r="H34" s="1828"/>
      <c r="I34" s="6"/>
      <c r="J34" s="6"/>
      <c r="L34" s="22"/>
      <c r="P34" s="843"/>
    </row>
    <row r="35" spans="2:16" ht="24.75" thickBot="1">
      <c r="B35" s="425"/>
      <c r="C35" s="1838"/>
      <c r="D35" s="1813"/>
      <c r="E35" s="1670"/>
      <c r="F35" s="1670"/>
      <c r="G35" s="41" t="s">
        <v>703</v>
      </c>
      <c r="H35" s="1829"/>
      <c r="I35" s="6"/>
      <c r="J35" s="6"/>
      <c r="L35" s="22"/>
    </row>
    <row r="36" spans="2:16" ht="15.75" thickBot="1">
      <c r="B36" s="425"/>
      <c r="C36" s="441">
        <v>1</v>
      </c>
      <c r="D36" s="467"/>
      <c r="E36" s="160">
        <f t="shared" ref="E36:E41" si="0">+G24</f>
        <v>0</v>
      </c>
      <c r="F36" s="955">
        <f t="shared" ref="F36:F41" si="1">IFERROR(J24/I24,0)</f>
        <v>0</v>
      </c>
      <c r="G36" s="955">
        <f t="shared" ref="G36:G41" si="2">IFERROR(K24/I24,0)</f>
        <v>0</v>
      </c>
      <c r="H36" s="31"/>
      <c r="I36" s="6"/>
      <c r="J36" s="6"/>
      <c r="L36" s="22"/>
    </row>
    <row r="37" spans="2:16" ht="15.75" thickBot="1">
      <c r="B37" s="425"/>
      <c r="C37" s="441">
        <v>2</v>
      </c>
      <c r="D37" s="467">
        <v>0.33</v>
      </c>
      <c r="E37" s="160">
        <f t="shared" si="0"/>
        <v>0.09</v>
      </c>
      <c r="F37" s="955">
        <f t="shared" si="1"/>
        <v>0.18</v>
      </c>
      <c r="G37" s="955">
        <f t="shared" si="2"/>
        <v>0.18</v>
      </c>
      <c r="H37" s="31"/>
      <c r="I37" s="6"/>
      <c r="J37" s="6"/>
      <c r="L37" s="22"/>
    </row>
    <row r="38" spans="2:16" ht="15.75" thickBot="1">
      <c r="B38" s="425"/>
      <c r="C38" s="441">
        <v>3</v>
      </c>
      <c r="D38" s="467">
        <v>0.33</v>
      </c>
      <c r="E38" s="160">
        <f t="shared" si="0"/>
        <v>0.3</v>
      </c>
      <c r="F38" s="955">
        <f t="shared" si="1"/>
        <v>0.18</v>
      </c>
      <c r="G38" s="955">
        <f t="shared" si="2"/>
        <v>0.18</v>
      </c>
      <c r="H38" s="31"/>
      <c r="I38" s="6"/>
      <c r="J38" s="6"/>
      <c r="L38" s="22"/>
    </row>
    <row r="39" spans="2:16" ht="15.75" thickBot="1">
      <c r="B39" s="425"/>
      <c r="C39" s="441">
        <v>4</v>
      </c>
      <c r="D39" s="467">
        <v>0.34</v>
      </c>
      <c r="E39" s="160">
        <f t="shared" si="0"/>
        <v>0.11</v>
      </c>
      <c r="F39" s="955">
        <f t="shared" si="1"/>
        <v>0.18</v>
      </c>
      <c r="G39" s="955">
        <f t="shared" si="2"/>
        <v>0.18</v>
      </c>
      <c r="H39" s="31"/>
      <c r="I39" s="6"/>
      <c r="J39" s="6"/>
      <c r="L39" s="22"/>
    </row>
    <row r="40" spans="2:16" ht="15.75" thickBot="1">
      <c r="B40" s="425"/>
      <c r="C40" s="441">
        <v>5</v>
      </c>
      <c r="D40" s="467"/>
      <c r="E40" s="160">
        <f t="shared" si="0"/>
        <v>0</v>
      </c>
      <c r="F40" s="955">
        <f t="shared" si="1"/>
        <v>0</v>
      </c>
      <c r="G40" s="955">
        <f t="shared" si="2"/>
        <v>0</v>
      </c>
      <c r="H40" s="31"/>
      <c r="I40" s="6"/>
      <c r="J40" s="6"/>
      <c r="L40" s="22"/>
    </row>
    <row r="41" spans="2:16" ht="15.75" thickBot="1">
      <c r="B41" s="425"/>
      <c r="C41" s="441">
        <v>6</v>
      </c>
      <c r="D41" s="467"/>
      <c r="E41" s="160">
        <f t="shared" si="0"/>
        <v>0</v>
      </c>
      <c r="F41" s="955">
        <f t="shared" si="1"/>
        <v>0</v>
      </c>
      <c r="G41" s="955">
        <f t="shared" si="2"/>
        <v>0</v>
      </c>
      <c r="H41" s="31"/>
      <c r="I41" s="6"/>
      <c r="J41" s="6"/>
      <c r="L41" s="22"/>
    </row>
    <row r="42" spans="2:16" ht="15.75" thickBot="1">
      <c r="B42" s="426"/>
      <c r="C42" s="105"/>
      <c r="D42" s="508">
        <f>Formulas!$D$24</f>
        <v>1</v>
      </c>
      <c r="E42" s="208">
        <f>+D36*E36+D37*E37+D38*E38+D39*E39+D40*E40+D41*E41</f>
        <v>0.17</v>
      </c>
      <c r="F42" s="208">
        <f>+D36*F36+D37*F37+D38*F38+D39*F39+D40*F40+D41*F41</f>
        <v>0.18</v>
      </c>
      <c r="G42" s="955">
        <f>Formulas!F24</f>
        <v>1</v>
      </c>
      <c r="H42" s="31"/>
      <c r="I42" s="23"/>
      <c r="J42" s="23"/>
      <c r="K42" s="23"/>
      <c r="L42" s="24"/>
      <c r="N42" t="s">
        <v>1213</v>
      </c>
    </row>
    <row r="43" spans="2:16" ht="15.75" thickBot="1">
      <c r="B43" s="38"/>
      <c r="C43" s="87"/>
      <c r="D43" s="6"/>
      <c r="E43" s="6"/>
      <c r="F43" s="6"/>
      <c r="G43" s="6"/>
      <c r="H43" s="6"/>
      <c r="I43" s="6"/>
      <c r="J43" s="6"/>
      <c r="K43" s="6"/>
    </row>
    <row r="44" spans="2:16" ht="108.75" thickBot="1">
      <c r="B44" s="53" t="s">
        <v>39</v>
      </c>
      <c r="C44" s="97"/>
      <c r="D44" s="44" t="s">
        <v>852</v>
      </c>
      <c r="E44" s="6"/>
      <c r="F44" s="6"/>
      <c r="G44" s="6"/>
      <c r="H44" s="6"/>
      <c r="I44" s="6"/>
      <c r="J44" s="6"/>
      <c r="K44" s="6"/>
    </row>
    <row r="45" spans="2:16" ht="48.6" customHeight="1" thickBot="1">
      <c r="B45" s="48" t="s">
        <v>41</v>
      </c>
      <c r="C45" s="3"/>
      <c r="D45" s="41" t="s">
        <v>354</v>
      </c>
      <c r="E45" s="6"/>
      <c r="F45" s="6"/>
      <c r="G45" s="6"/>
      <c r="H45" s="6"/>
      <c r="I45" s="6"/>
      <c r="J45" s="6"/>
      <c r="K45" s="6"/>
    </row>
    <row r="46" spans="2:16" ht="15.75" thickBot="1">
      <c r="B46" s="2"/>
      <c r="C46" s="75"/>
      <c r="D46" s="6"/>
      <c r="E46" s="6"/>
      <c r="F46" s="6"/>
      <c r="G46" s="6"/>
      <c r="H46" s="6"/>
      <c r="I46" s="6"/>
      <c r="J46" s="6"/>
      <c r="K46" s="6"/>
    </row>
    <row r="47" spans="2:16" ht="24" customHeight="1" thickBot="1">
      <c r="B47" s="1671" t="s">
        <v>43</v>
      </c>
      <c r="C47" s="1672"/>
      <c r="D47" s="1672"/>
      <c r="E47" s="1673"/>
      <c r="F47" s="6"/>
      <c r="G47" s="6"/>
      <c r="H47" s="6"/>
      <c r="I47" s="6"/>
      <c r="J47" s="6"/>
      <c r="K47" s="6"/>
    </row>
    <row r="48" spans="2:16" ht="15.75" thickBot="1">
      <c r="B48" s="1668">
        <v>1</v>
      </c>
      <c r="C48" s="93"/>
      <c r="D48" s="49" t="s">
        <v>44</v>
      </c>
      <c r="E48" s="163" t="s">
        <v>1616</v>
      </c>
      <c r="F48" s="6"/>
      <c r="G48" s="6"/>
      <c r="H48" s="6"/>
      <c r="I48" s="6"/>
      <c r="J48" s="6"/>
      <c r="K48" s="6"/>
    </row>
    <row r="49" spans="2:11" ht="15.75" thickBot="1">
      <c r="B49" s="1669"/>
      <c r="C49" s="93"/>
      <c r="D49" s="41" t="s">
        <v>45</v>
      </c>
      <c r="E49" s="163" t="s">
        <v>1698</v>
      </c>
      <c r="F49" s="6"/>
      <c r="G49" s="6"/>
      <c r="H49" s="6"/>
      <c r="I49" s="6"/>
      <c r="J49" s="6"/>
      <c r="K49" s="6"/>
    </row>
    <row r="50" spans="2:11" ht="15.75" thickBot="1">
      <c r="B50" s="1669"/>
      <c r="C50" s="93"/>
      <c r="D50" s="41" t="s">
        <v>46</v>
      </c>
      <c r="E50" s="163" t="s">
        <v>2032</v>
      </c>
      <c r="F50" s="6"/>
      <c r="G50" s="6"/>
      <c r="H50" s="6"/>
      <c r="I50" s="6"/>
      <c r="J50" s="6"/>
      <c r="K50" s="6"/>
    </row>
    <row r="51" spans="2:11" ht="15.75" thickBot="1">
      <c r="B51" s="1669"/>
      <c r="C51" s="93"/>
      <c r="D51" s="41" t="s">
        <v>47</v>
      </c>
      <c r="E51" s="163" t="s">
        <v>1626</v>
      </c>
      <c r="F51" s="6"/>
      <c r="G51" s="6"/>
      <c r="H51" s="6"/>
      <c r="I51" s="6"/>
      <c r="J51" s="6"/>
      <c r="K51" s="6"/>
    </row>
    <row r="52" spans="2:11" ht="15.75" thickBot="1">
      <c r="B52" s="1669"/>
      <c r="C52" s="93"/>
      <c r="D52" s="41" t="s">
        <v>48</v>
      </c>
      <c r="E52" s="829" t="s">
        <v>2013</v>
      </c>
      <c r="F52" s="6"/>
      <c r="G52" s="6"/>
      <c r="H52" s="6"/>
      <c r="I52" s="6"/>
      <c r="J52" s="6"/>
      <c r="K52" s="6"/>
    </row>
    <row r="53" spans="2:11" ht="15.75" thickBot="1">
      <c r="B53" s="1669"/>
      <c r="C53" s="93"/>
      <c r="D53" s="41" t="s">
        <v>49</v>
      </c>
      <c r="E53" s="163" t="s">
        <v>1699</v>
      </c>
      <c r="F53" s="6"/>
      <c r="G53" s="6"/>
      <c r="H53" s="6"/>
      <c r="I53" s="6"/>
      <c r="J53" s="6"/>
      <c r="K53" s="6"/>
    </row>
    <row r="54" spans="2:11" ht="15.75" thickBot="1">
      <c r="B54" s="1670"/>
      <c r="C54" s="3"/>
      <c r="D54" s="41" t="s">
        <v>50</v>
      </c>
      <c r="E54" s="163" t="s">
        <v>1682</v>
      </c>
      <c r="F54" s="6"/>
      <c r="G54" s="6"/>
      <c r="H54" s="6"/>
      <c r="I54" s="6"/>
      <c r="J54" s="6"/>
      <c r="K54" s="6"/>
    </row>
    <row r="55" spans="2:11" ht="15.75" thickBot="1">
      <c r="B55" s="2"/>
      <c r="C55" s="75"/>
      <c r="D55" s="6"/>
      <c r="E55" s="6"/>
      <c r="F55" s="6"/>
      <c r="G55" s="6"/>
      <c r="H55" s="6"/>
      <c r="I55" s="6"/>
      <c r="J55" s="6"/>
      <c r="K55" s="6"/>
    </row>
    <row r="56" spans="2:11" ht="15.75" thickBot="1">
      <c r="B56" s="1671" t="s">
        <v>51</v>
      </c>
      <c r="C56" s="1672"/>
      <c r="D56" s="1672"/>
      <c r="E56" s="1673"/>
      <c r="F56" s="6"/>
      <c r="G56" s="6"/>
      <c r="H56" s="6"/>
      <c r="I56" s="6"/>
      <c r="J56" s="6"/>
      <c r="K56" s="6"/>
    </row>
    <row r="57" spans="2:11" ht="15.75" thickBot="1">
      <c r="B57" s="1668">
        <v>1</v>
      </c>
      <c r="C57" s="93"/>
      <c r="D57" s="49" t="s">
        <v>44</v>
      </c>
      <c r="E57" s="432" t="s">
        <v>52</v>
      </c>
      <c r="F57" s="6"/>
      <c r="G57" s="6"/>
      <c r="H57" s="6"/>
      <c r="I57" s="6"/>
      <c r="J57" s="6"/>
      <c r="K57" s="6"/>
    </row>
    <row r="58" spans="2:11" ht="15.75" thickBot="1">
      <c r="B58" s="1669"/>
      <c r="C58" s="93"/>
      <c r="D58" s="41" t="s">
        <v>45</v>
      </c>
      <c r="E58" s="432" t="s">
        <v>166</v>
      </c>
      <c r="F58" s="6"/>
      <c r="G58" s="6"/>
      <c r="H58" s="6"/>
      <c r="I58" s="6"/>
      <c r="J58" s="6"/>
      <c r="K58" s="6"/>
    </row>
    <row r="59" spans="2:11" ht="15.75" thickBot="1">
      <c r="B59" s="1669"/>
      <c r="C59" s="93"/>
      <c r="D59" s="41" t="s">
        <v>46</v>
      </c>
      <c r="E59" s="168"/>
      <c r="F59" s="6"/>
      <c r="G59" s="6"/>
      <c r="H59" s="6"/>
      <c r="I59" s="6"/>
      <c r="J59" s="6"/>
      <c r="K59" s="6"/>
    </row>
    <row r="60" spans="2:11" ht="15.75" thickBot="1">
      <c r="B60" s="1669"/>
      <c r="C60" s="93"/>
      <c r="D60" s="41" t="s">
        <v>47</v>
      </c>
      <c r="E60" s="168"/>
      <c r="F60" s="6"/>
      <c r="G60" s="6"/>
      <c r="H60" s="6"/>
      <c r="I60" s="6"/>
      <c r="J60" s="6"/>
      <c r="K60" s="6"/>
    </row>
    <row r="61" spans="2:11" ht="15.75" thickBot="1">
      <c r="B61" s="1669"/>
      <c r="C61" s="93"/>
      <c r="D61" s="41" t="s">
        <v>48</v>
      </c>
      <c r="E61" s="168"/>
      <c r="F61" s="6"/>
      <c r="G61" s="6"/>
      <c r="H61" s="6"/>
      <c r="I61" s="6"/>
      <c r="J61" s="6"/>
      <c r="K61" s="6"/>
    </row>
    <row r="62" spans="2:11" ht="15.75" thickBot="1">
      <c r="B62" s="1669"/>
      <c r="C62" s="93"/>
      <c r="D62" s="41" t="s">
        <v>49</v>
      </c>
      <c r="E62" s="168"/>
      <c r="F62" s="6"/>
      <c r="G62" s="6"/>
      <c r="H62" s="6"/>
      <c r="I62" s="6"/>
      <c r="J62" s="6"/>
      <c r="K62" s="6"/>
    </row>
    <row r="63" spans="2:11" ht="15.75" thickBot="1">
      <c r="B63" s="1670"/>
      <c r="C63" s="3"/>
      <c r="D63" s="41" t="s">
        <v>50</v>
      </c>
      <c r="E63" s="168"/>
      <c r="F63" s="6"/>
      <c r="G63" s="6"/>
      <c r="H63" s="6"/>
      <c r="I63" s="6"/>
      <c r="J63" s="6"/>
      <c r="K63" s="6"/>
    </row>
    <row r="64" spans="2:11" ht="15.75" thickBot="1">
      <c r="B64" s="2"/>
      <c r="C64" s="75"/>
      <c r="D64" s="6"/>
      <c r="E64" s="6"/>
      <c r="F64" s="6"/>
      <c r="G64" s="6"/>
      <c r="H64" s="6"/>
      <c r="I64" s="6"/>
      <c r="J64" s="6"/>
      <c r="K64" s="6"/>
    </row>
    <row r="65" spans="2:11" ht="15" customHeight="1" thickBot="1">
      <c r="B65" s="123" t="s">
        <v>54</v>
      </c>
      <c r="C65" s="124"/>
      <c r="D65" s="124"/>
      <c r="E65" s="125"/>
      <c r="G65" s="6"/>
      <c r="H65" s="6"/>
      <c r="I65" s="6"/>
      <c r="J65" s="6"/>
      <c r="K65" s="6"/>
    </row>
    <row r="66" spans="2:11" ht="24.75" thickBot="1">
      <c r="B66" s="48" t="s">
        <v>55</v>
      </c>
      <c r="C66" s="41" t="s">
        <v>56</v>
      </c>
      <c r="D66" s="41" t="s">
        <v>57</v>
      </c>
      <c r="E66" s="41" t="s">
        <v>58</v>
      </c>
      <c r="F66" s="6"/>
      <c r="G66" s="6"/>
      <c r="H66" s="6"/>
      <c r="I66" s="6"/>
      <c r="J66" s="6"/>
    </row>
    <row r="67" spans="2:11" ht="72.75" thickBot="1">
      <c r="B67" s="50">
        <v>42401</v>
      </c>
      <c r="C67" s="41">
        <v>0.01</v>
      </c>
      <c r="D67" s="51" t="s">
        <v>853</v>
      </c>
      <c r="E67" s="41"/>
      <c r="F67" s="6"/>
      <c r="G67" s="6"/>
      <c r="H67" s="6"/>
      <c r="I67" s="6"/>
      <c r="J67" s="6"/>
    </row>
    <row r="68" spans="2:11" ht="15.75" thickBot="1">
      <c r="B68" s="4"/>
      <c r="C68" s="94"/>
      <c r="D68" s="6"/>
      <c r="E68" s="6"/>
      <c r="F68" s="6"/>
      <c r="G68" s="6"/>
      <c r="H68" s="6"/>
      <c r="I68" s="6"/>
      <c r="J68" s="6"/>
      <c r="K68" s="6"/>
    </row>
    <row r="69" spans="2:11" ht="15.75" thickBot="1">
      <c r="B69" s="468" t="s">
        <v>60</v>
      </c>
      <c r="C69" s="95"/>
      <c r="D69" s="6"/>
      <c r="E69" s="6"/>
      <c r="F69" s="6"/>
      <c r="G69" s="6"/>
      <c r="H69" s="6"/>
      <c r="I69" s="6"/>
      <c r="J69" s="6"/>
      <c r="K69" s="6"/>
    </row>
    <row r="70" spans="2:11">
      <c r="B70" s="1830"/>
      <c r="C70" s="1831"/>
      <c r="D70" s="1831"/>
      <c r="E70" s="1832"/>
      <c r="F70" s="6"/>
      <c r="G70" s="6"/>
      <c r="H70" s="6"/>
      <c r="I70" s="6"/>
      <c r="J70" s="6"/>
      <c r="K70" s="6"/>
    </row>
    <row r="71" spans="2:11" ht="15.75" thickBot="1">
      <c r="B71" s="1833"/>
      <c r="C71" s="1834"/>
      <c r="D71" s="1834"/>
      <c r="E71" s="1835"/>
      <c r="F71" s="6"/>
      <c r="G71" s="6"/>
      <c r="H71" s="6"/>
      <c r="I71" s="6"/>
      <c r="J71" s="6"/>
      <c r="K71" s="6"/>
    </row>
    <row r="72" spans="2:11">
      <c r="B72" s="2"/>
      <c r="C72" s="75"/>
      <c r="D72" s="6"/>
      <c r="E72" s="6"/>
      <c r="F72" s="6"/>
      <c r="G72" s="6"/>
      <c r="H72" s="6"/>
      <c r="I72" s="6"/>
      <c r="J72" s="6"/>
      <c r="K72" s="6"/>
    </row>
    <row r="73" spans="2:11" ht="15.75" thickBot="1">
      <c r="B73" s="6"/>
      <c r="D73" s="6"/>
      <c r="E73" s="6"/>
      <c r="F73" s="6"/>
      <c r="G73" s="6"/>
      <c r="H73" s="6"/>
      <c r="I73" s="6"/>
      <c r="J73" s="6"/>
      <c r="K73" s="6"/>
    </row>
    <row r="74" spans="2:11" ht="24.75" thickBot="1">
      <c r="B74" s="52" t="s">
        <v>61</v>
      </c>
      <c r="C74" s="96"/>
      <c r="D74" s="6"/>
      <c r="E74" s="6"/>
      <c r="F74" s="6"/>
      <c r="G74" s="6"/>
      <c r="H74" s="6"/>
      <c r="I74" s="6"/>
      <c r="J74" s="6"/>
      <c r="K74" s="6"/>
    </row>
    <row r="75" spans="2:11" ht="15.75" thickBot="1">
      <c r="B75" s="38"/>
      <c r="C75" s="87"/>
      <c r="D75" s="6"/>
      <c r="E75" s="6"/>
      <c r="F75" s="6"/>
      <c r="G75" s="6"/>
      <c r="H75" s="6"/>
      <c r="I75" s="6"/>
      <c r="J75" s="6"/>
      <c r="K75" s="6"/>
    </row>
    <row r="76" spans="2:11" ht="48.75" thickBot="1">
      <c r="B76" s="53" t="s">
        <v>62</v>
      </c>
      <c r="C76" s="97"/>
      <c r="D76" s="44" t="s">
        <v>790</v>
      </c>
      <c r="E76" s="6"/>
      <c r="F76" s="6"/>
      <c r="G76" s="6"/>
      <c r="H76" s="6"/>
      <c r="I76" s="6"/>
      <c r="J76" s="6"/>
      <c r="K76" s="6"/>
    </row>
    <row r="77" spans="2:11">
      <c r="B77" s="1668" t="s">
        <v>64</v>
      </c>
      <c r="C77" s="93"/>
      <c r="D77" s="54" t="s">
        <v>65</v>
      </c>
      <c r="E77" s="6"/>
      <c r="F77" s="6"/>
      <c r="G77" s="6"/>
      <c r="H77" s="6"/>
      <c r="I77" s="6"/>
      <c r="J77" s="6"/>
      <c r="K77" s="6"/>
    </row>
    <row r="78" spans="2:11" ht="108">
      <c r="B78" s="1669"/>
      <c r="C78" s="93"/>
      <c r="D78" s="47" t="s">
        <v>791</v>
      </c>
      <c r="E78" s="6"/>
      <c r="F78" s="6"/>
      <c r="G78" s="6"/>
      <c r="H78" s="6"/>
      <c r="I78" s="6"/>
      <c r="J78" s="6"/>
      <c r="K78" s="6"/>
    </row>
    <row r="79" spans="2:11">
      <c r="B79" s="1669"/>
      <c r="C79" s="93"/>
      <c r="D79" s="47" t="s">
        <v>792</v>
      </c>
      <c r="E79" s="6"/>
      <c r="F79" s="6"/>
      <c r="G79" s="6"/>
      <c r="H79" s="6"/>
      <c r="I79" s="6"/>
      <c r="J79" s="6"/>
      <c r="K79" s="6"/>
    </row>
    <row r="80" spans="2:11" ht="24">
      <c r="B80" s="1669"/>
      <c r="C80" s="93"/>
      <c r="D80" s="47" t="s">
        <v>793</v>
      </c>
      <c r="E80" s="6"/>
      <c r="F80" s="6"/>
      <c r="G80" s="6"/>
      <c r="H80" s="6"/>
      <c r="I80" s="6"/>
      <c r="J80" s="6"/>
      <c r="K80" s="6"/>
    </row>
    <row r="81" spans="2:11" ht="24">
      <c r="B81" s="1669"/>
      <c r="C81" s="93"/>
      <c r="D81" s="47" t="s">
        <v>794</v>
      </c>
      <c r="E81" s="6"/>
      <c r="F81" s="6"/>
      <c r="G81" s="6"/>
      <c r="H81" s="6"/>
      <c r="I81" s="6"/>
      <c r="J81" s="6"/>
      <c r="K81" s="6"/>
    </row>
    <row r="82" spans="2:11">
      <c r="B82" s="1669"/>
      <c r="C82" s="93"/>
      <c r="D82" s="54" t="s">
        <v>296</v>
      </c>
      <c r="E82" s="6"/>
      <c r="F82" s="6"/>
      <c r="G82" s="6"/>
      <c r="H82" s="6"/>
      <c r="I82" s="6"/>
      <c r="J82" s="6"/>
      <c r="K82" s="6"/>
    </row>
    <row r="83" spans="2:11" ht="24">
      <c r="B83" s="1669"/>
      <c r="C83" s="93"/>
      <c r="D83" s="47" t="s">
        <v>795</v>
      </c>
      <c r="E83" s="6"/>
      <c r="F83" s="6"/>
      <c r="G83" s="6"/>
      <c r="H83" s="6"/>
      <c r="I83" s="6"/>
      <c r="J83" s="6"/>
      <c r="K83" s="6"/>
    </row>
    <row r="84" spans="2:11">
      <c r="B84" s="1669"/>
      <c r="C84" s="93"/>
      <c r="D84" s="47" t="s">
        <v>796</v>
      </c>
      <c r="E84" s="6"/>
      <c r="F84" s="6"/>
      <c r="G84" s="6"/>
      <c r="H84" s="6"/>
      <c r="I84" s="6"/>
      <c r="J84" s="6"/>
      <c r="K84" s="6"/>
    </row>
    <row r="85" spans="2:11" ht="36">
      <c r="B85" s="1669"/>
      <c r="C85" s="93"/>
      <c r="D85" s="47" t="s">
        <v>797</v>
      </c>
      <c r="E85" s="6"/>
      <c r="F85" s="6"/>
      <c r="G85" s="6"/>
      <c r="H85" s="6"/>
      <c r="I85" s="6"/>
      <c r="J85" s="6"/>
      <c r="K85" s="6"/>
    </row>
    <row r="86" spans="2:11" ht="36">
      <c r="B86" s="1669"/>
      <c r="C86" s="93"/>
      <c r="D86" s="47" t="s">
        <v>798</v>
      </c>
      <c r="E86" s="6"/>
      <c r="F86" s="6"/>
      <c r="G86" s="6"/>
      <c r="H86" s="6"/>
      <c r="I86" s="6"/>
      <c r="J86" s="6"/>
      <c r="K86" s="6"/>
    </row>
    <row r="87" spans="2:11" ht="24">
      <c r="B87" s="1669"/>
      <c r="C87" s="93"/>
      <c r="D87" s="47" t="s">
        <v>799</v>
      </c>
      <c r="E87" s="6"/>
      <c r="F87" s="6"/>
      <c r="G87" s="6"/>
      <c r="H87" s="6"/>
      <c r="I87" s="6"/>
      <c r="J87" s="6"/>
      <c r="K87" s="6"/>
    </row>
    <row r="88" spans="2:11" ht="48">
      <c r="B88" s="1669"/>
      <c r="C88" s="93"/>
      <c r="D88" s="47" t="s">
        <v>800</v>
      </c>
      <c r="E88" s="6"/>
      <c r="F88" s="6"/>
      <c r="G88" s="6"/>
      <c r="H88" s="6"/>
      <c r="I88" s="6"/>
      <c r="J88" s="6"/>
      <c r="K88" s="6"/>
    </row>
    <row r="89" spans="2:11" ht="36">
      <c r="B89" s="1669"/>
      <c r="C89" s="93"/>
      <c r="D89" s="47" t="s">
        <v>801</v>
      </c>
      <c r="E89" s="6"/>
      <c r="F89" s="6"/>
      <c r="G89" s="6"/>
      <c r="H89" s="6"/>
      <c r="I89" s="6"/>
      <c r="J89" s="6"/>
      <c r="K89" s="6"/>
    </row>
    <row r="90" spans="2:11" ht="24">
      <c r="B90" s="1669"/>
      <c r="C90" s="93"/>
      <c r="D90" s="47" t="s">
        <v>802</v>
      </c>
      <c r="E90" s="6"/>
      <c r="F90" s="6"/>
      <c r="G90" s="6"/>
      <c r="H90" s="6"/>
      <c r="I90" s="6"/>
      <c r="J90" s="6"/>
      <c r="K90" s="6"/>
    </row>
    <row r="91" spans="2:11" ht="24">
      <c r="B91" s="1669"/>
      <c r="C91" s="93"/>
      <c r="D91" s="47" t="s">
        <v>803</v>
      </c>
      <c r="E91" s="6"/>
      <c r="F91" s="6"/>
      <c r="G91" s="6"/>
      <c r="H91" s="6"/>
      <c r="I91" s="6"/>
      <c r="J91" s="6"/>
      <c r="K91" s="6"/>
    </row>
    <row r="92" spans="2:11" ht="60.75" thickBot="1">
      <c r="B92" s="1670"/>
      <c r="C92" s="3"/>
      <c r="D92" s="57" t="s">
        <v>804</v>
      </c>
      <c r="E92" s="6"/>
      <c r="F92" s="6"/>
      <c r="G92" s="6"/>
      <c r="H92" s="6"/>
      <c r="I92" s="6"/>
      <c r="J92" s="6"/>
      <c r="K92" s="6"/>
    </row>
    <row r="93" spans="2:11">
      <c r="B93" s="1668" t="s">
        <v>77</v>
      </c>
      <c r="C93" s="98"/>
      <c r="D93" s="1668"/>
      <c r="E93" s="6"/>
      <c r="F93" s="6"/>
      <c r="G93" s="6"/>
      <c r="H93" s="6"/>
      <c r="I93" s="6"/>
      <c r="J93" s="6"/>
      <c r="K93" s="6"/>
    </row>
    <row r="94" spans="2:11" ht="15.75" thickBot="1">
      <c r="B94" s="1670"/>
      <c r="C94" s="99"/>
      <c r="D94" s="1670"/>
      <c r="E94" s="6"/>
      <c r="F94" s="6"/>
      <c r="G94" s="6"/>
      <c r="H94" s="6"/>
      <c r="I94" s="6"/>
      <c r="J94" s="6"/>
      <c r="K94" s="6"/>
    </row>
    <row r="95" spans="2:11" ht="144">
      <c r="B95" s="1668" t="s">
        <v>78</v>
      </c>
      <c r="C95" s="93"/>
      <c r="D95" s="47" t="s">
        <v>805</v>
      </c>
      <c r="E95" s="6"/>
      <c r="F95" s="6"/>
      <c r="G95" s="6"/>
      <c r="H95" s="6"/>
      <c r="I95" s="6"/>
      <c r="J95" s="6"/>
      <c r="K95" s="6"/>
    </row>
    <row r="96" spans="2:11" ht="192">
      <c r="B96" s="1669"/>
      <c r="C96" s="93"/>
      <c r="D96" s="47" t="s">
        <v>806</v>
      </c>
      <c r="E96" s="6"/>
      <c r="F96" s="6"/>
      <c r="G96" s="6"/>
      <c r="H96" s="6"/>
      <c r="I96" s="6"/>
      <c r="J96" s="6"/>
      <c r="K96" s="6"/>
    </row>
    <row r="97" spans="2:11" ht="36">
      <c r="B97" s="1669"/>
      <c r="C97" s="93"/>
      <c r="D97" s="47" t="s">
        <v>807</v>
      </c>
      <c r="E97" s="6"/>
      <c r="F97" s="6"/>
      <c r="G97" s="6"/>
      <c r="H97" s="6"/>
      <c r="I97" s="6"/>
      <c r="J97" s="6"/>
      <c r="K97" s="6"/>
    </row>
    <row r="98" spans="2:11" ht="36">
      <c r="B98" s="1669"/>
      <c r="C98" s="93"/>
      <c r="D98" s="47" t="s">
        <v>808</v>
      </c>
      <c r="E98" s="6"/>
      <c r="F98" s="6"/>
      <c r="G98" s="6"/>
      <c r="H98" s="6"/>
      <c r="I98" s="6"/>
      <c r="J98" s="6"/>
      <c r="K98" s="6"/>
    </row>
    <row r="99" spans="2:11" ht="36">
      <c r="B99" s="1669"/>
      <c r="C99" s="93"/>
      <c r="D99" s="47" t="s">
        <v>809</v>
      </c>
      <c r="E99" s="6"/>
      <c r="F99" s="6"/>
      <c r="G99" s="6"/>
      <c r="H99" s="6"/>
      <c r="I99" s="6"/>
      <c r="J99" s="6"/>
      <c r="K99" s="6"/>
    </row>
    <row r="100" spans="2:11" ht="48">
      <c r="B100" s="1669"/>
      <c r="C100" s="93"/>
      <c r="D100" s="47" t="s">
        <v>810</v>
      </c>
      <c r="E100" s="6"/>
      <c r="F100" s="6"/>
      <c r="G100" s="6"/>
      <c r="H100" s="6"/>
      <c r="I100" s="6"/>
      <c r="J100" s="6"/>
      <c r="K100" s="6"/>
    </row>
    <row r="101" spans="2:11" ht="48">
      <c r="B101" s="1669"/>
      <c r="C101" s="93"/>
      <c r="D101" s="47" t="s">
        <v>811</v>
      </c>
      <c r="E101" s="6"/>
      <c r="F101" s="6"/>
      <c r="G101" s="6"/>
      <c r="H101" s="6"/>
      <c r="I101" s="6"/>
      <c r="J101" s="6"/>
      <c r="K101" s="6"/>
    </row>
    <row r="102" spans="2:11" ht="36">
      <c r="B102" s="1669"/>
      <c r="C102" s="93"/>
      <c r="D102" s="26" t="s">
        <v>812</v>
      </c>
      <c r="E102" s="6"/>
      <c r="F102" s="6"/>
      <c r="G102" s="6"/>
      <c r="H102" s="6"/>
      <c r="I102" s="6"/>
      <c r="J102" s="6"/>
      <c r="K102" s="6"/>
    </row>
    <row r="103" spans="2:11" ht="36">
      <c r="B103" s="1669"/>
      <c r="C103" s="93"/>
      <c r="D103" s="26" t="s">
        <v>813</v>
      </c>
      <c r="E103" s="6"/>
      <c r="F103" s="6"/>
      <c r="G103" s="6"/>
      <c r="H103" s="6"/>
      <c r="I103" s="6"/>
      <c r="J103" s="6"/>
      <c r="K103" s="6"/>
    </row>
    <row r="104" spans="2:11" ht="24">
      <c r="B104" s="1669"/>
      <c r="C104" s="93"/>
      <c r="D104" s="26" t="s">
        <v>814</v>
      </c>
      <c r="E104" s="6"/>
      <c r="F104" s="6"/>
      <c r="G104" s="6"/>
      <c r="H104" s="6"/>
      <c r="I104" s="6"/>
      <c r="J104" s="6"/>
      <c r="K104" s="6"/>
    </row>
    <row r="105" spans="2:11" ht="24">
      <c r="B105" s="1669"/>
      <c r="C105" s="93"/>
      <c r="D105" s="26" t="s">
        <v>815</v>
      </c>
      <c r="E105" s="6"/>
      <c r="F105" s="6"/>
      <c r="G105" s="6"/>
      <c r="H105" s="6"/>
      <c r="I105" s="6"/>
      <c r="J105" s="6"/>
      <c r="K105" s="6"/>
    </row>
    <row r="106" spans="2:11" ht="60">
      <c r="B106" s="1669"/>
      <c r="C106" s="93"/>
      <c r="D106" s="26" t="s">
        <v>816</v>
      </c>
      <c r="E106" s="6"/>
      <c r="F106" s="6"/>
      <c r="G106" s="6"/>
      <c r="H106" s="6"/>
      <c r="I106" s="6"/>
      <c r="J106" s="6"/>
      <c r="K106" s="6"/>
    </row>
    <row r="107" spans="2:11" ht="36">
      <c r="B107" s="1669"/>
      <c r="C107" s="93"/>
      <c r="D107" s="26" t="s">
        <v>817</v>
      </c>
      <c r="E107" s="6"/>
      <c r="F107" s="6"/>
      <c r="G107" s="6"/>
      <c r="H107" s="6"/>
      <c r="I107" s="6"/>
      <c r="J107" s="6"/>
      <c r="K107" s="6"/>
    </row>
    <row r="108" spans="2:11" ht="36">
      <c r="B108" s="1669"/>
      <c r="C108" s="93"/>
      <c r="D108" s="26" t="s">
        <v>818</v>
      </c>
      <c r="E108" s="6"/>
      <c r="F108" s="6"/>
      <c r="G108" s="6"/>
      <c r="H108" s="6"/>
      <c r="I108" s="6"/>
      <c r="J108" s="6"/>
      <c r="K108" s="6"/>
    </row>
    <row r="109" spans="2:11" ht="60">
      <c r="B109" s="1669"/>
      <c r="C109" s="93"/>
      <c r="D109" s="26" t="s">
        <v>819</v>
      </c>
      <c r="E109" s="6"/>
      <c r="F109" s="6"/>
      <c r="G109" s="6"/>
      <c r="H109" s="6"/>
      <c r="I109" s="6"/>
      <c r="J109" s="6"/>
      <c r="K109" s="6"/>
    </row>
    <row r="110" spans="2:11" ht="24">
      <c r="B110" s="1669"/>
      <c r="C110" s="93"/>
      <c r="D110" s="26" t="s">
        <v>820</v>
      </c>
      <c r="E110" s="6"/>
      <c r="F110" s="6"/>
      <c r="G110" s="6"/>
      <c r="H110" s="6"/>
      <c r="I110" s="6"/>
      <c r="J110" s="6"/>
      <c r="K110" s="6"/>
    </row>
    <row r="111" spans="2:11" ht="24">
      <c r="B111" s="1669"/>
      <c r="C111" s="93"/>
      <c r="D111" s="26" t="s">
        <v>821</v>
      </c>
      <c r="E111" s="6"/>
      <c r="F111" s="6"/>
      <c r="G111" s="6"/>
      <c r="H111" s="6"/>
      <c r="I111" s="6"/>
      <c r="J111" s="6"/>
      <c r="K111" s="6"/>
    </row>
    <row r="112" spans="2:11">
      <c r="B112" s="1669"/>
      <c r="C112" s="93"/>
      <c r="D112" s="26" t="s">
        <v>822</v>
      </c>
      <c r="E112" s="6"/>
      <c r="F112" s="6"/>
      <c r="G112" s="6"/>
      <c r="H112" s="6"/>
      <c r="I112" s="6"/>
      <c r="J112" s="6"/>
      <c r="K112" s="6"/>
    </row>
    <row r="113" spans="2:11" ht="36">
      <c r="B113" s="1669"/>
      <c r="C113" s="93"/>
      <c r="D113" s="26" t="s">
        <v>823</v>
      </c>
      <c r="E113" s="6"/>
      <c r="F113" s="6"/>
      <c r="G113" s="6"/>
      <c r="H113" s="6"/>
      <c r="I113" s="6"/>
      <c r="J113" s="6"/>
      <c r="K113" s="6"/>
    </row>
    <row r="114" spans="2:11" ht="36">
      <c r="B114" s="1669"/>
      <c r="C114" s="93"/>
      <c r="D114" s="26" t="s">
        <v>824</v>
      </c>
      <c r="E114" s="6"/>
      <c r="F114" s="6"/>
      <c r="G114" s="6"/>
      <c r="H114" s="6"/>
      <c r="I114" s="6"/>
      <c r="J114" s="6"/>
      <c r="K114" s="6"/>
    </row>
    <row r="115" spans="2:11" ht="36">
      <c r="B115" s="1669"/>
      <c r="C115" s="93"/>
      <c r="D115" s="26" t="s">
        <v>825</v>
      </c>
      <c r="E115" s="6"/>
      <c r="F115" s="6"/>
      <c r="G115" s="6"/>
      <c r="H115" s="6"/>
      <c r="I115" s="6"/>
      <c r="J115" s="6"/>
      <c r="K115" s="6"/>
    </row>
    <row r="116" spans="2:11" ht="252">
      <c r="B116" s="1669"/>
      <c r="C116" s="93"/>
      <c r="D116" s="47" t="s">
        <v>826</v>
      </c>
      <c r="E116" s="6"/>
      <c r="F116" s="6"/>
      <c r="G116" s="6"/>
      <c r="H116" s="6"/>
      <c r="I116" s="6"/>
      <c r="J116" s="6"/>
      <c r="K116" s="6"/>
    </row>
    <row r="117" spans="2:11" ht="60.75" thickBot="1">
      <c r="B117" s="1670"/>
      <c r="C117" s="3"/>
      <c r="D117" s="41" t="s">
        <v>827</v>
      </c>
      <c r="E117" s="6"/>
      <c r="F117" s="6"/>
      <c r="G117" s="6"/>
      <c r="H117" s="6"/>
      <c r="I117" s="6"/>
      <c r="J117" s="6"/>
      <c r="K117" s="6"/>
    </row>
    <row r="118" spans="2:11" ht="24">
      <c r="B118" s="1668" t="s">
        <v>95</v>
      </c>
      <c r="C118" s="93"/>
      <c r="D118" s="54" t="s">
        <v>789</v>
      </c>
      <c r="E118" s="6"/>
      <c r="F118" s="6"/>
      <c r="G118" s="6"/>
      <c r="H118" s="6"/>
      <c r="I118" s="6"/>
      <c r="J118" s="6"/>
      <c r="K118" s="6"/>
    </row>
    <row r="119" spans="2:11" ht="20.45" customHeight="1">
      <c r="B119" s="1669"/>
      <c r="C119" s="93"/>
      <c r="D119" s="17"/>
      <c r="E119" s="6"/>
      <c r="F119" s="6"/>
      <c r="G119" s="6"/>
      <c r="H119" s="6"/>
      <c r="I119" s="6"/>
      <c r="J119" s="6"/>
      <c r="K119" s="6"/>
    </row>
    <row r="120" spans="2:11">
      <c r="B120" s="1669"/>
      <c r="C120" s="93"/>
      <c r="D120" s="47" t="s">
        <v>96</v>
      </c>
      <c r="E120" s="6"/>
      <c r="F120" s="6"/>
      <c r="G120" s="6"/>
      <c r="H120" s="6"/>
      <c r="I120" s="6"/>
      <c r="J120" s="6"/>
      <c r="K120" s="6"/>
    </row>
    <row r="121" spans="2:11" ht="37.5">
      <c r="B121" s="1669"/>
      <c r="C121" s="93"/>
      <c r="D121" s="47" t="s">
        <v>828</v>
      </c>
      <c r="E121" s="6"/>
      <c r="F121" s="6"/>
      <c r="G121" s="6"/>
      <c r="H121" s="6"/>
      <c r="I121" s="6"/>
      <c r="J121" s="6"/>
      <c r="K121" s="6"/>
    </row>
    <row r="122" spans="2:11" ht="37.5">
      <c r="B122" s="1669"/>
      <c r="C122" s="93"/>
      <c r="D122" s="47" t="s">
        <v>829</v>
      </c>
      <c r="E122" s="6"/>
      <c r="F122" s="6"/>
      <c r="G122" s="6"/>
      <c r="H122" s="6"/>
      <c r="I122" s="6"/>
      <c r="J122" s="6"/>
      <c r="K122" s="6"/>
    </row>
    <row r="123" spans="2:11" ht="37.5">
      <c r="B123" s="1669"/>
      <c r="C123" s="93"/>
      <c r="D123" s="47" t="s">
        <v>830</v>
      </c>
      <c r="E123" s="6"/>
      <c r="F123" s="6"/>
      <c r="G123" s="6"/>
      <c r="H123" s="6"/>
      <c r="I123" s="6"/>
      <c r="J123" s="6"/>
      <c r="K123" s="6"/>
    </row>
    <row r="124" spans="2:11" ht="37.5">
      <c r="B124" s="1669"/>
      <c r="C124" s="93"/>
      <c r="D124" s="47" t="s">
        <v>831</v>
      </c>
      <c r="E124" s="6"/>
      <c r="F124" s="6"/>
      <c r="G124" s="6"/>
      <c r="H124" s="6"/>
      <c r="I124" s="6"/>
      <c r="J124" s="6"/>
      <c r="K124" s="6"/>
    </row>
    <row r="125" spans="2:11">
      <c r="B125" s="1669"/>
      <c r="C125" s="93"/>
      <c r="D125" s="47" t="s">
        <v>832</v>
      </c>
      <c r="E125" s="6"/>
      <c r="F125" s="6"/>
      <c r="G125" s="6"/>
      <c r="H125" s="6"/>
      <c r="I125" s="6"/>
      <c r="J125" s="6"/>
      <c r="K125" s="6"/>
    </row>
    <row r="126" spans="2:11">
      <c r="B126" s="1669"/>
      <c r="C126" s="93"/>
      <c r="D126" s="47" t="s">
        <v>833</v>
      </c>
      <c r="E126" s="6"/>
      <c r="F126" s="6"/>
      <c r="G126" s="6"/>
      <c r="H126" s="6"/>
      <c r="I126" s="6"/>
      <c r="J126" s="6"/>
      <c r="K126" s="6"/>
    </row>
    <row r="127" spans="2:11">
      <c r="B127" s="1669"/>
      <c r="C127" s="93"/>
      <c r="D127" s="47" t="s">
        <v>834</v>
      </c>
      <c r="E127" s="6"/>
      <c r="F127" s="6"/>
      <c r="G127" s="6"/>
      <c r="H127" s="6"/>
      <c r="I127" s="6"/>
      <c r="J127" s="6"/>
      <c r="K127" s="6"/>
    </row>
    <row r="128" spans="2:11">
      <c r="B128" s="1669"/>
      <c r="C128" s="93"/>
      <c r="D128" s="47" t="s">
        <v>835</v>
      </c>
      <c r="E128" s="6"/>
      <c r="F128" s="6"/>
      <c r="G128" s="6"/>
      <c r="H128" s="6"/>
      <c r="I128" s="6"/>
      <c r="J128" s="6"/>
      <c r="K128" s="6"/>
    </row>
    <row r="129" spans="2:11" ht="84">
      <c r="B129" s="1669"/>
      <c r="C129" s="93"/>
      <c r="D129" s="55" t="s">
        <v>243</v>
      </c>
      <c r="E129" s="6"/>
      <c r="F129" s="6"/>
      <c r="G129" s="6"/>
      <c r="H129" s="6"/>
      <c r="I129" s="6"/>
      <c r="J129" s="6"/>
      <c r="K129" s="6"/>
    </row>
    <row r="130" spans="2:11">
      <c r="B130" s="1669"/>
      <c r="C130" s="93"/>
      <c r="D130" s="47" t="s">
        <v>254</v>
      </c>
      <c r="E130" s="6"/>
      <c r="F130" s="6"/>
      <c r="G130" s="6"/>
      <c r="H130" s="6"/>
      <c r="I130" s="6"/>
      <c r="J130" s="6"/>
      <c r="K130" s="6"/>
    </row>
    <row r="131" spans="2:11" ht="48">
      <c r="B131" s="1669"/>
      <c r="C131" s="93"/>
      <c r="D131" s="54" t="s">
        <v>836</v>
      </c>
      <c r="E131" s="6"/>
      <c r="F131" s="6"/>
      <c r="G131" s="6"/>
      <c r="H131" s="6"/>
      <c r="I131" s="6"/>
      <c r="J131" s="6"/>
      <c r="K131" s="6"/>
    </row>
    <row r="132" spans="2:11">
      <c r="B132" s="1669"/>
      <c r="C132" s="93"/>
      <c r="D132" s="17"/>
      <c r="E132" s="6"/>
      <c r="F132" s="6"/>
      <c r="G132" s="6"/>
      <c r="H132" s="6"/>
      <c r="I132" s="6"/>
      <c r="J132" s="6"/>
      <c r="K132" s="6"/>
    </row>
    <row r="133" spans="2:11">
      <c r="B133" s="1669"/>
      <c r="C133" s="93"/>
      <c r="D133" s="47" t="s">
        <v>96</v>
      </c>
      <c r="E133" s="6"/>
      <c r="F133" s="6"/>
      <c r="G133" s="6"/>
      <c r="H133" s="6"/>
      <c r="I133" s="6"/>
      <c r="J133" s="6"/>
      <c r="K133" s="6"/>
    </row>
    <row r="134" spans="2:11" ht="49.5">
      <c r="B134" s="1669"/>
      <c r="C134" s="93"/>
      <c r="D134" s="47" t="s">
        <v>837</v>
      </c>
      <c r="E134" s="6"/>
      <c r="F134" s="6"/>
      <c r="G134" s="6"/>
      <c r="H134" s="6"/>
      <c r="I134" s="6"/>
      <c r="J134" s="6"/>
      <c r="K134" s="6"/>
    </row>
    <row r="135" spans="2:11" ht="49.5">
      <c r="B135" s="1669"/>
      <c r="C135" s="93"/>
      <c r="D135" s="47" t="s">
        <v>838</v>
      </c>
      <c r="E135" s="6"/>
      <c r="F135" s="6"/>
      <c r="G135" s="6"/>
      <c r="H135" s="6"/>
      <c r="I135" s="6"/>
      <c r="J135" s="6"/>
      <c r="K135" s="6"/>
    </row>
    <row r="136" spans="2:11" ht="38.25" thickBot="1">
      <c r="B136" s="1670"/>
      <c r="C136" s="3"/>
      <c r="D136" s="41" t="s">
        <v>839</v>
      </c>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sheetData>
  <sheetProtection sheet="1" objects="1" scenarios="1"/>
  <mergeCells count="37">
    <mergeCell ref="B10:D10"/>
    <mergeCell ref="F10:S10"/>
    <mergeCell ref="F11:S11"/>
    <mergeCell ref="E12:R12"/>
    <mergeCell ref="E13:R13"/>
    <mergeCell ref="B118:B136"/>
    <mergeCell ref="B70:E71"/>
    <mergeCell ref="C22:C23"/>
    <mergeCell ref="B77:B92"/>
    <mergeCell ref="B93:B94"/>
    <mergeCell ref="D93:D94"/>
    <mergeCell ref="B95:B117"/>
    <mergeCell ref="C33:C35"/>
    <mergeCell ref="D33:D35"/>
    <mergeCell ref="B47:E47"/>
    <mergeCell ref="B48:B54"/>
    <mergeCell ref="B56:E56"/>
    <mergeCell ref="B57:B63"/>
    <mergeCell ref="F33:G33"/>
    <mergeCell ref="H33:H35"/>
    <mergeCell ref="E34:E35"/>
    <mergeCell ref="F34:F35"/>
    <mergeCell ref="D31:L31"/>
    <mergeCell ref="D32:L32"/>
    <mergeCell ref="B15:B19"/>
    <mergeCell ref="D21:L21"/>
    <mergeCell ref="D22:D23"/>
    <mergeCell ref="E22:E23"/>
    <mergeCell ref="F22:G22"/>
    <mergeCell ref="H22:K22"/>
    <mergeCell ref="D15:L15"/>
    <mergeCell ref="D20:L20"/>
    <mergeCell ref="A1:P1"/>
    <mergeCell ref="A2:P2"/>
    <mergeCell ref="A3:P3"/>
    <mergeCell ref="A4:D4"/>
    <mergeCell ref="A5:P5"/>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H24:K29 E18:H1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topLeftCell="A16" zoomScaleNormal="100" workbookViewId="0">
      <selection activeCell="H48" sqref="H48"/>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9" max="9" width="11.5703125" style="138"/>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854</v>
      </c>
      <c r="B5" s="1556"/>
      <c r="C5" s="1556"/>
      <c r="D5" s="1556"/>
      <c r="E5" s="1556"/>
      <c r="F5" s="1556"/>
      <c r="G5" s="1556"/>
      <c r="H5" s="1556"/>
      <c r="I5" s="1556"/>
      <c r="J5" s="1556"/>
      <c r="K5" s="1556"/>
      <c r="L5" s="1556"/>
      <c r="M5" s="1556"/>
      <c r="N5" s="1556"/>
      <c r="O5" s="1556"/>
      <c r="P5" s="1557"/>
    </row>
    <row r="6" spans="1:21">
      <c r="B6" s="4" t="s">
        <v>1</v>
      </c>
      <c r="C6" s="94"/>
      <c r="D6" s="6"/>
      <c r="E6" s="73"/>
      <c r="F6" s="6" t="s">
        <v>133</v>
      </c>
      <c r="G6" s="6"/>
      <c r="H6" s="6"/>
      <c r="I6" s="86"/>
      <c r="J6" s="6"/>
      <c r="K6" s="6"/>
    </row>
    <row r="7" spans="1:21" ht="15.75" thickBot="1">
      <c r="B7" s="74"/>
      <c r="C7" s="76"/>
      <c r="D7" s="6"/>
      <c r="E7" s="18"/>
      <c r="F7" s="6" t="s">
        <v>134</v>
      </c>
      <c r="G7" s="6"/>
      <c r="H7" s="6"/>
      <c r="I7" s="86"/>
      <c r="J7" s="6"/>
      <c r="K7" s="6"/>
    </row>
    <row r="8" spans="1:21" ht="15.75" thickBot="1">
      <c r="B8" s="174" t="s">
        <v>1203</v>
      </c>
      <c r="C8" s="214">
        <v>2018</v>
      </c>
      <c r="D8" s="218">
        <f>IF(F57/E57&gt;1,1,F57/E57)</f>
        <v>0.67</v>
      </c>
      <c r="E8" s="215"/>
      <c r="F8" s="6" t="s">
        <v>135</v>
      </c>
      <c r="G8" s="6"/>
      <c r="H8" s="6"/>
      <c r="I8" s="86"/>
      <c r="J8" s="6"/>
      <c r="K8" s="6"/>
    </row>
    <row r="9" spans="1:21">
      <c r="B9" s="483" t="s">
        <v>1204</v>
      </c>
      <c r="D9" s="6"/>
      <c r="E9" s="6"/>
      <c r="F9" s="6"/>
      <c r="G9" s="6"/>
      <c r="H9" s="6"/>
      <c r="I9" s="8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Gestión'!E80:H80</f>
        <v>Proyecto No. 6.1.  (13). Evaluación, Seguimiento, Monitoreo y Control de la calidad de los recursos naturales y la biodiversidad.</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1825</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86"/>
      <c r="J14" s="6"/>
      <c r="K14" s="6"/>
    </row>
    <row r="15" spans="1:21">
      <c r="B15" s="1668" t="s">
        <v>2</v>
      </c>
      <c r="C15" s="88"/>
      <c r="D15" s="1685" t="s">
        <v>3</v>
      </c>
      <c r="E15" s="1686"/>
      <c r="F15" s="1686"/>
      <c r="G15" s="1686"/>
      <c r="H15" s="1686"/>
      <c r="I15" s="1687"/>
      <c r="J15" s="6"/>
      <c r="K15" s="6"/>
    </row>
    <row r="16" spans="1:21">
      <c r="B16" s="1669"/>
      <c r="C16" s="91"/>
      <c r="D16" s="1784" t="s">
        <v>881</v>
      </c>
      <c r="E16" s="1785"/>
      <c r="F16" s="1785"/>
      <c r="G16" s="1785"/>
      <c r="H16" s="1785"/>
      <c r="I16" s="1786"/>
      <c r="J16" s="6"/>
      <c r="K16" s="6"/>
    </row>
    <row r="17" spans="2:11" ht="15.75" thickBot="1">
      <c r="B17" s="1669"/>
      <c r="C17" s="91"/>
      <c r="D17" s="1716"/>
      <c r="E17" s="1717"/>
      <c r="F17" s="1717"/>
      <c r="G17" s="1717"/>
      <c r="H17" s="1717"/>
      <c r="I17" s="1718"/>
      <c r="J17" s="6"/>
      <c r="K17" s="6"/>
    </row>
    <row r="18" spans="2:11" ht="15.75" thickBot="1">
      <c r="B18" s="1669"/>
      <c r="C18" s="93"/>
      <c r="D18" s="44" t="s">
        <v>156</v>
      </c>
      <c r="E18" s="39" t="s">
        <v>25</v>
      </c>
      <c r="F18" s="39" t="s">
        <v>26</v>
      </c>
      <c r="G18" s="39" t="s">
        <v>27</v>
      </c>
      <c r="H18" s="39" t="s">
        <v>28</v>
      </c>
      <c r="I18" s="89" t="s">
        <v>157</v>
      </c>
      <c r="J18" s="6"/>
      <c r="K18" s="6"/>
    </row>
    <row r="19" spans="2:11" ht="36.75" thickBot="1">
      <c r="B19" s="1669"/>
      <c r="C19" s="93"/>
      <c r="D19" s="127" t="s">
        <v>882</v>
      </c>
      <c r="E19" s="7">
        <v>850</v>
      </c>
      <c r="F19" s="7">
        <v>366</v>
      </c>
      <c r="G19" s="7">
        <v>174</v>
      </c>
      <c r="H19" s="7">
        <v>0</v>
      </c>
      <c r="I19" s="147">
        <f>SUM(E19:H19)</f>
        <v>1390</v>
      </c>
      <c r="J19" s="6"/>
      <c r="K19" s="6"/>
    </row>
    <row r="20" spans="2:11" ht="24.75" thickBot="1">
      <c r="B20" s="1669"/>
      <c r="C20" s="93"/>
      <c r="D20" s="127" t="s">
        <v>1766</v>
      </c>
      <c r="E20" s="7">
        <v>4</v>
      </c>
      <c r="F20" s="7">
        <v>2</v>
      </c>
      <c r="G20" s="7">
        <v>2</v>
      </c>
      <c r="H20" s="7">
        <v>0</v>
      </c>
      <c r="I20" s="147">
        <f>SUM(E20:H20)</f>
        <v>8</v>
      </c>
      <c r="J20" s="6"/>
      <c r="K20" s="6"/>
    </row>
    <row r="21" spans="2:11" ht="36.75" thickBot="1">
      <c r="B21" s="1669"/>
      <c r="C21" s="93"/>
      <c r="D21" s="127" t="s">
        <v>883</v>
      </c>
      <c r="E21" s="148">
        <f>+E19/E20</f>
        <v>212.5</v>
      </c>
      <c r="F21" s="148">
        <f>+F19/F20</f>
        <v>183</v>
      </c>
      <c r="G21" s="148">
        <f>+IFERROR(G19/G20,0)</f>
        <v>87</v>
      </c>
      <c r="H21" s="148">
        <v>0</v>
      </c>
      <c r="I21" s="148">
        <f>+I19/I20</f>
        <v>173.8</v>
      </c>
      <c r="J21" s="6"/>
      <c r="K21" s="6"/>
    </row>
    <row r="22" spans="2:11">
      <c r="B22" s="1669"/>
      <c r="C22" s="91"/>
      <c r="D22" s="1685"/>
      <c r="E22" s="1686"/>
      <c r="F22" s="1686"/>
      <c r="G22" s="1686"/>
      <c r="H22" s="1686"/>
      <c r="I22" s="1687"/>
      <c r="J22" s="6"/>
      <c r="K22" s="6"/>
    </row>
    <row r="23" spans="2:11">
      <c r="B23" s="1669"/>
      <c r="C23" s="91"/>
      <c r="D23" s="1784" t="s">
        <v>884</v>
      </c>
      <c r="E23" s="1785"/>
      <c r="F23" s="1785"/>
      <c r="G23" s="1785"/>
      <c r="H23" s="1785"/>
      <c r="I23" s="1786"/>
      <c r="J23" s="6"/>
      <c r="K23" s="6"/>
    </row>
    <row r="24" spans="2:11" ht="15.75" thickBot="1">
      <c r="B24" s="1669"/>
      <c r="C24" s="91"/>
      <c r="D24" s="1677"/>
      <c r="E24" s="1678"/>
      <c r="F24" s="1678"/>
      <c r="G24" s="1678"/>
      <c r="H24" s="1678"/>
      <c r="I24" s="1679"/>
      <c r="J24" s="6"/>
      <c r="K24" s="6"/>
    </row>
    <row r="25" spans="2:11" ht="15.75" thickBot="1">
      <c r="B25" s="1669"/>
      <c r="C25" s="93"/>
      <c r="D25" s="44" t="s">
        <v>156</v>
      </c>
      <c r="E25" s="39" t="s">
        <v>25</v>
      </c>
      <c r="F25" s="39" t="s">
        <v>26</v>
      </c>
      <c r="G25" s="39" t="s">
        <v>27</v>
      </c>
      <c r="H25" s="39" t="s">
        <v>28</v>
      </c>
      <c r="I25" s="89" t="s">
        <v>157</v>
      </c>
      <c r="J25" s="6"/>
      <c r="K25" s="6"/>
    </row>
    <row r="26" spans="2:11" ht="36.75" thickBot="1">
      <c r="B26" s="1669"/>
      <c r="C26" s="93"/>
      <c r="D26" s="127" t="s">
        <v>1780</v>
      </c>
      <c r="E26" s="7">
        <v>2302</v>
      </c>
      <c r="F26" s="7">
        <v>1272</v>
      </c>
      <c r="G26" s="7">
        <v>420</v>
      </c>
      <c r="H26" s="7">
        <f>71+1688</f>
        <v>1759</v>
      </c>
      <c r="I26" s="147">
        <f>SUM(E26:H26)</f>
        <v>5753</v>
      </c>
      <c r="J26" s="6"/>
      <c r="K26" s="6"/>
    </row>
    <row r="27" spans="2:11" ht="36.75" thickBot="1">
      <c r="B27" s="1669"/>
      <c r="C27" s="93"/>
      <c r="D27" s="127" t="s">
        <v>1776</v>
      </c>
      <c r="E27" s="7">
        <v>20</v>
      </c>
      <c r="F27" s="7">
        <v>13</v>
      </c>
      <c r="G27" s="7">
        <v>5</v>
      </c>
      <c r="H27" s="7">
        <f>2+20</f>
        <v>22</v>
      </c>
      <c r="I27" s="147">
        <f>SUM(E27:H27)</f>
        <v>60</v>
      </c>
      <c r="J27" s="6"/>
      <c r="K27" s="6"/>
    </row>
    <row r="28" spans="2:11" ht="36.75" thickBot="1">
      <c r="B28" s="1669"/>
      <c r="C28" s="93"/>
      <c r="D28" s="127" t="s">
        <v>885</v>
      </c>
      <c r="E28" s="148">
        <f>+E26/E27</f>
        <v>115.1</v>
      </c>
      <c r="F28" s="148">
        <f>+F26/F27</f>
        <v>97.8</v>
      </c>
      <c r="G28" s="148">
        <f>+G26/G27</f>
        <v>84</v>
      </c>
      <c r="H28" s="148">
        <f>+H26/H27</f>
        <v>80</v>
      </c>
      <c r="I28" s="148">
        <f>+I26/I27</f>
        <v>95.9</v>
      </c>
      <c r="J28" s="6"/>
      <c r="K28" s="6"/>
    </row>
    <row r="29" spans="2:11">
      <c r="B29" s="1669"/>
      <c r="C29" s="91"/>
      <c r="D29" s="1685"/>
      <c r="E29" s="1686"/>
      <c r="F29" s="1686"/>
      <c r="G29" s="1686"/>
      <c r="H29" s="1686"/>
      <c r="I29" s="1687"/>
      <c r="J29" s="6"/>
      <c r="K29" s="6"/>
    </row>
    <row r="30" spans="2:11">
      <c r="B30" s="1669"/>
      <c r="C30" s="91"/>
      <c r="D30" s="1784" t="s">
        <v>886</v>
      </c>
      <c r="E30" s="1785"/>
      <c r="F30" s="1785"/>
      <c r="G30" s="1785"/>
      <c r="H30" s="1785"/>
      <c r="I30" s="1786"/>
      <c r="J30" s="6"/>
      <c r="K30" s="6"/>
    </row>
    <row r="31" spans="2:11" ht="15.75" thickBot="1">
      <c r="B31" s="1669"/>
      <c r="C31" s="91"/>
      <c r="D31" s="1716"/>
      <c r="E31" s="1717"/>
      <c r="F31" s="1717"/>
      <c r="G31" s="1717"/>
      <c r="H31" s="1717"/>
      <c r="I31" s="1718"/>
      <c r="J31" s="6"/>
      <c r="K31" s="6"/>
    </row>
    <row r="32" spans="2:11" ht="15.75" thickBot="1">
      <c r="B32" s="1669"/>
      <c r="C32" s="93"/>
      <c r="D32" s="44" t="s">
        <v>156</v>
      </c>
      <c r="E32" s="39" t="s">
        <v>25</v>
      </c>
      <c r="F32" s="39" t="s">
        <v>26</v>
      </c>
      <c r="G32" s="39" t="s">
        <v>27</v>
      </c>
      <c r="H32" s="39" t="s">
        <v>28</v>
      </c>
      <c r="I32" s="89" t="s">
        <v>157</v>
      </c>
      <c r="J32" s="6"/>
      <c r="K32" s="6"/>
    </row>
    <row r="33" spans="2:11" ht="36.75" thickBot="1">
      <c r="B33" s="1669"/>
      <c r="C33" s="93"/>
      <c r="D33" s="127" t="s">
        <v>887</v>
      </c>
      <c r="E33" s="7">
        <v>475</v>
      </c>
      <c r="F33" s="7">
        <v>1831</v>
      </c>
      <c r="G33" s="7">
        <f>1070+24</f>
        <v>1094</v>
      </c>
      <c r="H33" s="7">
        <v>483</v>
      </c>
      <c r="I33" s="147">
        <f>SUM(E33:H33)</f>
        <v>3883</v>
      </c>
      <c r="J33" s="6"/>
      <c r="K33" s="6"/>
    </row>
    <row r="34" spans="2:11" ht="24.75" thickBot="1">
      <c r="B34" s="1669"/>
      <c r="C34" s="93"/>
      <c r="D34" s="127" t="s">
        <v>1777</v>
      </c>
      <c r="E34" s="7">
        <v>6</v>
      </c>
      <c r="F34" s="7">
        <v>20</v>
      </c>
      <c r="G34" s="7">
        <f>4+1</f>
        <v>5</v>
      </c>
      <c r="H34" s="7">
        <v>1</v>
      </c>
      <c r="I34" s="147">
        <f>SUM(E34:H34)</f>
        <v>32</v>
      </c>
      <c r="J34" s="6"/>
      <c r="K34" s="6"/>
    </row>
    <row r="35" spans="2:11" ht="36.75" thickBot="1">
      <c r="B35" s="1669"/>
      <c r="C35" s="93"/>
      <c r="D35" s="127" t="s">
        <v>888</v>
      </c>
      <c r="E35" s="148">
        <f>+E33/E34</f>
        <v>79.2</v>
      </c>
      <c r="F35" s="148">
        <f>+F33/F34</f>
        <v>91.6</v>
      </c>
      <c r="G35" s="148">
        <f>+IFERROR(G33/G34,0)</f>
        <v>218.8</v>
      </c>
      <c r="H35" s="148">
        <f>+H33/H34</f>
        <v>483</v>
      </c>
      <c r="I35" s="148">
        <f>+I33/I34</f>
        <v>121.3</v>
      </c>
      <c r="J35" s="6"/>
      <c r="K35" s="6"/>
    </row>
    <row r="36" spans="2:11">
      <c r="B36" s="1669"/>
      <c r="C36" s="91"/>
      <c r="D36" s="1685"/>
      <c r="E36" s="1686"/>
      <c r="F36" s="1686"/>
      <c r="G36" s="1686"/>
      <c r="H36" s="1686"/>
      <c r="I36" s="1687"/>
      <c r="J36" s="6"/>
      <c r="K36" s="6"/>
    </row>
    <row r="37" spans="2:11">
      <c r="B37" s="1669"/>
      <c r="C37" s="91"/>
      <c r="D37" s="1784" t="s">
        <v>889</v>
      </c>
      <c r="E37" s="1785"/>
      <c r="F37" s="1785"/>
      <c r="G37" s="1785"/>
      <c r="H37" s="1785"/>
      <c r="I37" s="1786"/>
      <c r="J37" s="6"/>
      <c r="K37" s="6"/>
    </row>
    <row r="38" spans="2:11" ht="15.75" thickBot="1">
      <c r="B38" s="1669"/>
      <c r="C38" s="91"/>
      <c r="D38" s="1716"/>
      <c r="E38" s="1717"/>
      <c r="F38" s="1717"/>
      <c r="G38" s="1717"/>
      <c r="H38" s="1717"/>
      <c r="I38" s="1718"/>
      <c r="J38" s="6"/>
      <c r="K38" s="6"/>
    </row>
    <row r="39" spans="2:11" ht="15.75" thickBot="1">
      <c r="B39" s="1669"/>
      <c r="C39" s="93"/>
      <c r="D39" s="44" t="s">
        <v>156</v>
      </c>
      <c r="E39" s="39" t="s">
        <v>25</v>
      </c>
      <c r="F39" s="39" t="s">
        <v>26</v>
      </c>
      <c r="G39" s="39" t="s">
        <v>27</v>
      </c>
      <c r="H39" s="39" t="s">
        <v>28</v>
      </c>
      <c r="I39" s="89" t="s">
        <v>157</v>
      </c>
      <c r="J39" s="6"/>
      <c r="K39" s="6"/>
    </row>
    <row r="40" spans="2:11" ht="36.75" thickBot="1">
      <c r="B40" s="1669"/>
      <c r="C40" s="93"/>
      <c r="D40" s="127" t="s">
        <v>890</v>
      </c>
      <c r="E40" s="7">
        <v>1406</v>
      </c>
      <c r="F40" s="7">
        <v>1857</v>
      </c>
      <c r="G40" s="7">
        <f>1114+73</f>
        <v>1187</v>
      </c>
      <c r="H40" s="7">
        <f>58+549</f>
        <v>607</v>
      </c>
      <c r="I40" s="147">
        <f>SUM(E40:H40)</f>
        <v>5057</v>
      </c>
      <c r="J40" s="6"/>
      <c r="K40" s="6"/>
    </row>
    <row r="41" spans="2:11" ht="36.75" thickBot="1">
      <c r="B41" s="1669"/>
      <c r="C41" s="93"/>
      <c r="D41" s="127" t="s">
        <v>1778</v>
      </c>
      <c r="E41" s="7">
        <v>23</v>
      </c>
      <c r="F41" s="7">
        <v>46</v>
      </c>
      <c r="G41" s="7">
        <f>24+13</f>
        <v>37</v>
      </c>
      <c r="H41" s="7">
        <f>3+6</f>
        <v>9</v>
      </c>
      <c r="I41" s="147">
        <f>SUM(E41:H41)</f>
        <v>115</v>
      </c>
      <c r="J41" s="6"/>
      <c r="K41" s="6"/>
    </row>
    <row r="42" spans="2:11" ht="36.75" thickBot="1">
      <c r="B42" s="1669"/>
      <c r="C42" s="93"/>
      <c r="D42" s="127" t="s">
        <v>891</v>
      </c>
      <c r="E42" s="148">
        <f>+E40/E41</f>
        <v>61.1</v>
      </c>
      <c r="F42" s="148">
        <f>+F40/F41</f>
        <v>40.4</v>
      </c>
      <c r="G42" s="148">
        <f>+G40/G41</f>
        <v>32.1</v>
      </c>
      <c r="H42" s="148">
        <f>+H40/H41</f>
        <v>67.400000000000006</v>
      </c>
      <c r="I42" s="148">
        <f>+I40/I41</f>
        <v>44</v>
      </c>
      <c r="J42" s="6"/>
      <c r="K42" s="6"/>
    </row>
    <row r="43" spans="2:11">
      <c r="B43" s="1669"/>
      <c r="C43" s="91"/>
      <c r="D43" s="1685"/>
      <c r="E43" s="1686"/>
      <c r="F43" s="1686"/>
      <c r="G43" s="1686"/>
      <c r="H43" s="1686"/>
      <c r="I43" s="1687"/>
      <c r="J43" s="6"/>
      <c r="K43" s="6"/>
    </row>
    <row r="44" spans="2:11">
      <c r="B44" s="1669"/>
      <c r="C44" s="91"/>
      <c r="D44" s="1784" t="s">
        <v>892</v>
      </c>
      <c r="E44" s="1785"/>
      <c r="F44" s="1785"/>
      <c r="G44" s="1785"/>
      <c r="H44" s="1785"/>
      <c r="I44" s="1786"/>
      <c r="J44" s="6"/>
      <c r="K44" s="6"/>
    </row>
    <row r="45" spans="2:11" ht="15.75" thickBot="1">
      <c r="B45" s="1669"/>
      <c r="C45" s="91"/>
      <c r="D45" s="1716"/>
      <c r="E45" s="1717"/>
      <c r="F45" s="1717"/>
      <c r="G45" s="1717"/>
      <c r="H45" s="1717"/>
      <c r="I45" s="1718"/>
      <c r="J45" s="6"/>
      <c r="K45" s="6"/>
    </row>
    <row r="46" spans="2:11" ht="15.75" thickBot="1">
      <c r="B46" s="1669"/>
      <c r="C46" s="93"/>
      <c r="D46" s="44" t="s">
        <v>156</v>
      </c>
      <c r="E46" s="39" t="s">
        <v>25</v>
      </c>
      <c r="F46" s="39" t="s">
        <v>26</v>
      </c>
      <c r="G46" s="39" t="s">
        <v>27</v>
      </c>
      <c r="H46" s="39" t="s">
        <v>28</v>
      </c>
      <c r="I46" s="89" t="s">
        <v>157</v>
      </c>
      <c r="J46" s="6"/>
      <c r="K46" s="6"/>
    </row>
    <row r="47" spans="2:11" ht="36.75" thickBot="1">
      <c r="B47" s="1669"/>
      <c r="C47" s="93"/>
      <c r="D47" s="127" t="s">
        <v>893</v>
      </c>
      <c r="E47" s="7">
        <v>735</v>
      </c>
      <c r="F47" s="7">
        <v>237</v>
      </c>
      <c r="G47" s="7">
        <v>0</v>
      </c>
      <c r="H47" s="7">
        <v>45</v>
      </c>
      <c r="I47" s="147">
        <f>SUM(E47:H47)</f>
        <v>1017</v>
      </c>
      <c r="J47" s="6"/>
      <c r="K47" s="6"/>
    </row>
    <row r="48" spans="2:11" ht="36.75" thickBot="1">
      <c r="B48" s="1669"/>
      <c r="C48" s="93"/>
      <c r="D48" s="127" t="s">
        <v>1779</v>
      </c>
      <c r="E48" s="7">
        <v>5</v>
      </c>
      <c r="F48" s="7">
        <v>4</v>
      </c>
      <c r="G48" s="7">
        <v>0</v>
      </c>
      <c r="H48" s="7">
        <v>1</v>
      </c>
      <c r="I48" s="147">
        <f>SUM(E48:H48)</f>
        <v>10</v>
      </c>
      <c r="J48" s="6"/>
      <c r="K48" s="6"/>
    </row>
    <row r="49" spans="2:11" ht="36.75" thickBot="1">
      <c r="B49" s="1670"/>
      <c r="C49" s="3"/>
      <c r="D49" s="127" t="s">
        <v>894</v>
      </c>
      <c r="E49" s="148">
        <f>+E47/E48</f>
        <v>147</v>
      </c>
      <c r="F49" s="148">
        <f>+F47/F48</f>
        <v>59.3</v>
      </c>
      <c r="G49" s="148">
        <f>+IFERROR(G47/G48,0)</f>
        <v>0</v>
      </c>
      <c r="H49" s="148">
        <f>+H47/H48</f>
        <v>45</v>
      </c>
      <c r="I49" s="148">
        <f>+I47/I48</f>
        <v>101.7</v>
      </c>
      <c r="J49" s="6"/>
      <c r="K49" s="6"/>
    </row>
    <row r="50" spans="2:11" s="403" customFormat="1" ht="15.75" thickBot="1"/>
    <row r="51" spans="2:11" s="403" customFormat="1" ht="24.75" thickBot="1">
      <c r="D51" s="291" t="s">
        <v>1252</v>
      </c>
      <c r="E51" s="291" t="s">
        <v>1255</v>
      </c>
      <c r="F51" s="291" t="s">
        <v>1256</v>
      </c>
      <c r="G51" s="440" t="s">
        <v>1257</v>
      </c>
    </row>
    <row r="52" spans="2:11" s="403" customFormat="1" ht="15.75" thickBot="1">
      <c r="D52" s="291" t="str">
        <f>+D16</f>
        <v>Licencias ambientales</v>
      </c>
      <c r="E52" s="985">
        <f>H21</f>
        <v>0</v>
      </c>
      <c r="F52" s="469">
        <v>90</v>
      </c>
      <c r="G52" s="192">
        <f>IFERROR(IF(F52/E52&gt;1,1,F52/E52),0)</f>
        <v>0</v>
      </c>
    </row>
    <row r="53" spans="2:11" s="403" customFormat="1" ht="15.75" thickBot="1">
      <c r="D53" s="291" t="str">
        <f>+D23</f>
        <v>Concesiones de agua</v>
      </c>
      <c r="E53" s="985">
        <f>H28</f>
        <v>80</v>
      </c>
      <c r="F53" s="469">
        <v>90</v>
      </c>
      <c r="G53" s="192">
        <f>IF(F53/E53&gt;1,1,F53/E53)</f>
        <v>1</v>
      </c>
    </row>
    <row r="54" spans="2:11" s="403" customFormat="1" ht="15.75" thickBot="1">
      <c r="D54" s="291" t="str">
        <f>+D30</f>
        <v>Permisos de vertimiento de agua</v>
      </c>
      <c r="E54" s="985">
        <f>+H35</f>
        <v>483</v>
      </c>
      <c r="F54" s="469">
        <v>90</v>
      </c>
      <c r="G54" s="192">
        <f>IFERROR(IF(F54/E54&gt;1,1,F54/E54),0)</f>
        <v>0.19</v>
      </c>
    </row>
    <row r="55" spans="2:11" s="403" customFormat="1" ht="15.75" thickBot="1">
      <c r="D55" s="291" t="str">
        <f>+D37</f>
        <v>Permisos de aprovechamiento forestal</v>
      </c>
      <c r="E55" s="985">
        <f>+H42</f>
        <v>67</v>
      </c>
      <c r="F55" s="469">
        <v>90</v>
      </c>
      <c r="G55" s="192">
        <f>IFERROR(IF(F55/E55&gt;1,1,F55/E55),0)</f>
        <v>1</v>
      </c>
    </row>
    <row r="56" spans="2:11" s="403" customFormat="1" ht="15.75" thickBot="1">
      <c r="D56" s="291" t="str">
        <f>+D44</f>
        <v>Permisos de emisiones atmosféricas</v>
      </c>
      <c r="E56" s="985">
        <f>+H49</f>
        <v>45</v>
      </c>
      <c r="F56" s="469">
        <v>90</v>
      </c>
      <c r="G56" s="192">
        <f>IFERROR(IF(F56/E56&gt;1,1,F56/E56),0)</f>
        <v>1</v>
      </c>
    </row>
    <row r="57" spans="2:11" s="403" customFormat="1" ht="24.75" thickBot="1">
      <c r="D57" s="291" t="s">
        <v>1251</v>
      </c>
      <c r="E57" s="985">
        <f>AVERAGE(E52:E56)</f>
        <v>135</v>
      </c>
      <c r="F57" s="148">
        <f>AVERAGE(F52:F56)</f>
        <v>90</v>
      </c>
      <c r="G57" s="984">
        <f>AVERAGE(G52:G56)</f>
        <v>0.64</v>
      </c>
    </row>
    <row r="58" spans="2:11" s="403" customFormat="1"/>
    <row r="59" spans="2:11" s="403" customFormat="1" ht="15.75" thickBot="1"/>
    <row r="60" spans="2:11" ht="60" customHeight="1" thickBot="1">
      <c r="B60" s="53" t="s">
        <v>39</v>
      </c>
      <c r="C60" s="207"/>
      <c r="D60" s="1680" t="s">
        <v>895</v>
      </c>
      <c r="E60" s="1681"/>
      <c r="F60" s="1681"/>
      <c r="G60" s="1681"/>
      <c r="H60" s="1681"/>
      <c r="I60" s="1682"/>
      <c r="J60" s="6"/>
      <c r="K60" s="6"/>
    </row>
    <row r="61" spans="2:11" ht="36" customHeight="1" thickBot="1">
      <c r="B61" s="48" t="s">
        <v>41</v>
      </c>
      <c r="C61" s="92"/>
      <c r="D61" s="1680" t="s">
        <v>165</v>
      </c>
      <c r="E61" s="1681"/>
      <c r="F61" s="1681"/>
      <c r="G61" s="1681"/>
      <c r="H61" s="1681"/>
      <c r="I61" s="1682"/>
      <c r="J61" s="6"/>
      <c r="K61" s="6"/>
    </row>
    <row r="62" spans="2:11" ht="15.75" thickBot="1">
      <c r="B62" s="2"/>
      <c r="C62" s="75"/>
      <c r="D62" s="6"/>
      <c r="E62" s="6"/>
      <c r="F62" s="6"/>
      <c r="G62" s="6"/>
      <c r="H62" s="6"/>
      <c r="I62" s="86"/>
      <c r="J62" s="6"/>
      <c r="K62" s="6"/>
    </row>
    <row r="63" spans="2:11" ht="24" customHeight="1" thickBot="1">
      <c r="B63" s="1671" t="s">
        <v>43</v>
      </c>
      <c r="C63" s="1672"/>
      <c r="D63" s="1672"/>
      <c r="E63" s="1673"/>
      <c r="F63" s="6"/>
      <c r="G63" s="6"/>
      <c r="H63" s="6"/>
      <c r="I63" s="86"/>
      <c r="J63" s="6"/>
      <c r="K63" s="6"/>
    </row>
    <row r="64" spans="2:11" ht="15.75" thickBot="1">
      <c r="B64" s="1668">
        <v>1</v>
      </c>
      <c r="C64" s="93"/>
      <c r="D64" s="49" t="s">
        <v>44</v>
      </c>
      <c r="E64" s="139" t="s">
        <v>1616</v>
      </c>
      <c r="F64" s="6"/>
      <c r="G64" s="6"/>
      <c r="H64" s="6"/>
      <c r="I64" s="86"/>
      <c r="J64" s="6"/>
      <c r="K64" s="6"/>
    </row>
    <row r="65" spans="2:11" ht="15.75" thickBot="1">
      <c r="B65" s="1669"/>
      <c r="C65" s="93"/>
      <c r="D65" s="41" t="s">
        <v>45</v>
      </c>
      <c r="E65" s="139" t="s">
        <v>1767</v>
      </c>
      <c r="F65" s="6"/>
      <c r="G65" s="6"/>
      <c r="H65" s="6"/>
      <c r="I65" s="86"/>
      <c r="J65" s="6"/>
      <c r="K65" s="6"/>
    </row>
    <row r="66" spans="2:11" ht="15.75" thickBot="1">
      <c r="B66" s="1669"/>
      <c r="C66" s="93"/>
      <c r="D66" s="41" t="s">
        <v>46</v>
      </c>
      <c r="E66" s="139" t="s">
        <v>2030</v>
      </c>
      <c r="F66" s="6"/>
      <c r="G66" s="6"/>
      <c r="H66" s="6"/>
      <c r="I66" s="86"/>
      <c r="J66" s="6"/>
      <c r="K66" s="6"/>
    </row>
    <row r="67" spans="2:11" ht="15.75" thickBot="1">
      <c r="B67" s="1669"/>
      <c r="C67" s="93"/>
      <c r="D67" s="41" t="s">
        <v>47</v>
      </c>
      <c r="E67" s="139" t="s">
        <v>1626</v>
      </c>
      <c r="F67" s="6"/>
      <c r="G67" s="6"/>
      <c r="H67" s="6"/>
      <c r="I67" s="86"/>
      <c r="J67" s="6"/>
      <c r="K67" s="6"/>
    </row>
    <row r="68" spans="2:11" ht="15.75" thickBot="1">
      <c r="B68" s="1669"/>
      <c r="C68" s="93"/>
      <c r="D68" s="41" t="s">
        <v>48</v>
      </c>
      <c r="E68" s="841" t="s">
        <v>2011</v>
      </c>
      <c r="F68" s="6"/>
      <c r="G68" s="6"/>
      <c r="H68" s="6"/>
      <c r="I68" s="86"/>
      <c r="J68" s="6"/>
      <c r="K68" s="6"/>
    </row>
    <row r="69" spans="2:11" ht="15.75" thickBot="1">
      <c r="B69" s="1669"/>
      <c r="C69" s="93"/>
      <c r="D69" s="41" t="s">
        <v>49</v>
      </c>
      <c r="E69" s="139" t="s">
        <v>1768</v>
      </c>
      <c r="F69" s="6"/>
      <c r="G69" s="6"/>
      <c r="H69" s="6"/>
      <c r="I69" s="86"/>
      <c r="J69" s="6"/>
      <c r="K69" s="6"/>
    </row>
    <row r="70" spans="2:11" ht="15.75" thickBot="1">
      <c r="B70" s="1670"/>
      <c r="C70" s="3"/>
      <c r="D70" s="41" t="s">
        <v>50</v>
      </c>
      <c r="E70" s="139" t="s">
        <v>1682</v>
      </c>
      <c r="F70" s="6"/>
      <c r="G70" s="6"/>
      <c r="H70" s="6"/>
      <c r="I70" s="86"/>
      <c r="J70" s="6"/>
      <c r="K70" s="6"/>
    </row>
    <row r="71" spans="2:11" ht="15.75" thickBot="1">
      <c r="B71" s="2"/>
      <c r="C71" s="75"/>
      <c r="D71" s="6"/>
      <c r="E71" s="6"/>
      <c r="F71" s="6"/>
      <c r="G71" s="6"/>
      <c r="H71" s="6"/>
      <c r="I71" s="86"/>
      <c r="J71" s="6"/>
      <c r="K71" s="6"/>
    </row>
    <row r="72" spans="2:11" ht="15.75" thickBot="1">
      <c r="B72" s="1671" t="s">
        <v>51</v>
      </c>
      <c r="C72" s="1672"/>
      <c r="D72" s="1672"/>
      <c r="E72" s="1673"/>
      <c r="F72" s="6"/>
      <c r="G72" s="6"/>
      <c r="H72" s="6"/>
      <c r="I72" s="86"/>
      <c r="J72" s="6"/>
      <c r="K72" s="6"/>
    </row>
    <row r="73" spans="2:11" ht="15.75" thickBot="1">
      <c r="B73" s="1668">
        <v>1</v>
      </c>
      <c r="C73" s="93"/>
      <c r="D73" s="49" t="s">
        <v>44</v>
      </c>
      <c r="E73" s="130" t="s">
        <v>52</v>
      </c>
      <c r="F73" s="6"/>
      <c r="G73" s="6"/>
      <c r="H73" s="6"/>
      <c r="I73" s="86"/>
      <c r="J73" s="6"/>
      <c r="K73" s="6"/>
    </row>
    <row r="74" spans="2:11" ht="15.75" thickBot="1">
      <c r="B74" s="1669"/>
      <c r="C74" s="93"/>
      <c r="D74" s="41" t="s">
        <v>45</v>
      </c>
      <c r="E74" s="130" t="s">
        <v>166</v>
      </c>
      <c r="F74" s="6"/>
      <c r="G74" s="6"/>
      <c r="H74" s="6"/>
      <c r="I74" s="86"/>
      <c r="J74" s="6"/>
      <c r="K74" s="6"/>
    </row>
    <row r="75" spans="2:11" ht="15.75" thickBot="1">
      <c r="B75" s="1669"/>
      <c r="C75" s="93"/>
      <c r="D75" s="41" t="s">
        <v>46</v>
      </c>
      <c r="E75" s="172"/>
      <c r="F75" s="6"/>
      <c r="G75" s="6"/>
      <c r="H75" s="6"/>
      <c r="I75" s="86"/>
      <c r="J75" s="6"/>
      <c r="K75" s="6"/>
    </row>
    <row r="76" spans="2:11" ht="15.75" thickBot="1">
      <c r="B76" s="1669"/>
      <c r="C76" s="93"/>
      <c r="D76" s="41" t="s">
        <v>47</v>
      </c>
      <c r="E76" s="172"/>
      <c r="F76" s="6"/>
      <c r="G76" s="6"/>
      <c r="H76" s="6"/>
      <c r="I76" s="86"/>
      <c r="J76" s="6"/>
      <c r="K76" s="6"/>
    </row>
    <row r="77" spans="2:11" ht="15.75" thickBot="1">
      <c r="B77" s="1669"/>
      <c r="C77" s="93"/>
      <c r="D77" s="41" t="s">
        <v>48</v>
      </c>
      <c r="E77" s="172"/>
      <c r="F77" s="6"/>
      <c r="G77" s="6"/>
      <c r="H77" s="6"/>
      <c r="I77" s="86"/>
      <c r="J77" s="6"/>
      <c r="K77" s="6"/>
    </row>
    <row r="78" spans="2:11" ht="15.75" thickBot="1">
      <c r="B78" s="1669"/>
      <c r="C78" s="93"/>
      <c r="D78" s="41" t="s">
        <v>49</v>
      </c>
      <c r="E78" s="172"/>
      <c r="F78" s="6"/>
      <c r="G78" s="6"/>
      <c r="H78" s="6"/>
      <c r="I78" s="86"/>
      <c r="J78" s="6"/>
      <c r="K78" s="6"/>
    </row>
    <row r="79" spans="2:11" ht="15.75" thickBot="1">
      <c r="B79" s="1670"/>
      <c r="C79" s="3"/>
      <c r="D79" s="41" t="s">
        <v>50</v>
      </c>
      <c r="E79" s="172"/>
      <c r="F79" s="6"/>
      <c r="G79" s="6"/>
      <c r="H79" s="6"/>
      <c r="I79" s="86"/>
      <c r="J79" s="6"/>
      <c r="K79" s="6"/>
    </row>
    <row r="80" spans="2:11" ht="15.75" thickBot="1">
      <c r="B80" s="2"/>
      <c r="C80" s="75"/>
      <c r="D80" s="6"/>
      <c r="E80" s="6"/>
      <c r="F80" s="6"/>
      <c r="G80" s="6"/>
      <c r="H80" s="6"/>
      <c r="I80" s="86"/>
      <c r="J80" s="6"/>
      <c r="K80" s="6"/>
    </row>
    <row r="81" spans="2:11" ht="15" customHeight="1" thickBot="1">
      <c r="B81" s="119" t="s">
        <v>54</v>
      </c>
      <c r="C81" s="120"/>
      <c r="D81" s="120"/>
      <c r="E81" s="121"/>
      <c r="G81" s="6"/>
      <c r="H81" s="6"/>
      <c r="I81" s="86"/>
      <c r="J81" s="6"/>
      <c r="K81" s="6"/>
    </row>
    <row r="82" spans="2:11" ht="24.75" thickBot="1">
      <c r="B82" s="48" t="s">
        <v>55</v>
      </c>
      <c r="C82" s="41" t="s">
        <v>56</v>
      </c>
      <c r="D82" s="41" t="s">
        <v>57</v>
      </c>
      <c r="E82" s="41" t="s">
        <v>58</v>
      </c>
      <c r="F82" s="6"/>
      <c r="G82" s="6"/>
      <c r="H82" s="6"/>
      <c r="I82" s="86"/>
      <c r="J82" s="6"/>
    </row>
    <row r="83" spans="2:11" ht="72.75" thickBot="1">
      <c r="B83" s="50">
        <v>42401</v>
      </c>
      <c r="C83" s="41">
        <v>0.01</v>
      </c>
      <c r="D83" s="51" t="s">
        <v>896</v>
      </c>
      <c r="E83" s="41"/>
      <c r="F83" s="6"/>
      <c r="G83" s="6"/>
      <c r="H83" s="6"/>
      <c r="I83" s="86"/>
      <c r="J83" s="6"/>
    </row>
    <row r="84" spans="2:11" ht="15.75" thickBot="1">
      <c r="B84" s="2"/>
      <c r="C84" s="75"/>
      <c r="D84" s="6"/>
      <c r="E84" s="6"/>
      <c r="F84" s="6"/>
      <c r="G84" s="6"/>
      <c r="H84" s="6"/>
      <c r="I84" s="86"/>
      <c r="J84" s="6"/>
      <c r="K84" s="6"/>
    </row>
    <row r="85" spans="2:11" ht="15.75" thickBot="1">
      <c r="B85" s="431" t="s">
        <v>60</v>
      </c>
      <c r="C85" s="95"/>
      <c r="D85" s="6"/>
      <c r="E85" s="6"/>
      <c r="F85" s="6"/>
      <c r="G85" s="6"/>
      <c r="H85" s="6"/>
      <c r="I85" s="86"/>
      <c r="J85" s="6"/>
      <c r="K85" s="6"/>
    </row>
    <row r="86" spans="2:11">
      <c r="B86" s="1830"/>
      <c r="C86" s="1831"/>
      <c r="D86" s="1832"/>
      <c r="E86" s="6"/>
      <c r="F86" s="6"/>
      <c r="G86" s="6"/>
      <c r="H86" s="6"/>
      <c r="I86" s="86"/>
      <c r="J86" s="6"/>
      <c r="K86" s="6"/>
    </row>
    <row r="87" spans="2:11" ht="15.75" thickBot="1">
      <c r="B87" s="1833"/>
      <c r="C87" s="1834"/>
      <c r="D87" s="1835"/>
      <c r="E87" s="6"/>
      <c r="F87" s="6"/>
      <c r="G87" s="6"/>
      <c r="H87" s="6"/>
      <c r="I87" s="86"/>
      <c r="J87" s="6"/>
      <c r="K87" s="6"/>
    </row>
    <row r="88" spans="2:11" ht="15.75" thickBot="1">
      <c r="B88" s="6"/>
      <c r="D88" s="6"/>
      <c r="E88" s="6"/>
      <c r="F88" s="6"/>
      <c r="G88" s="6"/>
      <c r="H88" s="6"/>
      <c r="I88" s="86"/>
      <c r="J88" s="6"/>
      <c r="K88" s="6"/>
    </row>
    <row r="89" spans="2:11" ht="24.75" thickBot="1">
      <c r="B89" s="52" t="s">
        <v>61</v>
      </c>
      <c r="C89" s="96"/>
      <c r="D89" s="6"/>
      <c r="E89" s="6"/>
      <c r="F89" s="6"/>
      <c r="G89" s="6"/>
      <c r="H89" s="6"/>
      <c r="I89" s="86"/>
      <c r="J89" s="6"/>
      <c r="K89" s="6"/>
    </row>
    <row r="90" spans="2:11" ht="15.75" thickBot="1">
      <c r="B90" s="2"/>
      <c r="C90" s="75"/>
      <c r="D90" s="6"/>
      <c r="E90" s="6"/>
      <c r="F90" s="6"/>
      <c r="G90" s="6"/>
      <c r="H90" s="6"/>
      <c r="I90" s="86"/>
      <c r="J90" s="6"/>
      <c r="K90" s="6"/>
    </row>
    <row r="91" spans="2:11" ht="144">
      <c r="B91" s="1668" t="s">
        <v>62</v>
      </c>
      <c r="C91" s="104"/>
      <c r="D91" s="64" t="s">
        <v>855</v>
      </c>
      <c r="E91" s="6"/>
      <c r="F91" s="6"/>
      <c r="G91" s="6"/>
      <c r="H91" s="6"/>
      <c r="I91" s="86"/>
      <c r="J91" s="6"/>
      <c r="K91" s="6"/>
    </row>
    <row r="92" spans="2:11" ht="120.75" thickBot="1">
      <c r="B92" s="1670"/>
      <c r="C92" s="3"/>
      <c r="D92" s="41" t="s">
        <v>856</v>
      </c>
      <c r="E92" s="6"/>
      <c r="F92" s="6"/>
      <c r="G92" s="6"/>
      <c r="H92" s="6"/>
      <c r="I92" s="86"/>
      <c r="J92" s="6"/>
      <c r="K92" s="6"/>
    </row>
    <row r="93" spans="2:11">
      <c r="B93" s="1668" t="s">
        <v>64</v>
      </c>
      <c r="C93" s="93"/>
      <c r="D93" s="54" t="s">
        <v>65</v>
      </c>
      <c r="E93" s="6"/>
      <c r="F93" s="6"/>
      <c r="G93" s="6"/>
      <c r="H93" s="6"/>
      <c r="I93" s="86"/>
      <c r="J93" s="6"/>
      <c r="K93" s="6"/>
    </row>
    <row r="94" spans="2:11" ht="108">
      <c r="B94" s="1669"/>
      <c r="C94" s="93"/>
      <c r="D94" s="47" t="s">
        <v>857</v>
      </c>
      <c r="E94" s="6"/>
      <c r="F94" s="6"/>
      <c r="G94" s="6"/>
      <c r="H94" s="6"/>
      <c r="I94" s="86"/>
      <c r="J94" s="6"/>
      <c r="K94" s="6"/>
    </row>
    <row r="95" spans="2:11">
      <c r="B95" s="1669"/>
      <c r="C95" s="93"/>
      <c r="D95" s="54" t="s">
        <v>139</v>
      </c>
      <c r="E95" s="6"/>
      <c r="F95" s="6"/>
      <c r="G95" s="6"/>
      <c r="H95" s="6"/>
      <c r="I95" s="86"/>
      <c r="J95" s="6"/>
      <c r="K95" s="6"/>
    </row>
    <row r="96" spans="2:11">
      <c r="B96" s="1669"/>
      <c r="C96" s="93"/>
      <c r="D96" s="47" t="s">
        <v>69</v>
      </c>
      <c r="E96" s="6"/>
      <c r="F96" s="6"/>
      <c r="G96" s="6"/>
      <c r="H96" s="6"/>
      <c r="I96" s="86"/>
      <c r="J96" s="6"/>
      <c r="K96" s="6"/>
    </row>
    <row r="97" spans="2:11">
      <c r="B97" s="1669"/>
      <c r="C97" s="93"/>
      <c r="D97" s="47" t="s">
        <v>70</v>
      </c>
      <c r="E97" s="6"/>
      <c r="F97" s="6"/>
      <c r="G97" s="6"/>
      <c r="H97" s="6"/>
      <c r="I97" s="86"/>
      <c r="J97" s="6"/>
      <c r="K97" s="6"/>
    </row>
    <row r="98" spans="2:11">
      <c r="B98" s="1669"/>
      <c r="C98" s="93"/>
      <c r="D98" s="47" t="s">
        <v>858</v>
      </c>
      <c r="E98" s="6"/>
      <c r="F98" s="6"/>
      <c r="G98" s="6"/>
      <c r="H98" s="6"/>
      <c r="I98" s="86"/>
      <c r="J98" s="6"/>
      <c r="K98" s="6"/>
    </row>
    <row r="99" spans="2:11" ht="24">
      <c r="B99" s="1669"/>
      <c r="C99" s="93"/>
      <c r="D99" s="47" t="s">
        <v>859</v>
      </c>
      <c r="E99" s="6"/>
      <c r="F99" s="6"/>
      <c r="G99" s="6"/>
      <c r="H99" s="6"/>
      <c r="I99" s="86"/>
      <c r="J99" s="6"/>
      <c r="K99" s="6"/>
    </row>
    <row r="100" spans="2:11" ht="24">
      <c r="B100" s="1669"/>
      <c r="C100" s="93"/>
      <c r="D100" s="47" t="s">
        <v>860</v>
      </c>
      <c r="E100" s="6"/>
      <c r="F100" s="6"/>
      <c r="G100" s="6"/>
      <c r="H100" s="6"/>
      <c r="I100" s="86"/>
      <c r="J100" s="6"/>
      <c r="K100" s="6"/>
    </row>
    <row r="101" spans="2:11" ht="24">
      <c r="B101" s="1669"/>
      <c r="C101" s="93"/>
      <c r="D101" s="47" t="s">
        <v>861</v>
      </c>
      <c r="E101" s="6"/>
      <c r="F101" s="6"/>
      <c r="G101" s="6"/>
      <c r="H101" s="6"/>
      <c r="I101" s="86"/>
      <c r="J101" s="6"/>
      <c r="K101" s="6"/>
    </row>
    <row r="102" spans="2:11" ht="48">
      <c r="B102" s="1669"/>
      <c r="C102" s="93"/>
      <c r="D102" s="47" t="s">
        <v>862</v>
      </c>
      <c r="E102" s="6"/>
      <c r="F102" s="6"/>
      <c r="G102" s="6"/>
      <c r="H102" s="6"/>
      <c r="I102" s="86"/>
      <c r="J102" s="6"/>
      <c r="K102" s="6"/>
    </row>
    <row r="103" spans="2:11" ht="36.75" thickBot="1">
      <c r="B103" s="1670"/>
      <c r="C103" s="3"/>
      <c r="D103" s="41" t="s">
        <v>863</v>
      </c>
      <c r="E103" s="6"/>
      <c r="F103" s="6"/>
      <c r="G103" s="6"/>
      <c r="H103" s="6"/>
      <c r="I103" s="86"/>
      <c r="J103" s="6"/>
      <c r="K103" s="6"/>
    </row>
    <row r="104" spans="2:11" ht="24.75" thickBot="1">
      <c r="B104" s="48" t="s">
        <v>77</v>
      </c>
      <c r="C104" s="3"/>
      <c r="D104" s="41"/>
      <c r="E104" s="6"/>
      <c r="F104" s="6"/>
      <c r="G104" s="6"/>
      <c r="H104" s="6"/>
      <c r="I104" s="86"/>
      <c r="J104" s="6"/>
      <c r="K104" s="6"/>
    </row>
    <row r="105" spans="2:11" ht="252">
      <c r="B105" s="1668" t="s">
        <v>78</v>
      </c>
      <c r="C105" s="93"/>
      <c r="D105" s="47" t="s">
        <v>864</v>
      </c>
      <c r="E105" s="6"/>
      <c r="F105" s="6"/>
      <c r="G105" s="6"/>
      <c r="H105" s="6"/>
      <c r="I105" s="86"/>
      <c r="J105" s="6"/>
      <c r="K105" s="6"/>
    </row>
    <row r="106" spans="2:11" ht="72">
      <c r="B106" s="1669"/>
      <c r="C106" s="93"/>
      <c r="D106" s="47" t="s">
        <v>865</v>
      </c>
      <c r="E106" s="6"/>
      <c r="F106" s="6"/>
      <c r="G106" s="6"/>
      <c r="H106" s="6"/>
      <c r="I106" s="86"/>
      <c r="J106" s="6"/>
      <c r="K106" s="6"/>
    </row>
    <row r="107" spans="2:11" ht="72">
      <c r="B107" s="1669"/>
      <c r="C107" s="93"/>
      <c r="D107" s="47" t="s">
        <v>866</v>
      </c>
      <c r="E107" s="6"/>
      <c r="F107" s="6"/>
      <c r="G107" s="6"/>
      <c r="H107" s="6"/>
      <c r="I107" s="86"/>
      <c r="J107" s="6"/>
      <c r="K107" s="6"/>
    </row>
    <row r="108" spans="2:11" ht="156">
      <c r="B108" s="1669"/>
      <c r="C108" s="93"/>
      <c r="D108" s="47" t="s">
        <v>867</v>
      </c>
      <c r="E108" s="6"/>
      <c r="F108" s="6"/>
      <c r="G108" s="6"/>
      <c r="H108" s="6"/>
      <c r="I108" s="86"/>
      <c r="J108" s="6"/>
      <c r="K108" s="6"/>
    </row>
    <row r="109" spans="2:11" ht="168">
      <c r="B109" s="1669"/>
      <c r="C109" s="93"/>
      <c r="D109" s="47" t="s">
        <v>868</v>
      </c>
      <c r="E109" s="6"/>
      <c r="F109" s="6"/>
      <c r="G109" s="6"/>
      <c r="H109" s="6"/>
      <c r="I109" s="86"/>
      <c r="J109" s="6"/>
      <c r="K109" s="6"/>
    </row>
    <row r="110" spans="2:11" ht="108">
      <c r="B110" s="1669"/>
      <c r="C110" s="93"/>
      <c r="D110" s="47" t="s">
        <v>869</v>
      </c>
      <c r="E110" s="6"/>
      <c r="F110" s="6"/>
      <c r="G110" s="6"/>
      <c r="H110" s="6"/>
      <c r="I110" s="86"/>
      <c r="J110" s="6"/>
      <c r="K110" s="6"/>
    </row>
    <row r="111" spans="2:11" ht="60.75" thickBot="1">
      <c r="B111" s="1670"/>
      <c r="C111" s="3"/>
      <c r="D111" s="41" t="s">
        <v>870</v>
      </c>
      <c r="E111" s="6"/>
      <c r="F111" s="6"/>
      <c r="G111" s="6"/>
      <c r="H111" s="6"/>
      <c r="I111" s="86"/>
      <c r="J111" s="6"/>
      <c r="K111" s="6"/>
    </row>
    <row r="112" spans="2:11" ht="36">
      <c r="B112" s="1668" t="s">
        <v>95</v>
      </c>
      <c r="C112" s="93"/>
      <c r="D112" s="54" t="s">
        <v>854</v>
      </c>
      <c r="E112" s="6"/>
      <c r="F112" s="6"/>
      <c r="G112" s="6"/>
      <c r="H112" s="6"/>
      <c r="I112" s="86"/>
      <c r="J112" s="6"/>
      <c r="K112" s="6"/>
    </row>
    <row r="113" spans="2:11">
      <c r="B113" s="1669"/>
      <c r="C113" s="93"/>
      <c r="D113" s="17"/>
      <c r="E113" s="6"/>
      <c r="F113" s="6"/>
      <c r="G113" s="6"/>
      <c r="H113" s="6"/>
      <c r="I113" s="86"/>
      <c r="J113" s="6"/>
      <c r="K113" s="6"/>
    </row>
    <row r="114" spans="2:11">
      <c r="B114" s="1669"/>
      <c r="C114" s="93"/>
      <c r="D114" s="47" t="s">
        <v>96</v>
      </c>
      <c r="E114" s="6"/>
      <c r="F114" s="6"/>
      <c r="G114" s="6"/>
      <c r="H114" s="6"/>
      <c r="I114" s="86"/>
      <c r="J114" s="6"/>
      <c r="K114" s="6"/>
    </row>
    <row r="115" spans="2:11" ht="24">
      <c r="B115" s="1669"/>
      <c r="C115" s="93"/>
      <c r="D115" s="47" t="s">
        <v>871</v>
      </c>
      <c r="E115" s="6"/>
      <c r="F115" s="6"/>
      <c r="G115" s="6"/>
      <c r="H115" s="6"/>
      <c r="I115" s="86"/>
      <c r="J115" s="6"/>
      <c r="K115" s="6"/>
    </row>
    <row r="116" spans="2:11" ht="24">
      <c r="B116" s="1669"/>
      <c r="C116" s="93"/>
      <c r="D116" s="47" t="s">
        <v>872</v>
      </c>
      <c r="E116" s="6"/>
      <c r="F116" s="6"/>
      <c r="G116" s="6"/>
      <c r="H116" s="6"/>
      <c r="I116" s="86"/>
      <c r="J116" s="6"/>
      <c r="K116" s="6"/>
    </row>
    <row r="117" spans="2:11" ht="60">
      <c r="B117" s="1669"/>
      <c r="C117" s="93"/>
      <c r="D117" s="47" t="s">
        <v>873</v>
      </c>
      <c r="E117" s="6"/>
      <c r="F117" s="6"/>
      <c r="G117" s="6"/>
      <c r="H117" s="6"/>
      <c r="I117" s="86"/>
      <c r="J117" s="6"/>
      <c r="K117" s="6"/>
    </row>
    <row r="118" spans="2:11" ht="60">
      <c r="B118" s="1669"/>
      <c r="C118" s="93"/>
      <c r="D118" s="47" t="s">
        <v>874</v>
      </c>
      <c r="E118" s="6"/>
      <c r="F118" s="6"/>
      <c r="G118" s="6"/>
      <c r="H118" s="6"/>
      <c r="I118" s="86"/>
      <c r="J118" s="6"/>
      <c r="K118" s="6"/>
    </row>
    <row r="119" spans="2:11" ht="60">
      <c r="B119" s="1669"/>
      <c r="C119" s="93"/>
      <c r="D119" s="59" t="s">
        <v>875</v>
      </c>
      <c r="E119" s="6"/>
      <c r="F119" s="6"/>
      <c r="G119" s="6"/>
      <c r="H119" s="6"/>
      <c r="I119" s="86"/>
      <c r="J119" s="6"/>
      <c r="K119" s="6"/>
    </row>
    <row r="120" spans="2:11" ht="36">
      <c r="B120" s="1669"/>
      <c r="C120" s="93"/>
      <c r="D120" s="47" t="s">
        <v>876</v>
      </c>
      <c r="E120" s="6"/>
      <c r="F120" s="6"/>
      <c r="G120" s="6"/>
      <c r="H120" s="6"/>
      <c r="I120" s="86"/>
      <c r="J120" s="6"/>
      <c r="K120" s="6"/>
    </row>
    <row r="121" spans="2:11" ht="36">
      <c r="B121" s="1669"/>
      <c r="C121" s="93"/>
      <c r="D121" s="47" t="s">
        <v>877</v>
      </c>
      <c r="E121" s="6"/>
      <c r="F121" s="6"/>
      <c r="G121" s="6"/>
      <c r="H121" s="6"/>
      <c r="I121" s="86"/>
      <c r="J121" s="6"/>
      <c r="K121" s="6"/>
    </row>
    <row r="122" spans="2:11" ht="36">
      <c r="B122" s="1669"/>
      <c r="C122" s="93"/>
      <c r="D122" s="47" t="s">
        <v>878</v>
      </c>
      <c r="E122" s="6"/>
      <c r="F122" s="6"/>
      <c r="G122" s="6"/>
      <c r="H122" s="6"/>
      <c r="I122" s="86"/>
      <c r="J122" s="6"/>
      <c r="K122" s="6"/>
    </row>
    <row r="123" spans="2:11" ht="36">
      <c r="B123" s="1669"/>
      <c r="C123" s="93"/>
      <c r="D123" s="47" t="s">
        <v>879</v>
      </c>
      <c r="E123" s="6"/>
      <c r="F123" s="6"/>
      <c r="G123" s="6"/>
      <c r="H123" s="6"/>
      <c r="I123" s="86"/>
      <c r="J123" s="6"/>
      <c r="K123" s="6"/>
    </row>
    <row r="124" spans="2:11" ht="36.75" thickBot="1">
      <c r="B124" s="1670"/>
      <c r="C124" s="3"/>
      <c r="D124" s="41" t="s">
        <v>880</v>
      </c>
      <c r="E124" s="6"/>
      <c r="F124" s="6"/>
      <c r="G124" s="6"/>
      <c r="H124" s="6"/>
      <c r="I124" s="86"/>
      <c r="J124" s="6"/>
      <c r="K124" s="6"/>
    </row>
    <row r="125" spans="2:11">
      <c r="B125" s="6"/>
      <c r="D125" s="6"/>
      <c r="E125" s="6"/>
      <c r="F125" s="6"/>
      <c r="G125" s="6"/>
      <c r="H125" s="6"/>
      <c r="I125" s="86"/>
      <c r="J125" s="6"/>
      <c r="K125" s="6"/>
    </row>
    <row r="126" spans="2:11">
      <c r="B126" s="6"/>
      <c r="D126" s="6"/>
      <c r="E126" s="6"/>
      <c r="F126" s="6"/>
      <c r="G126" s="6"/>
      <c r="H126" s="6"/>
      <c r="I126" s="86"/>
      <c r="J126" s="6"/>
      <c r="K126" s="6"/>
    </row>
    <row r="127" spans="2:11">
      <c r="B127" s="6"/>
      <c r="D127" s="6"/>
      <c r="E127" s="6"/>
      <c r="F127" s="6"/>
      <c r="G127" s="6"/>
      <c r="H127" s="6"/>
      <c r="I127" s="86"/>
      <c r="J127" s="6"/>
      <c r="K127" s="6"/>
    </row>
    <row r="128" spans="2:11">
      <c r="B128" s="6"/>
      <c r="D128" s="6"/>
      <c r="E128" s="6"/>
      <c r="F128" s="6"/>
      <c r="G128" s="6"/>
      <c r="H128" s="6"/>
      <c r="I128" s="86"/>
      <c r="J128" s="6"/>
      <c r="K128" s="6"/>
    </row>
    <row r="129" spans="2:11">
      <c r="B129" s="6"/>
      <c r="D129" s="6"/>
      <c r="E129" s="6"/>
      <c r="F129" s="6"/>
      <c r="G129" s="6"/>
      <c r="H129" s="6"/>
      <c r="I129" s="86"/>
      <c r="J129" s="6"/>
      <c r="K129" s="6"/>
    </row>
    <row r="130" spans="2:11">
      <c r="B130" s="6"/>
      <c r="D130" s="6"/>
      <c r="E130" s="6"/>
      <c r="F130" s="6"/>
      <c r="G130" s="6"/>
      <c r="H130" s="6"/>
      <c r="I130" s="86"/>
      <c r="J130" s="6"/>
      <c r="K130" s="6"/>
    </row>
    <row r="131" spans="2:11">
      <c r="B131" s="6"/>
      <c r="D131" s="6"/>
      <c r="E131" s="6"/>
      <c r="F131" s="6"/>
      <c r="G131" s="6"/>
      <c r="H131" s="6"/>
      <c r="I131" s="86"/>
      <c r="J131" s="6"/>
      <c r="K131" s="6"/>
    </row>
    <row r="132" spans="2:11">
      <c r="B132" s="6"/>
      <c r="D132" s="6"/>
      <c r="E132" s="6"/>
      <c r="F132" s="6"/>
      <c r="G132" s="6"/>
      <c r="H132" s="6"/>
      <c r="I132" s="86"/>
      <c r="J132" s="6"/>
      <c r="K132" s="6"/>
    </row>
    <row r="133" spans="2:11">
      <c r="B133" s="6"/>
      <c r="D133" s="6"/>
      <c r="E133" s="6"/>
      <c r="F133" s="6"/>
      <c r="G133" s="6"/>
      <c r="H133" s="6"/>
      <c r="I133" s="86"/>
      <c r="J133" s="6"/>
      <c r="K133" s="6"/>
    </row>
    <row r="134" spans="2:11">
      <c r="B134" s="6"/>
      <c r="D134" s="6"/>
      <c r="E134" s="6"/>
      <c r="F134" s="6"/>
      <c r="G134" s="6"/>
      <c r="H134" s="6"/>
      <c r="I134" s="86"/>
      <c r="J134" s="6"/>
      <c r="K134" s="6"/>
    </row>
    <row r="135" spans="2:11">
      <c r="B135" s="6"/>
      <c r="D135" s="6"/>
      <c r="E135" s="6"/>
      <c r="F135" s="6"/>
      <c r="G135" s="6"/>
      <c r="H135" s="6"/>
      <c r="I135" s="86"/>
      <c r="J135" s="6"/>
      <c r="K135" s="6"/>
    </row>
    <row r="136" spans="2:11">
      <c r="B136" s="6"/>
      <c r="D136" s="6"/>
      <c r="E136" s="6"/>
      <c r="F136" s="6"/>
      <c r="G136" s="6"/>
      <c r="H136" s="6"/>
      <c r="I136" s="86"/>
      <c r="J136" s="6"/>
      <c r="K136" s="6"/>
    </row>
    <row r="137" spans="2:11">
      <c r="B137" s="6"/>
      <c r="D137" s="6"/>
      <c r="E137" s="6"/>
      <c r="F137" s="6"/>
      <c r="G137" s="6"/>
      <c r="H137" s="6"/>
      <c r="I137" s="86"/>
      <c r="J137" s="6"/>
      <c r="K137" s="6"/>
    </row>
    <row r="138" spans="2:11">
      <c r="B138" s="6"/>
      <c r="D138" s="6"/>
      <c r="E138" s="6"/>
      <c r="F138" s="6"/>
      <c r="G138" s="6"/>
      <c r="H138" s="6"/>
      <c r="I138" s="86"/>
      <c r="J138" s="6"/>
      <c r="K138" s="6"/>
    </row>
    <row r="139" spans="2:11">
      <c r="B139" s="6"/>
      <c r="D139" s="6"/>
      <c r="E139" s="6"/>
      <c r="F139" s="6"/>
      <c r="G139" s="6"/>
      <c r="H139" s="6"/>
      <c r="I139" s="86"/>
      <c r="J139" s="6"/>
      <c r="K139" s="6"/>
    </row>
    <row r="140" spans="2:11">
      <c r="B140" s="6"/>
      <c r="D140" s="6"/>
      <c r="E140" s="6"/>
      <c r="F140" s="6"/>
      <c r="G140" s="6"/>
      <c r="H140" s="6"/>
      <c r="I140" s="86"/>
      <c r="J140" s="6"/>
      <c r="K140" s="6"/>
    </row>
    <row r="141" spans="2:11">
      <c r="B141" s="6"/>
      <c r="D141" s="6"/>
      <c r="E141" s="6"/>
      <c r="F141" s="6"/>
      <c r="G141" s="6"/>
      <c r="H141" s="6"/>
      <c r="I141" s="86"/>
      <c r="J141" s="6"/>
      <c r="K141" s="6"/>
    </row>
    <row r="142" spans="2:11">
      <c r="B142" s="6"/>
      <c r="D142" s="6"/>
      <c r="E142" s="6"/>
      <c r="F142" s="6"/>
      <c r="G142" s="6"/>
      <c r="H142" s="6"/>
      <c r="I142" s="86"/>
      <c r="J142" s="6"/>
      <c r="K142" s="6"/>
    </row>
    <row r="143" spans="2:11">
      <c r="B143" s="6"/>
      <c r="D143" s="6"/>
      <c r="E143" s="6"/>
      <c r="F143" s="6"/>
      <c r="G143" s="6"/>
      <c r="H143" s="6"/>
      <c r="I143" s="86"/>
      <c r="J143" s="6"/>
      <c r="K143" s="6"/>
    </row>
    <row r="144" spans="2:11">
      <c r="B144" s="6"/>
      <c r="D144" s="6"/>
      <c r="E144" s="6"/>
      <c r="F144" s="6"/>
      <c r="G144" s="6"/>
      <c r="H144" s="6"/>
      <c r="I144" s="86"/>
      <c r="J144" s="6"/>
      <c r="K144" s="6"/>
    </row>
    <row r="145" spans="2:11">
      <c r="B145" s="6"/>
      <c r="D145" s="6"/>
      <c r="E145" s="6"/>
      <c r="F145" s="6"/>
      <c r="G145" s="6"/>
      <c r="H145" s="6"/>
      <c r="I145" s="86"/>
      <c r="J145" s="6"/>
      <c r="K145" s="6"/>
    </row>
    <row r="146" spans="2:11">
      <c r="B146" s="6"/>
      <c r="D146" s="6"/>
      <c r="E146" s="6"/>
      <c r="F146" s="6"/>
      <c r="G146" s="6"/>
      <c r="H146" s="6"/>
      <c r="I146" s="86"/>
      <c r="J146" s="6"/>
      <c r="K146" s="6"/>
    </row>
    <row r="147" spans="2:11">
      <c r="B147" s="6"/>
      <c r="D147" s="6"/>
      <c r="E147" s="6"/>
      <c r="F147" s="6"/>
      <c r="G147" s="6"/>
      <c r="H147" s="6"/>
      <c r="I147" s="86"/>
      <c r="J147" s="6"/>
      <c r="K147" s="6"/>
    </row>
    <row r="148" spans="2:11">
      <c r="B148" s="6"/>
      <c r="D148" s="6"/>
      <c r="E148" s="6"/>
      <c r="F148" s="6"/>
      <c r="G148" s="6"/>
      <c r="H148" s="6"/>
      <c r="I148" s="86"/>
      <c r="J148" s="6"/>
      <c r="K148" s="6"/>
    </row>
    <row r="149" spans="2:11">
      <c r="B149" s="6"/>
      <c r="D149" s="6"/>
      <c r="E149" s="6"/>
      <c r="F149" s="6"/>
      <c r="G149" s="6"/>
      <c r="H149" s="6"/>
      <c r="I149" s="86"/>
      <c r="J149" s="6"/>
      <c r="K149" s="6"/>
    </row>
    <row r="150" spans="2:11">
      <c r="B150" s="6"/>
      <c r="D150" s="6"/>
      <c r="E150" s="6"/>
      <c r="F150" s="6"/>
      <c r="G150" s="6"/>
      <c r="H150" s="6"/>
      <c r="I150" s="86"/>
      <c r="J150" s="6"/>
      <c r="K150" s="6"/>
    </row>
    <row r="151" spans="2:11">
      <c r="B151" s="6"/>
      <c r="D151" s="6"/>
      <c r="E151" s="6"/>
      <c r="F151" s="6"/>
      <c r="G151" s="6"/>
      <c r="H151" s="6"/>
      <c r="I151" s="86"/>
      <c r="J151" s="6"/>
      <c r="K151" s="6"/>
    </row>
    <row r="152" spans="2:11">
      <c r="B152" s="6"/>
      <c r="D152" s="6"/>
      <c r="E152" s="6"/>
      <c r="F152" s="6"/>
      <c r="G152" s="6"/>
      <c r="H152" s="6"/>
      <c r="I152" s="86"/>
      <c r="J152" s="6"/>
      <c r="K152" s="6"/>
    </row>
    <row r="153" spans="2:11">
      <c r="B153" s="6"/>
      <c r="D153" s="6"/>
      <c r="E153" s="6"/>
      <c r="F153" s="6"/>
      <c r="G153" s="6"/>
      <c r="H153" s="6"/>
      <c r="I153" s="86"/>
      <c r="J153" s="6"/>
      <c r="K153" s="6"/>
    </row>
    <row r="154" spans="2:11">
      <c r="B154" s="6"/>
      <c r="D154" s="6"/>
      <c r="E154" s="6"/>
      <c r="F154" s="6"/>
      <c r="G154" s="6"/>
      <c r="H154" s="6"/>
      <c r="I154" s="86"/>
      <c r="J154" s="6"/>
      <c r="K154" s="6"/>
    </row>
    <row r="155" spans="2:11">
      <c r="B155" s="6"/>
      <c r="D155" s="6"/>
      <c r="E155" s="6"/>
      <c r="F155" s="6"/>
      <c r="G155" s="6"/>
      <c r="H155" s="6"/>
      <c r="I155" s="86"/>
      <c r="J155" s="6"/>
      <c r="K155" s="6"/>
    </row>
    <row r="156" spans="2:11">
      <c r="B156" s="6"/>
      <c r="D156" s="6"/>
      <c r="E156" s="6"/>
      <c r="F156" s="6"/>
      <c r="G156" s="6"/>
      <c r="H156" s="6"/>
      <c r="I156" s="86"/>
      <c r="J156" s="6"/>
      <c r="K156" s="6"/>
    </row>
    <row r="157" spans="2:11">
      <c r="B157" s="6"/>
      <c r="D157" s="6"/>
      <c r="E157" s="6"/>
      <c r="F157" s="6"/>
      <c r="G157" s="6"/>
      <c r="H157" s="6"/>
      <c r="I157" s="86"/>
      <c r="J157" s="6"/>
      <c r="K157" s="6"/>
    </row>
    <row r="158" spans="2:11">
      <c r="B158" s="6"/>
      <c r="D158" s="6"/>
      <c r="E158" s="6"/>
      <c r="F158" s="6"/>
      <c r="G158" s="6"/>
      <c r="H158" s="6"/>
      <c r="I158" s="86"/>
      <c r="J158" s="6"/>
      <c r="K158" s="6"/>
    </row>
    <row r="159" spans="2:11">
      <c r="B159" s="6"/>
      <c r="D159" s="6"/>
      <c r="E159" s="6"/>
      <c r="F159" s="6"/>
      <c r="G159" s="6"/>
      <c r="H159" s="6"/>
      <c r="I159" s="86"/>
      <c r="J159" s="6"/>
      <c r="K159" s="6"/>
    </row>
    <row r="160" spans="2:11">
      <c r="B160" s="6"/>
      <c r="D160" s="6"/>
      <c r="E160" s="6"/>
      <c r="F160" s="6"/>
      <c r="G160" s="6"/>
      <c r="H160" s="6"/>
      <c r="I160" s="86"/>
      <c r="J160" s="6"/>
      <c r="K160" s="6"/>
    </row>
    <row r="161" spans="2:11">
      <c r="B161" s="6"/>
      <c r="D161" s="6"/>
      <c r="E161" s="6"/>
      <c r="F161" s="6"/>
      <c r="G161" s="6"/>
      <c r="H161" s="6"/>
      <c r="I161" s="86"/>
      <c r="J161" s="6"/>
      <c r="K161" s="6"/>
    </row>
    <row r="162" spans="2:11">
      <c r="B162" s="6"/>
      <c r="D162" s="6"/>
      <c r="E162" s="6"/>
      <c r="F162" s="6"/>
      <c r="G162" s="6"/>
      <c r="H162" s="6"/>
      <c r="I162" s="86"/>
      <c r="J162" s="6"/>
      <c r="K162" s="6"/>
    </row>
    <row r="163" spans="2:11">
      <c r="B163" s="6"/>
      <c r="D163" s="6"/>
      <c r="E163" s="6"/>
      <c r="F163" s="6"/>
      <c r="G163" s="6"/>
      <c r="H163" s="6"/>
      <c r="I163" s="86"/>
      <c r="J163" s="6"/>
      <c r="K163" s="6"/>
    </row>
    <row r="164" spans="2:11">
      <c r="B164" s="6"/>
      <c r="D164" s="6"/>
      <c r="E164" s="6"/>
      <c r="F164" s="6"/>
      <c r="G164" s="6"/>
      <c r="H164" s="6"/>
      <c r="I164" s="86"/>
      <c r="J164" s="6"/>
      <c r="K164" s="6"/>
    </row>
    <row r="165" spans="2:11">
      <c r="B165" s="6"/>
      <c r="D165" s="6"/>
      <c r="E165" s="6"/>
      <c r="F165" s="6"/>
      <c r="G165" s="6"/>
      <c r="H165" s="6"/>
      <c r="I165" s="86"/>
      <c r="J165" s="6"/>
      <c r="K165" s="6"/>
    </row>
    <row r="166" spans="2:11">
      <c r="B166" s="6"/>
      <c r="D166" s="6"/>
      <c r="E166" s="6"/>
      <c r="F166" s="6"/>
      <c r="G166" s="6"/>
      <c r="H166" s="6"/>
      <c r="I166" s="86"/>
      <c r="J166" s="6"/>
      <c r="K166" s="6"/>
    </row>
    <row r="167" spans="2:11">
      <c r="B167" s="6"/>
      <c r="D167" s="6"/>
      <c r="E167" s="6"/>
      <c r="F167" s="6"/>
      <c r="G167" s="6"/>
      <c r="H167" s="6"/>
      <c r="I167" s="86"/>
      <c r="J167" s="6"/>
      <c r="K167" s="6"/>
    </row>
    <row r="168" spans="2:11">
      <c r="B168" s="6"/>
      <c r="D168" s="6"/>
      <c r="E168" s="6"/>
      <c r="F168" s="6"/>
      <c r="G168" s="6"/>
      <c r="H168" s="6"/>
      <c r="I168" s="86"/>
      <c r="J168" s="6"/>
      <c r="K168" s="6"/>
    </row>
    <row r="169" spans="2:11">
      <c r="B169" s="6"/>
      <c r="D169" s="6"/>
      <c r="E169" s="6"/>
      <c r="F169" s="6"/>
      <c r="G169" s="6"/>
      <c r="H169" s="6"/>
      <c r="I169" s="86"/>
      <c r="J169" s="6"/>
      <c r="K169" s="6"/>
    </row>
    <row r="170" spans="2:11">
      <c r="B170" s="6"/>
      <c r="D170" s="6"/>
      <c r="E170" s="6"/>
      <c r="F170" s="6"/>
      <c r="G170" s="6"/>
      <c r="H170" s="6"/>
      <c r="I170" s="86"/>
      <c r="J170" s="6"/>
      <c r="K170" s="6"/>
    </row>
    <row r="171" spans="2:11">
      <c r="B171" s="6"/>
      <c r="D171" s="6"/>
      <c r="E171" s="6"/>
      <c r="F171" s="6"/>
      <c r="G171" s="6"/>
      <c r="H171" s="6"/>
      <c r="I171" s="86"/>
      <c r="J171" s="6"/>
      <c r="K171" s="6"/>
    </row>
    <row r="172" spans="2:11">
      <c r="B172" s="6"/>
      <c r="D172" s="6"/>
      <c r="E172" s="6"/>
      <c r="F172" s="6"/>
      <c r="G172" s="6"/>
      <c r="H172" s="6"/>
      <c r="I172" s="86"/>
      <c r="J172" s="6"/>
      <c r="K172" s="6"/>
    </row>
    <row r="173" spans="2:11">
      <c r="B173" s="6"/>
      <c r="D173" s="6"/>
      <c r="E173" s="6"/>
      <c r="F173" s="6"/>
      <c r="G173" s="6"/>
      <c r="H173" s="6"/>
      <c r="I173" s="86"/>
      <c r="J173" s="6"/>
      <c r="K173" s="6"/>
    </row>
    <row r="174" spans="2:11">
      <c r="B174" s="6"/>
      <c r="D174" s="6"/>
      <c r="E174" s="6"/>
      <c r="F174" s="6"/>
      <c r="G174" s="6"/>
      <c r="H174" s="6"/>
      <c r="I174" s="86"/>
      <c r="J174" s="6"/>
      <c r="K174" s="6"/>
    </row>
    <row r="175" spans="2:11">
      <c r="B175" s="6"/>
      <c r="D175" s="6"/>
      <c r="E175" s="6"/>
      <c r="F175" s="6"/>
      <c r="G175" s="6"/>
      <c r="H175" s="6"/>
      <c r="I175" s="86"/>
      <c r="J175" s="6"/>
      <c r="K175" s="6"/>
    </row>
    <row r="176" spans="2:11">
      <c r="B176" s="6"/>
      <c r="D176" s="6"/>
      <c r="E176" s="6"/>
      <c r="F176" s="6"/>
      <c r="G176" s="6"/>
      <c r="H176" s="6"/>
      <c r="I176" s="86"/>
      <c r="J176" s="6"/>
      <c r="K176" s="6"/>
    </row>
    <row r="177" spans="2:11">
      <c r="B177" s="6"/>
      <c r="D177" s="6"/>
      <c r="E177" s="6"/>
      <c r="F177" s="6"/>
      <c r="G177" s="6"/>
      <c r="H177" s="6"/>
      <c r="I177" s="86"/>
      <c r="J177" s="6"/>
      <c r="K177" s="6"/>
    </row>
    <row r="178" spans="2:11">
      <c r="B178" s="6"/>
      <c r="D178" s="6"/>
      <c r="E178" s="6"/>
      <c r="F178" s="6"/>
      <c r="G178" s="6"/>
      <c r="H178" s="6"/>
      <c r="I178" s="86"/>
      <c r="J178" s="6"/>
      <c r="K178" s="6"/>
    </row>
    <row r="179" spans="2:11">
      <c r="B179" s="6"/>
      <c r="D179" s="6"/>
      <c r="E179" s="6"/>
      <c r="F179" s="6"/>
      <c r="G179" s="6"/>
      <c r="H179" s="6"/>
      <c r="I179" s="86"/>
      <c r="J179" s="6"/>
      <c r="K179" s="6"/>
    </row>
    <row r="180" spans="2:11">
      <c r="B180" s="6"/>
      <c r="D180" s="6"/>
      <c r="E180" s="6"/>
      <c r="F180" s="6"/>
      <c r="G180" s="6"/>
      <c r="H180" s="6"/>
      <c r="I180" s="86"/>
      <c r="J180" s="6"/>
      <c r="K180" s="6"/>
    </row>
    <row r="181" spans="2:11">
      <c r="B181" s="6"/>
      <c r="D181" s="6"/>
      <c r="E181" s="6"/>
      <c r="F181" s="6"/>
      <c r="G181" s="6"/>
      <c r="H181" s="6"/>
      <c r="I181" s="86"/>
      <c r="J181" s="6"/>
      <c r="K181" s="6"/>
    </row>
    <row r="182" spans="2:11">
      <c r="B182" s="6"/>
      <c r="D182" s="6"/>
      <c r="E182" s="6"/>
      <c r="F182" s="6"/>
      <c r="G182" s="6"/>
      <c r="H182" s="6"/>
      <c r="I182" s="86"/>
      <c r="J182" s="6"/>
      <c r="K182" s="6"/>
    </row>
    <row r="183" spans="2:11">
      <c r="B183" s="6"/>
      <c r="D183" s="6"/>
      <c r="E183" s="6"/>
      <c r="F183" s="6"/>
      <c r="G183" s="6"/>
      <c r="H183" s="6"/>
      <c r="I183" s="86"/>
      <c r="J183" s="6"/>
      <c r="K183" s="6"/>
    </row>
    <row r="184" spans="2:11">
      <c r="B184" s="6"/>
      <c r="D184" s="6"/>
      <c r="E184" s="6"/>
      <c r="F184" s="6"/>
      <c r="G184" s="6"/>
      <c r="H184" s="6"/>
      <c r="I184" s="86"/>
      <c r="J184" s="6"/>
      <c r="K184" s="6"/>
    </row>
    <row r="185" spans="2:11">
      <c r="B185" s="6"/>
      <c r="D185" s="6"/>
      <c r="E185" s="6"/>
      <c r="F185" s="6"/>
      <c r="G185" s="6"/>
      <c r="H185" s="6"/>
      <c r="I185" s="86"/>
      <c r="J185" s="6"/>
      <c r="K185" s="6"/>
    </row>
    <row r="186" spans="2:11">
      <c r="B186" s="6"/>
      <c r="D186" s="6"/>
      <c r="E186" s="6"/>
      <c r="F186" s="6"/>
      <c r="G186" s="6"/>
      <c r="H186" s="6"/>
      <c r="I186" s="86"/>
      <c r="J186" s="6"/>
      <c r="K186" s="6"/>
    </row>
    <row r="187" spans="2:11">
      <c r="B187" s="6"/>
      <c r="D187" s="6"/>
      <c r="E187" s="6"/>
      <c r="F187" s="6"/>
      <c r="G187" s="6"/>
      <c r="H187" s="6"/>
      <c r="I187" s="86"/>
      <c r="J187" s="6"/>
      <c r="K187" s="6"/>
    </row>
    <row r="188" spans="2:11">
      <c r="B188" s="6"/>
      <c r="D188" s="6"/>
      <c r="E188" s="6"/>
      <c r="F188" s="6"/>
      <c r="G188" s="6"/>
      <c r="H188" s="6"/>
      <c r="I188" s="86"/>
      <c r="J188" s="6"/>
      <c r="K188" s="6"/>
    </row>
    <row r="189" spans="2:11">
      <c r="B189" s="6"/>
      <c r="D189" s="6"/>
      <c r="E189" s="6"/>
      <c r="F189" s="6"/>
      <c r="G189" s="6"/>
      <c r="H189" s="6"/>
      <c r="I189" s="86"/>
      <c r="J189" s="6"/>
      <c r="K189" s="6"/>
    </row>
  </sheetData>
  <sheetProtection sheet="1" objects="1" scenarios="1" insertColumns="0" insertRows="0"/>
  <mergeCells count="37">
    <mergeCell ref="B10:D10"/>
    <mergeCell ref="F10:S10"/>
    <mergeCell ref="F11:S11"/>
    <mergeCell ref="E12:R12"/>
    <mergeCell ref="E13:R13"/>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D38:I38"/>
    <mergeCell ref="D43:I43"/>
    <mergeCell ref="D44:I44"/>
    <mergeCell ref="D45:I45"/>
    <mergeCell ref="D60:I60"/>
    <mergeCell ref="B86:D87"/>
    <mergeCell ref="D61:I61"/>
    <mergeCell ref="B63:E63"/>
    <mergeCell ref="B64:B70"/>
    <mergeCell ref="B72:E72"/>
    <mergeCell ref="B73:B79"/>
    <mergeCell ref="A1:P1"/>
    <mergeCell ref="A2:P2"/>
    <mergeCell ref="A3:P3"/>
    <mergeCell ref="A4:D4"/>
    <mergeCell ref="A5:P5"/>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I47:I49 F57 E21:H21 I26:I28 E28:H28 E35:I35 I33:I34 I40:I42 E42:H42 G52:G57"/>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showGridLines="0" topLeftCell="A4" zoomScale="98" zoomScaleNormal="98" workbookViewId="0">
      <selection activeCell="H105" sqref="H105"/>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9" max="9" width="11.5703125" style="138"/>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897</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86"/>
      <c r="J6" s="6"/>
      <c r="K6" s="6"/>
    </row>
    <row r="7" spans="1:21" ht="15.75" thickBot="1">
      <c r="B7" s="74"/>
      <c r="C7" s="76"/>
      <c r="D7" s="6"/>
      <c r="E7" s="18"/>
      <c r="F7" s="6" t="s">
        <v>134</v>
      </c>
      <c r="G7" s="6"/>
      <c r="H7" s="6"/>
      <c r="I7" s="86"/>
      <c r="J7" s="6"/>
      <c r="K7" s="6"/>
    </row>
    <row r="8" spans="1:21" ht="15.75" thickBot="1">
      <c r="B8" s="174" t="s">
        <v>1203</v>
      </c>
      <c r="C8" s="214">
        <v>2018</v>
      </c>
      <c r="D8" s="218">
        <f>IF(E10="NO APLICA","NO APLICA",IF(E11="NO SE REPORTA","SIN INFORMACION",+G122))</f>
        <v>0.56999999999999995</v>
      </c>
      <c r="E8" s="215"/>
      <c r="F8" s="6" t="s">
        <v>135</v>
      </c>
      <c r="G8" s="6"/>
      <c r="H8" s="6"/>
      <c r="I8" s="86"/>
      <c r="J8" s="6"/>
      <c r="K8" s="6"/>
    </row>
    <row r="9" spans="1:21">
      <c r="A9" s="237"/>
      <c r="B9" s="483" t="s">
        <v>1204</v>
      </c>
      <c r="C9" s="296"/>
      <c r="D9" s="240"/>
      <c r="E9" s="240"/>
      <c r="F9" s="240"/>
      <c r="G9" s="240"/>
      <c r="H9" s="240"/>
      <c r="I9" s="257"/>
      <c r="J9" s="240"/>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Gestión'!E80:H80</f>
        <v>Proyecto No. 6.1.  (13). Evaluación, Seguimiento, Monitoreo y Control de la calidad de los recursos naturales y la biodiversidad.</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1826</v>
      </c>
      <c r="F13" s="1593"/>
      <c r="G13" s="1593"/>
      <c r="H13" s="1593"/>
      <c r="I13" s="1593"/>
      <c r="J13" s="1593"/>
      <c r="K13" s="1593"/>
      <c r="L13" s="1593"/>
      <c r="M13" s="1593"/>
      <c r="N13" s="1593"/>
      <c r="O13" s="1593"/>
      <c r="P13" s="1593"/>
      <c r="Q13" s="1593"/>
      <c r="R13" s="1594"/>
    </row>
    <row r="14" spans="1:21" s="403" customFormat="1" ht="6.95" customHeight="1" thickBot="1">
      <c r="A14" s="237"/>
      <c r="B14" s="483"/>
      <c r="C14" s="296"/>
      <c r="D14" s="240"/>
      <c r="E14" s="240"/>
      <c r="F14" s="240"/>
      <c r="G14" s="240"/>
      <c r="H14" s="240"/>
      <c r="I14" s="257"/>
      <c r="J14" s="240"/>
      <c r="K14" s="6"/>
    </row>
    <row r="15" spans="1:21">
      <c r="A15" s="237"/>
      <c r="B15" s="1618" t="s">
        <v>2</v>
      </c>
      <c r="C15" s="260"/>
      <c r="D15" s="1609" t="s">
        <v>3</v>
      </c>
      <c r="E15" s="1610"/>
      <c r="F15" s="1610"/>
      <c r="G15" s="1610"/>
      <c r="H15" s="1610"/>
      <c r="I15" s="1611"/>
      <c r="J15" s="240"/>
      <c r="K15" s="6"/>
    </row>
    <row r="16" spans="1:21">
      <c r="A16" s="237"/>
      <c r="B16" s="1619"/>
      <c r="C16" s="268"/>
      <c r="D16" s="1839" t="s">
        <v>915</v>
      </c>
      <c r="E16" s="1840"/>
      <c r="F16" s="1840"/>
      <c r="G16" s="1840"/>
      <c r="H16" s="1840"/>
      <c r="I16" s="1841"/>
      <c r="J16" s="240"/>
      <c r="K16" s="6"/>
    </row>
    <row r="17" spans="1:11" ht="15.75" thickBot="1">
      <c r="A17" s="237"/>
      <c r="B17" s="1619"/>
      <c r="C17" s="268"/>
      <c r="D17" s="1600"/>
      <c r="E17" s="1643"/>
      <c r="F17" s="1643"/>
      <c r="G17" s="1643"/>
      <c r="H17" s="1643"/>
      <c r="I17" s="1602"/>
      <c r="J17" s="240"/>
      <c r="K17" s="6"/>
    </row>
    <row r="18" spans="1:11" ht="36.75" thickBot="1">
      <c r="A18" s="237"/>
      <c r="B18" s="1619"/>
      <c r="C18" s="264"/>
      <c r="D18" s="411" t="s">
        <v>1783</v>
      </c>
      <c r="E18" s="956">
        <v>13</v>
      </c>
      <c r="F18" s="240"/>
      <c r="G18" s="240"/>
      <c r="H18" s="240"/>
      <c r="I18" s="435"/>
      <c r="J18" s="240"/>
      <c r="K18" s="6"/>
    </row>
    <row r="19" spans="1:11" ht="36.75" thickBot="1">
      <c r="A19" s="237"/>
      <c r="B19" s="1619"/>
      <c r="C19" s="264"/>
      <c r="D19" s="416" t="s">
        <v>916</v>
      </c>
      <c r="E19" s="956">
        <v>13</v>
      </c>
      <c r="F19" s="240"/>
      <c r="G19" s="240"/>
      <c r="H19" s="240"/>
      <c r="I19" s="435"/>
      <c r="J19" s="240"/>
      <c r="K19" s="6"/>
    </row>
    <row r="20" spans="1:11" ht="15.75" thickBot="1">
      <c r="A20" s="237"/>
      <c r="B20" s="1619"/>
      <c r="C20" s="268"/>
      <c r="D20" s="1624"/>
      <c r="E20" s="1625"/>
      <c r="F20" s="1625"/>
      <c r="G20" s="1625"/>
      <c r="H20" s="1625"/>
      <c r="I20" s="1626"/>
      <c r="J20" s="240"/>
      <c r="K20" s="6"/>
    </row>
    <row r="21" spans="1:11" ht="15.75" thickBot="1">
      <c r="A21" s="237"/>
      <c r="B21" s="1619"/>
      <c r="C21" s="264"/>
      <c r="D21" s="411" t="s">
        <v>156</v>
      </c>
      <c r="E21" s="272" t="s">
        <v>25</v>
      </c>
      <c r="F21" s="272" t="s">
        <v>26</v>
      </c>
      <c r="G21" s="272" t="s">
        <v>27</v>
      </c>
      <c r="H21" s="272" t="s">
        <v>28</v>
      </c>
      <c r="I21" s="309" t="s">
        <v>157</v>
      </c>
      <c r="J21" s="240"/>
      <c r="K21" s="6"/>
    </row>
    <row r="22" spans="1:11" ht="24.75" thickBot="1">
      <c r="A22" s="237"/>
      <c r="B22" s="1619"/>
      <c r="C22" s="264"/>
      <c r="D22" s="416" t="s">
        <v>917</v>
      </c>
      <c r="E22" s="956">
        <v>13</v>
      </c>
      <c r="F22" s="956">
        <v>13</v>
      </c>
      <c r="G22" s="149">
        <v>24</v>
      </c>
      <c r="H22" s="149">
        <f>30</f>
        <v>30</v>
      </c>
      <c r="I22" s="372">
        <f>SUM(E22:H22)/2</f>
        <v>40</v>
      </c>
      <c r="J22" s="240"/>
      <c r="K22" s="6"/>
    </row>
    <row r="23" spans="1:11" ht="24.75" thickBot="1">
      <c r="A23" s="237"/>
      <c r="B23" s="1619"/>
      <c r="C23" s="264"/>
      <c r="D23" s="416" t="s">
        <v>918</v>
      </c>
      <c r="E23" s="956">
        <v>13</v>
      </c>
      <c r="F23" s="956">
        <v>13</v>
      </c>
      <c r="G23" s="149">
        <v>24</v>
      </c>
      <c r="H23" s="149">
        <v>20</v>
      </c>
      <c r="I23" s="372">
        <f>SUM(E23:H23)/2</f>
        <v>35</v>
      </c>
      <c r="J23" s="240"/>
      <c r="K23" s="6"/>
    </row>
    <row r="24" spans="1:11" ht="24.75" thickBot="1">
      <c r="A24" s="237"/>
      <c r="B24" s="1619"/>
      <c r="C24" s="264"/>
      <c r="D24" s="416" t="s">
        <v>919</v>
      </c>
      <c r="E24" s="192">
        <f>+E23/E22</f>
        <v>1</v>
      </c>
      <c r="F24" s="192">
        <f>+F23/F22</f>
        <v>1</v>
      </c>
      <c r="G24" s="192">
        <f>+G23/G22</f>
        <v>1</v>
      </c>
      <c r="H24" s="192">
        <f>+H23/H22</f>
        <v>0.67</v>
      </c>
      <c r="I24" s="192">
        <f>+I23/I22</f>
        <v>0.88</v>
      </c>
      <c r="J24" s="240"/>
      <c r="K24" s="6"/>
    </row>
    <row r="25" spans="1:11">
      <c r="A25" s="237"/>
      <c r="B25" s="1619"/>
      <c r="C25" s="268"/>
      <c r="D25" s="1609" t="s">
        <v>920</v>
      </c>
      <c r="E25" s="1610"/>
      <c r="F25" s="1610"/>
      <c r="G25" s="1610"/>
      <c r="H25" s="1610"/>
      <c r="I25" s="1611"/>
      <c r="J25" s="240"/>
      <c r="K25" s="6"/>
    </row>
    <row r="26" spans="1:11" ht="15.75" thickBot="1">
      <c r="A26" s="237"/>
      <c r="B26" s="1619"/>
      <c r="C26" s="268"/>
      <c r="D26" s="1600"/>
      <c r="E26" s="1643"/>
      <c r="F26" s="1643"/>
      <c r="G26" s="1643"/>
      <c r="H26" s="1643"/>
      <c r="I26" s="1602"/>
      <c r="J26" s="240"/>
      <c r="K26" s="6"/>
    </row>
    <row r="27" spans="1:11" ht="24">
      <c r="A27" s="237"/>
      <c r="B27" s="1619"/>
      <c r="C27" s="264"/>
      <c r="D27" s="1611" t="s">
        <v>921</v>
      </c>
      <c r="E27" s="1618" t="s">
        <v>922</v>
      </c>
      <c r="F27" s="1618" t="s">
        <v>923</v>
      </c>
      <c r="G27" s="1618" t="s">
        <v>924</v>
      </c>
      <c r="H27" s="409" t="s">
        <v>925</v>
      </c>
      <c r="I27" s="435"/>
      <c r="J27" s="240"/>
      <c r="K27" s="6"/>
    </row>
    <row r="28" spans="1:11" ht="15.75" thickBot="1">
      <c r="A28" s="237"/>
      <c r="B28" s="1619"/>
      <c r="C28" s="264"/>
      <c r="D28" s="1626"/>
      <c r="E28" s="1620"/>
      <c r="F28" s="1620"/>
      <c r="G28" s="1620"/>
      <c r="H28" s="416" t="s">
        <v>926</v>
      </c>
      <c r="I28" s="435"/>
      <c r="J28" s="240"/>
      <c r="K28" s="6"/>
    </row>
    <row r="29" spans="1:11" ht="15.75" thickBot="1">
      <c r="A29" s="237"/>
      <c r="B29" s="1619"/>
      <c r="C29" s="264"/>
      <c r="D29" s="31" t="s">
        <v>1212</v>
      </c>
      <c r="E29" s="956">
        <v>11</v>
      </c>
      <c r="F29" s="956">
        <v>11</v>
      </c>
      <c r="G29" s="956">
        <v>11</v>
      </c>
      <c r="H29" s="956">
        <v>11</v>
      </c>
      <c r="I29" s="435"/>
      <c r="J29" s="240"/>
      <c r="K29" s="6"/>
    </row>
    <row r="30" spans="1:11" ht="15.75" thickBot="1">
      <c r="A30" s="237"/>
      <c r="B30" s="1619"/>
      <c r="C30" s="264"/>
      <c r="D30" s="31" t="s">
        <v>1630</v>
      </c>
      <c r="E30" s="956">
        <v>6</v>
      </c>
      <c r="F30" s="956">
        <v>6</v>
      </c>
      <c r="G30" s="956">
        <v>6</v>
      </c>
      <c r="H30" s="956">
        <v>6</v>
      </c>
      <c r="I30" s="435"/>
      <c r="J30" s="240"/>
      <c r="K30" s="6"/>
    </row>
    <row r="31" spans="1:11" ht="15.75" thickBot="1">
      <c r="A31" s="237"/>
      <c r="B31" s="1619"/>
      <c r="C31" s="264"/>
      <c r="D31" s="31" t="s">
        <v>1631</v>
      </c>
      <c r="E31" s="956">
        <v>1</v>
      </c>
      <c r="F31" s="956">
        <v>1</v>
      </c>
      <c r="G31" s="956">
        <v>1</v>
      </c>
      <c r="H31" s="956">
        <v>1</v>
      </c>
      <c r="I31" s="435"/>
      <c r="J31" s="240"/>
      <c r="K31" s="6"/>
    </row>
    <row r="32" spans="1:11" s="403" customFormat="1" ht="15.75" thickBot="1">
      <c r="A32" s="237"/>
      <c r="B32" s="1619"/>
      <c r="C32" s="264"/>
      <c r="D32" s="31" t="s">
        <v>1632</v>
      </c>
      <c r="E32" s="956">
        <v>5</v>
      </c>
      <c r="F32" s="956">
        <v>5</v>
      </c>
      <c r="G32" s="956">
        <v>5</v>
      </c>
      <c r="H32" s="956">
        <v>5</v>
      </c>
      <c r="I32" s="435"/>
      <c r="J32" s="240"/>
      <c r="K32" s="6"/>
    </row>
    <row r="33" spans="1:11" s="403" customFormat="1" ht="15.75" thickBot="1">
      <c r="A33" s="237"/>
      <c r="B33" s="1619"/>
      <c r="C33" s="264"/>
      <c r="D33" s="31" t="s">
        <v>1633</v>
      </c>
      <c r="E33" s="956">
        <v>1</v>
      </c>
      <c r="F33" s="956">
        <v>1</v>
      </c>
      <c r="G33" s="956">
        <v>1</v>
      </c>
      <c r="H33" s="956">
        <v>1</v>
      </c>
      <c r="I33" s="435"/>
      <c r="J33" s="240"/>
      <c r="K33" s="6"/>
    </row>
    <row r="34" spans="1:11" s="403" customFormat="1" ht="15.75" thickBot="1">
      <c r="A34" s="237"/>
      <c r="B34" s="1619"/>
      <c r="C34" s="264"/>
      <c r="D34" s="31" t="s">
        <v>2055</v>
      </c>
      <c r="E34" s="957">
        <v>6</v>
      </c>
      <c r="F34" s="957">
        <v>6</v>
      </c>
      <c r="G34" s="957">
        <v>6</v>
      </c>
      <c r="H34" s="956">
        <v>6</v>
      </c>
      <c r="I34" s="435"/>
      <c r="J34" s="240"/>
      <c r="K34" s="6"/>
    </row>
    <row r="35" spans="1:11" s="403" customFormat="1" ht="15.75" thickBot="1">
      <c r="A35" s="237"/>
      <c r="B35" s="1619"/>
      <c r="C35" s="264"/>
      <c r="D35" s="31"/>
      <c r="E35" s="149"/>
      <c r="F35" s="149"/>
      <c r="G35" s="149"/>
      <c r="H35" s="149"/>
      <c r="I35" s="435"/>
      <c r="J35" s="240"/>
      <c r="K35" s="6"/>
    </row>
    <row r="36" spans="1:11" s="403" customFormat="1" ht="15.75" thickBot="1">
      <c r="A36" s="237"/>
      <c r="B36" s="1619"/>
      <c r="C36" s="264"/>
      <c r="D36" s="31"/>
      <c r="E36" s="149"/>
      <c r="F36" s="149"/>
      <c r="G36" s="149"/>
      <c r="H36" s="149"/>
      <c r="I36" s="435"/>
      <c r="J36" s="240"/>
      <c r="K36" s="6"/>
    </row>
    <row r="37" spans="1:11" s="403" customFormat="1" ht="15.75" thickBot="1">
      <c r="A37" s="237"/>
      <c r="B37" s="1619"/>
      <c r="C37" s="264"/>
      <c r="D37" s="31"/>
      <c r="E37" s="149"/>
      <c r="F37" s="149"/>
      <c r="G37" s="149"/>
      <c r="H37" s="149"/>
      <c r="I37" s="435"/>
      <c r="J37" s="240"/>
      <c r="K37" s="6"/>
    </row>
    <row r="38" spans="1:11" s="403" customFormat="1" ht="15.75" thickBot="1">
      <c r="A38" s="237"/>
      <c r="B38" s="1619"/>
      <c r="C38" s="264"/>
      <c r="D38" s="31"/>
      <c r="E38" s="149"/>
      <c r="F38" s="149"/>
      <c r="G38" s="149"/>
      <c r="H38" s="149"/>
      <c r="I38" s="435"/>
      <c r="J38" s="240"/>
      <c r="K38" s="6"/>
    </row>
    <row r="39" spans="1:11" s="403" customFormat="1" ht="15.75" thickBot="1">
      <c r="A39" s="237"/>
      <c r="B39" s="1619"/>
      <c r="C39" s="264"/>
      <c r="D39" s="31"/>
      <c r="E39" s="149"/>
      <c r="F39" s="149"/>
      <c r="G39" s="149"/>
      <c r="H39" s="149"/>
      <c r="I39" s="435"/>
      <c r="J39" s="240"/>
      <c r="K39" s="6"/>
    </row>
    <row r="40" spans="1:11" ht="15.75" thickBot="1">
      <c r="A40" s="237"/>
      <c r="B40" s="1619"/>
      <c r="C40" s="264"/>
      <c r="D40" s="31"/>
      <c r="E40" s="149"/>
      <c r="F40" s="149"/>
      <c r="G40" s="149"/>
      <c r="H40" s="149"/>
      <c r="I40" s="435"/>
      <c r="J40" s="240"/>
      <c r="K40" s="6"/>
    </row>
    <row r="41" spans="1:11" ht="15.75" thickBot="1">
      <c r="A41" s="237"/>
      <c r="B41" s="1619"/>
      <c r="C41" s="264"/>
      <c r="D41" s="416" t="s">
        <v>157</v>
      </c>
      <c r="E41" s="436">
        <f>SUM(E29:E40)</f>
        <v>30</v>
      </c>
      <c r="F41" s="436">
        <f>SUM(F29:F40)</f>
        <v>30</v>
      </c>
      <c r="G41" s="436">
        <f>SUM(G29:G40)</f>
        <v>30</v>
      </c>
      <c r="H41" s="436">
        <f>SUM(H29:H40)</f>
        <v>30</v>
      </c>
      <c r="I41" s="435"/>
      <c r="J41" s="240"/>
      <c r="K41" s="6"/>
    </row>
    <row r="42" spans="1:11">
      <c r="A42" s="237"/>
      <c r="B42" s="1619"/>
      <c r="C42" s="268"/>
      <c r="D42" s="1600"/>
      <c r="E42" s="1643"/>
      <c r="F42" s="1643"/>
      <c r="G42" s="1643"/>
      <c r="H42" s="1643"/>
      <c r="I42" s="1602"/>
      <c r="J42" s="240"/>
      <c r="K42" s="6"/>
    </row>
    <row r="43" spans="1:11">
      <c r="A43" s="237"/>
      <c r="B43" s="1619"/>
      <c r="C43" s="268"/>
      <c r="D43" s="1839" t="s">
        <v>927</v>
      </c>
      <c r="E43" s="1840"/>
      <c r="F43" s="1840"/>
      <c r="G43" s="1840"/>
      <c r="H43" s="1840"/>
      <c r="I43" s="1841"/>
      <c r="J43" s="240"/>
      <c r="K43" s="6"/>
    </row>
    <row r="44" spans="1:11" ht="15.75" thickBot="1">
      <c r="A44" s="237"/>
      <c r="B44" s="1619"/>
      <c r="C44" s="268"/>
      <c r="D44" s="1600"/>
      <c r="E44" s="1643"/>
      <c r="F44" s="1643"/>
      <c r="G44" s="1643"/>
      <c r="H44" s="1643"/>
      <c r="I44" s="1602"/>
      <c r="J44" s="240"/>
      <c r="K44" s="6"/>
    </row>
    <row r="45" spans="1:11" ht="15.75" thickBot="1">
      <c r="A45" s="237"/>
      <c r="B45" s="1619"/>
      <c r="C45" s="264"/>
      <c r="D45" s="411" t="s">
        <v>156</v>
      </c>
      <c r="E45" s="272" t="s">
        <v>928</v>
      </c>
      <c r="F45" s="240"/>
      <c r="G45" s="240"/>
      <c r="H45" s="240"/>
      <c r="I45" s="435"/>
      <c r="J45" s="240"/>
      <c r="K45" s="6"/>
    </row>
    <row r="46" spans="1:11" ht="15.75" thickBot="1">
      <c r="A46" s="237"/>
      <c r="B46" s="1619"/>
      <c r="C46" s="264"/>
      <c r="D46" s="416" t="s">
        <v>1851</v>
      </c>
      <c r="E46" s="956">
        <v>1558</v>
      </c>
      <c r="F46" s="240"/>
      <c r="G46" s="240"/>
      <c r="H46" s="240"/>
      <c r="I46" s="435"/>
      <c r="J46" s="240"/>
      <c r="K46" s="6"/>
    </row>
    <row r="47" spans="1:11" ht="24.75" thickBot="1">
      <c r="A47" s="237"/>
      <c r="B47" s="1619"/>
      <c r="C47" s="264"/>
      <c r="D47" s="416" t="s">
        <v>2086</v>
      </c>
      <c r="E47" s="956">
        <v>1560</v>
      </c>
      <c r="F47" s="240"/>
      <c r="G47" s="240"/>
      <c r="H47" s="240"/>
      <c r="I47" s="435"/>
      <c r="J47" s="240"/>
      <c r="K47" s="6"/>
    </row>
    <row r="48" spans="1:11" ht="24.75" thickBot="1">
      <c r="A48" s="237"/>
      <c r="B48" s="1619"/>
      <c r="C48" s="264"/>
      <c r="D48" s="416" t="s">
        <v>2087</v>
      </c>
      <c r="E48" s="956">
        <v>4212</v>
      </c>
      <c r="F48" s="240"/>
      <c r="G48" s="240"/>
      <c r="H48" s="240"/>
      <c r="I48" s="435"/>
      <c r="J48" s="240"/>
      <c r="K48" s="6"/>
    </row>
    <row r="49" spans="1:11">
      <c r="A49" s="237"/>
      <c r="B49" s="1619"/>
      <c r="C49" s="268"/>
      <c r="D49" s="1600"/>
      <c r="E49" s="1643"/>
      <c r="F49" s="1643"/>
      <c r="G49" s="1643"/>
      <c r="H49" s="1643"/>
      <c r="I49" s="1602"/>
      <c r="J49" s="240"/>
      <c r="K49" s="6"/>
    </row>
    <row r="50" spans="1:11">
      <c r="A50" s="237"/>
      <c r="B50" s="1619"/>
      <c r="C50" s="268"/>
      <c r="D50" s="1600" t="s">
        <v>929</v>
      </c>
      <c r="E50" s="1643"/>
      <c r="F50" s="1643"/>
      <c r="G50" s="1643"/>
      <c r="H50" s="1643"/>
      <c r="I50" s="1602"/>
      <c r="J50" s="240"/>
      <c r="K50" s="6"/>
    </row>
    <row r="51" spans="1:11" ht="15.75" thickBot="1">
      <c r="A51" s="237"/>
      <c r="B51" s="1619"/>
      <c r="C51" s="268"/>
      <c r="D51" s="1624"/>
      <c r="E51" s="1625"/>
      <c r="F51" s="1625"/>
      <c r="G51" s="1625"/>
      <c r="H51" s="1625"/>
      <c r="I51" s="1626"/>
      <c r="J51" s="240"/>
      <c r="K51" s="6"/>
    </row>
    <row r="52" spans="1:11" ht="15.75" thickBot="1">
      <c r="A52" s="237"/>
      <c r="B52" s="1619"/>
      <c r="C52" s="264"/>
      <c r="D52" s="411" t="s">
        <v>156</v>
      </c>
      <c r="E52" s="272" t="s">
        <v>25</v>
      </c>
      <c r="F52" s="272" t="s">
        <v>26</v>
      </c>
      <c r="G52" s="272" t="s">
        <v>27</v>
      </c>
      <c r="H52" s="272" t="s">
        <v>28</v>
      </c>
      <c r="I52" s="309" t="s">
        <v>157</v>
      </c>
      <c r="J52" s="240"/>
      <c r="K52" s="6"/>
    </row>
    <row r="53" spans="1:11" ht="24.75" thickBot="1">
      <c r="A53" s="237"/>
      <c r="B53" s="1619"/>
      <c r="C53" s="264"/>
      <c r="D53" s="416" t="s">
        <v>930</v>
      </c>
      <c r="E53" s="957">
        <v>100</v>
      </c>
      <c r="F53" s="957">
        <v>182</v>
      </c>
      <c r="G53" s="149">
        <v>182</v>
      </c>
      <c r="H53" s="149">
        <v>150</v>
      </c>
      <c r="I53" s="436">
        <f>SUM(E53:H53)</f>
        <v>614</v>
      </c>
      <c r="J53" s="240"/>
      <c r="K53" s="6"/>
    </row>
    <row r="54" spans="1:11" ht="24.75" thickBot="1">
      <c r="A54" s="237"/>
      <c r="B54" s="1619"/>
      <c r="C54" s="264"/>
      <c r="D54" s="416" t="s">
        <v>931</v>
      </c>
      <c r="E54" s="957">
        <v>91</v>
      </c>
      <c r="F54" s="957">
        <v>130</v>
      </c>
      <c r="G54" s="149">
        <v>51</v>
      </c>
      <c r="H54" s="149">
        <f>98+1</f>
        <v>99</v>
      </c>
      <c r="I54" s="436">
        <f>SUM(E54:H54)</f>
        <v>371</v>
      </c>
      <c r="J54" s="240"/>
      <c r="K54" s="6"/>
    </row>
    <row r="55" spans="1:11" ht="24.75" thickBot="1">
      <c r="A55" s="237"/>
      <c r="B55" s="1619"/>
      <c r="C55" s="264"/>
      <c r="D55" s="416" t="s">
        <v>932</v>
      </c>
      <c r="E55" s="958">
        <f>+E54/E53</f>
        <v>0.91</v>
      </c>
      <c r="F55" s="958">
        <f>+F54/F53</f>
        <v>0.71</v>
      </c>
      <c r="G55" s="192">
        <f>+G54/G53</f>
        <v>0.28000000000000003</v>
      </c>
      <c r="H55" s="192">
        <f>+H54/H53</f>
        <v>0.66</v>
      </c>
      <c r="I55" s="192">
        <f>+I54/I53</f>
        <v>0.6</v>
      </c>
      <c r="J55" s="240"/>
      <c r="K55" s="6"/>
    </row>
    <row r="56" spans="1:11">
      <c r="A56" s="237"/>
      <c r="B56" s="1619"/>
      <c r="C56" s="268"/>
      <c r="D56" s="1609"/>
      <c r="E56" s="1610"/>
      <c r="F56" s="1610"/>
      <c r="G56" s="1610"/>
      <c r="H56" s="1610"/>
      <c r="I56" s="1611"/>
      <c r="J56" s="240"/>
      <c r="K56" s="6"/>
    </row>
    <row r="57" spans="1:11">
      <c r="A57" s="237"/>
      <c r="B57" s="1619"/>
      <c r="C57" s="268"/>
      <c r="D57" s="1600" t="s">
        <v>933</v>
      </c>
      <c r="E57" s="1643"/>
      <c r="F57" s="1643"/>
      <c r="G57" s="1643"/>
      <c r="H57" s="1643"/>
      <c r="I57" s="1602"/>
      <c r="J57" s="240"/>
      <c r="K57" s="6"/>
    </row>
    <row r="58" spans="1:11" ht="15.75" thickBot="1">
      <c r="A58" s="237"/>
      <c r="B58" s="1619"/>
      <c r="C58" s="268"/>
      <c r="D58" s="1624"/>
      <c r="E58" s="1625"/>
      <c r="F58" s="1625"/>
      <c r="G58" s="1625"/>
      <c r="H58" s="1625"/>
      <c r="I58" s="1626"/>
      <c r="J58" s="240"/>
      <c r="K58" s="6"/>
    </row>
    <row r="59" spans="1:11" ht="15.75" thickBot="1">
      <c r="A59" s="237"/>
      <c r="B59" s="1619"/>
      <c r="C59" s="264"/>
      <c r="D59" s="411" t="s">
        <v>156</v>
      </c>
      <c r="E59" s="272" t="s">
        <v>25</v>
      </c>
      <c r="F59" s="272" t="s">
        <v>26</v>
      </c>
      <c r="G59" s="272" t="s">
        <v>27</v>
      </c>
      <c r="H59" s="272" t="s">
        <v>28</v>
      </c>
      <c r="I59" s="309" t="s">
        <v>157</v>
      </c>
      <c r="J59" s="240"/>
      <c r="K59" s="6"/>
    </row>
    <row r="60" spans="1:11" ht="24.75" thickBot="1">
      <c r="A60" s="237"/>
      <c r="B60" s="1619"/>
      <c r="C60" s="264"/>
      <c r="D60" s="416" t="s">
        <v>934</v>
      </c>
      <c r="E60" s="957">
        <v>100</v>
      </c>
      <c r="F60" s="957">
        <v>7</v>
      </c>
      <c r="G60" s="149">
        <v>7</v>
      </c>
      <c r="H60" s="149">
        <v>7</v>
      </c>
      <c r="I60" s="436">
        <f>SUM(E60:H60)</f>
        <v>121</v>
      </c>
      <c r="J60" s="240"/>
      <c r="K60" s="6"/>
    </row>
    <row r="61" spans="1:11" ht="24.75" thickBot="1">
      <c r="A61" s="237"/>
      <c r="B61" s="1619"/>
      <c r="C61" s="264"/>
      <c r="D61" s="416" t="s">
        <v>935</v>
      </c>
      <c r="E61" s="957">
        <v>95</v>
      </c>
      <c r="F61" s="957">
        <v>5</v>
      </c>
      <c r="G61" s="149"/>
      <c r="H61" s="149">
        <v>3</v>
      </c>
      <c r="I61" s="436">
        <f>SUM(E61:H61)</f>
        <v>103</v>
      </c>
      <c r="J61" s="240"/>
      <c r="K61" s="6"/>
    </row>
    <row r="62" spans="1:11" ht="24.75" thickBot="1">
      <c r="A62" s="237"/>
      <c r="B62" s="1619"/>
      <c r="C62" s="264"/>
      <c r="D62" s="416" t="s">
        <v>936</v>
      </c>
      <c r="E62" s="958">
        <f>+E61/E60</f>
        <v>0.95</v>
      </c>
      <c r="F62" s="958">
        <f>+F61/F60</f>
        <v>0.71</v>
      </c>
      <c r="G62" s="192">
        <f>+G61/G60</f>
        <v>0</v>
      </c>
      <c r="H62" s="192">
        <f>+H61/H60</f>
        <v>0.43</v>
      </c>
      <c r="I62" s="192">
        <f>+I61/I60</f>
        <v>0.85</v>
      </c>
      <c r="J62" s="240"/>
      <c r="K62" s="6"/>
    </row>
    <row r="63" spans="1:11">
      <c r="A63" s="237"/>
      <c r="B63" s="1619"/>
      <c r="C63" s="268"/>
      <c r="D63" s="1609"/>
      <c r="E63" s="1610"/>
      <c r="F63" s="1610"/>
      <c r="G63" s="1610"/>
      <c r="H63" s="1610"/>
      <c r="I63" s="1611"/>
      <c r="J63" s="240"/>
      <c r="K63" s="6"/>
    </row>
    <row r="64" spans="1:11">
      <c r="A64" s="237"/>
      <c r="B64" s="1619"/>
      <c r="C64" s="268"/>
      <c r="D64" s="1839" t="s">
        <v>1250</v>
      </c>
      <c r="E64" s="1840"/>
      <c r="F64" s="1840"/>
      <c r="G64" s="1840"/>
      <c r="H64" s="1840"/>
      <c r="I64" s="1841"/>
      <c r="J64" s="240"/>
      <c r="K64" s="6"/>
    </row>
    <row r="65" spans="1:11" ht="15.75" thickBot="1">
      <c r="A65" s="237"/>
      <c r="B65" s="1619"/>
      <c r="C65" s="268"/>
      <c r="D65" s="1600"/>
      <c r="E65" s="1643"/>
      <c r="F65" s="1643"/>
      <c r="G65" s="1643"/>
      <c r="H65" s="1643"/>
      <c r="I65" s="1602"/>
      <c r="J65" s="240"/>
      <c r="K65" s="6"/>
    </row>
    <row r="66" spans="1:11" ht="15.75" thickBot="1">
      <c r="A66" s="237"/>
      <c r="B66" s="1619"/>
      <c r="C66" s="264"/>
      <c r="D66" s="411" t="s">
        <v>156</v>
      </c>
      <c r="E66" s="272" t="s">
        <v>928</v>
      </c>
      <c r="F66" s="240"/>
      <c r="G66" s="240"/>
      <c r="H66" s="240"/>
      <c r="I66" s="435"/>
      <c r="J66" s="240"/>
      <c r="K66" s="6"/>
    </row>
    <row r="67" spans="1:11" ht="24.75" thickBot="1">
      <c r="A67" s="237"/>
      <c r="B67" s="1619"/>
      <c r="C67" s="264"/>
      <c r="D67" s="416" t="s">
        <v>937</v>
      </c>
      <c r="E67" s="956">
        <v>25</v>
      </c>
      <c r="F67" s="240"/>
      <c r="G67" s="240"/>
      <c r="H67" s="240"/>
      <c r="I67" s="435"/>
      <c r="J67" s="240"/>
      <c r="K67" s="6"/>
    </row>
    <row r="68" spans="1:11" ht="24.75" thickBot="1">
      <c r="A68" s="237"/>
      <c r="B68" s="1619"/>
      <c r="C68" s="264"/>
      <c r="D68" s="416" t="s">
        <v>1784</v>
      </c>
      <c r="E68" s="956">
        <v>55</v>
      </c>
      <c r="F68" s="240"/>
      <c r="G68" s="240"/>
      <c r="H68" s="240"/>
      <c r="I68" s="435"/>
      <c r="J68" s="240"/>
      <c r="K68" s="6"/>
    </row>
    <row r="69" spans="1:11" ht="24.75" thickBot="1">
      <c r="A69" s="237"/>
      <c r="B69" s="1619"/>
      <c r="C69" s="264"/>
      <c r="D69" s="416" t="s">
        <v>1785</v>
      </c>
      <c r="E69" s="956">
        <v>55</v>
      </c>
      <c r="F69" s="240"/>
      <c r="G69" s="240"/>
      <c r="H69" s="240"/>
      <c r="I69" s="435"/>
      <c r="J69" s="240"/>
      <c r="K69" s="6"/>
    </row>
    <row r="70" spans="1:11">
      <c r="A70" s="237"/>
      <c r="B70" s="1619"/>
      <c r="C70" s="268"/>
      <c r="D70" s="1600"/>
      <c r="E70" s="1643"/>
      <c r="F70" s="1643"/>
      <c r="G70" s="1643"/>
      <c r="H70" s="1643"/>
      <c r="I70" s="1602"/>
      <c r="J70" s="240"/>
      <c r="K70" s="6"/>
    </row>
    <row r="71" spans="1:11">
      <c r="A71" s="237"/>
      <c r="B71" s="1619"/>
      <c r="C71" s="268"/>
      <c r="D71" s="1600" t="s">
        <v>938</v>
      </c>
      <c r="E71" s="1643"/>
      <c r="F71" s="1643"/>
      <c r="G71" s="1643"/>
      <c r="H71" s="1643"/>
      <c r="I71" s="1602"/>
      <c r="J71" s="240"/>
      <c r="K71" s="6"/>
    </row>
    <row r="72" spans="1:11" ht="15.75" thickBot="1">
      <c r="A72" s="237"/>
      <c r="B72" s="1619"/>
      <c r="C72" s="268"/>
      <c r="D72" s="1624"/>
      <c r="E72" s="1625"/>
      <c r="F72" s="1625"/>
      <c r="G72" s="1625"/>
      <c r="H72" s="1625"/>
      <c r="I72" s="1626"/>
      <c r="J72" s="240"/>
      <c r="K72" s="6"/>
    </row>
    <row r="73" spans="1:11" ht="15.75" thickBot="1">
      <c r="A73" s="237"/>
      <c r="B73" s="1619"/>
      <c r="C73" s="264"/>
      <c r="D73" s="411" t="s">
        <v>156</v>
      </c>
      <c r="E73" s="272" t="s">
        <v>25</v>
      </c>
      <c r="F73" s="272" t="s">
        <v>26</v>
      </c>
      <c r="G73" s="272" t="s">
        <v>27</v>
      </c>
      <c r="H73" s="272" t="s">
        <v>28</v>
      </c>
      <c r="I73" s="309" t="s">
        <v>157</v>
      </c>
      <c r="J73" s="240"/>
      <c r="K73" s="6"/>
    </row>
    <row r="74" spans="1:11" ht="36.75" thickBot="1">
      <c r="A74" s="237"/>
      <c r="B74" s="1619"/>
      <c r="C74" s="264"/>
      <c r="D74" s="416" t="s">
        <v>939</v>
      </c>
      <c r="E74" s="956">
        <v>38</v>
      </c>
      <c r="F74" s="956">
        <v>55</v>
      </c>
      <c r="G74" s="149">
        <v>55</v>
      </c>
      <c r="H74" s="149">
        <v>45</v>
      </c>
      <c r="I74" s="436">
        <f>SUM(E74:H74)</f>
        <v>193</v>
      </c>
      <c r="J74" s="240"/>
      <c r="K74" s="6"/>
    </row>
    <row r="75" spans="1:11" ht="24.75" thickBot="1">
      <c r="A75" s="237"/>
      <c r="B75" s="1619"/>
      <c r="C75" s="264"/>
      <c r="D75" s="416" t="s">
        <v>940</v>
      </c>
      <c r="E75" s="956">
        <v>38</v>
      </c>
      <c r="F75" s="956">
        <v>45</v>
      </c>
      <c r="G75" s="149">
        <v>22</v>
      </c>
      <c r="H75" s="149">
        <v>37</v>
      </c>
      <c r="I75" s="436">
        <f>SUM(E75:H75)</f>
        <v>142</v>
      </c>
      <c r="J75" s="240"/>
      <c r="K75" s="6"/>
    </row>
    <row r="76" spans="1:11" ht="24.75" thickBot="1">
      <c r="A76" s="237"/>
      <c r="B76" s="1619"/>
      <c r="C76" s="264"/>
      <c r="D76" s="416" t="s">
        <v>941</v>
      </c>
      <c r="E76" s="192">
        <f>+E75/E74</f>
        <v>1</v>
      </c>
      <c r="F76" s="192">
        <f>+F75/F74</f>
        <v>0.82</v>
      </c>
      <c r="G76" s="192">
        <f>+G75/G74</f>
        <v>0.4</v>
      </c>
      <c r="H76" s="192">
        <f>+H75/H74</f>
        <v>0.82</v>
      </c>
      <c r="I76" s="192">
        <f>+I75/I74</f>
        <v>0.74</v>
      </c>
      <c r="J76" s="240"/>
      <c r="K76" s="6"/>
    </row>
    <row r="77" spans="1:11" ht="15.75" thickBot="1">
      <c r="A77" s="237"/>
      <c r="B77" s="1619"/>
      <c r="C77" s="395"/>
      <c r="D77" s="410"/>
      <c r="E77" s="437"/>
      <c r="F77" s="437"/>
      <c r="G77" s="437"/>
      <c r="H77" s="437"/>
      <c r="I77" s="438"/>
      <c r="J77" s="240"/>
      <c r="K77" s="6"/>
    </row>
    <row r="78" spans="1:11">
      <c r="A78" s="237"/>
      <c r="B78" s="1619"/>
      <c r="C78" s="268"/>
      <c r="D78" s="1609" t="s">
        <v>942</v>
      </c>
      <c r="E78" s="1610"/>
      <c r="F78" s="1610"/>
      <c r="G78" s="1610"/>
      <c r="H78" s="1610"/>
      <c r="I78" s="1611"/>
      <c r="J78" s="240"/>
      <c r="K78" s="6"/>
    </row>
    <row r="79" spans="1:11" ht="15.75" thickBot="1">
      <c r="A79" s="237"/>
      <c r="B79" s="1619"/>
      <c r="C79" s="268"/>
      <c r="D79" s="1624"/>
      <c r="E79" s="1625"/>
      <c r="F79" s="1625"/>
      <c r="G79" s="1625"/>
      <c r="H79" s="1625"/>
      <c r="I79" s="1626"/>
      <c r="J79" s="240"/>
      <c r="K79" s="6"/>
    </row>
    <row r="80" spans="1:11" ht="15.75" thickBot="1">
      <c r="A80" s="237"/>
      <c r="B80" s="1619"/>
      <c r="C80" s="264"/>
      <c r="D80" s="411" t="s">
        <v>156</v>
      </c>
      <c r="E80" s="272" t="s">
        <v>25</v>
      </c>
      <c r="F80" s="272" t="s">
        <v>26</v>
      </c>
      <c r="G80" s="272" t="s">
        <v>27</v>
      </c>
      <c r="H80" s="272" t="s">
        <v>28</v>
      </c>
      <c r="I80" s="309" t="s">
        <v>157</v>
      </c>
      <c r="J80" s="240"/>
      <c r="K80" s="6"/>
    </row>
    <row r="81" spans="1:11" ht="24.75" thickBot="1">
      <c r="A81" s="237"/>
      <c r="B81" s="1619"/>
      <c r="C81" s="264"/>
      <c r="D81" s="416" t="s">
        <v>943</v>
      </c>
      <c r="E81" s="957">
        <v>20</v>
      </c>
      <c r="F81" s="957">
        <v>40</v>
      </c>
      <c r="G81" s="149">
        <v>40</v>
      </c>
      <c r="H81" s="149">
        <v>1</v>
      </c>
      <c r="I81" s="436">
        <f>SUM(E81:H81)</f>
        <v>101</v>
      </c>
      <c r="J81" s="240"/>
      <c r="K81" s="6"/>
    </row>
    <row r="82" spans="1:11" ht="24.75" thickBot="1">
      <c r="A82" s="237"/>
      <c r="B82" s="1619"/>
      <c r="C82" s="264"/>
      <c r="D82" s="416" t="s">
        <v>944</v>
      </c>
      <c r="E82" s="957">
        <v>20</v>
      </c>
      <c r="F82" s="957">
        <v>18</v>
      </c>
      <c r="G82" s="149">
        <v>21</v>
      </c>
      <c r="H82" s="149">
        <v>0</v>
      </c>
      <c r="I82" s="436">
        <f>SUM(E82:H82)</f>
        <v>59</v>
      </c>
      <c r="J82" s="240"/>
      <c r="K82" s="6"/>
    </row>
    <row r="83" spans="1:11" ht="24.75" thickBot="1">
      <c r="A83" s="237"/>
      <c r="B83" s="1619"/>
      <c r="C83" s="264"/>
      <c r="D83" s="416" t="s">
        <v>945</v>
      </c>
      <c r="E83" s="958">
        <f>+E82/E81</f>
        <v>1</v>
      </c>
      <c r="F83" s="958">
        <f>+F82/F81</f>
        <v>0.45</v>
      </c>
      <c r="G83" s="192">
        <f>+G82/G81</f>
        <v>0.53</v>
      </c>
      <c r="H83" s="192">
        <f>+H82/H81</f>
        <v>0</v>
      </c>
      <c r="I83" s="192">
        <f>+I82/I81</f>
        <v>0.57999999999999996</v>
      </c>
      <c r="J83" s="240"/>
      <c r="K83" s="6"/>
    </row>
    <row r="84" spans="1:11">
      <c r="A84" s="237"/>
      <c r="B84" s="1619"/>
      <c r="C84" s="268"/>
      <c r="D84" s="1609"/>
      <c r="E84" s="1610"/>
      <c r="F84" s="1610"/>
      <c r="G84" s="1610"/>
      <c r="H84" s="1610"/>
      <c r="I84" s="1611"/>
      <c r="J84" s="240"/>
      <c r="K84" s="6"/>
    </row>
    <row r="85" spans="1:11" ht="15.75" thickBot="1">
      <c r="A85" s="237"/>
      <c r="B85" s="1619"/>
      <c r="C85" s="268"/>
      <c r="D85" s="1839" t="s">
        <v>946</v>
      </c>
      <c r="E85" s="1840"/>
      <c r="F85" s="1840"/>
      <c r="G85" s="1840"/>
      <c r="H85" s="1840"/>
      <c r="I85" s="1841"/>
      <c r="J85" s="240"/>
      <c r="K85" s="6"/>
    </row>
    <row r="86" spans="1:11" ht="15.75" thickBot="1">
      <c r="A86" s="237"/>
      <c r="B86" s="1619"/>
      <c r="C86" s="264"/>
      <c r="D86" s="411" t="s">
        <v>156</v>
      </c>
      <c r="E86" s="272" t="s">
        <v>928</v>
      </c>
      <c r="F86" s="240"/>
      <c r="G86" s="240"/>
      <c r="H86" s="240"/>
      <c r="I86" s="435"/>
      <c r="J86" s="240"/>
      <c r="K86" s="6"/>
    </row>
    <row r="87" spans="1:11" ht="24.75" thickBot="1">
      <c r="A87" s="237"/>
      <c r="B87" s="1619"/>
      <c r="C87" s="264"/>
      <c r="D87" s="416" t="s">
        <v>1786</v>
      </c>
      <c r="E87" s="149">
        <v>83</v>
      </c>
      <c r="F87" s="240"/>
      <c r="G87" s="240"/>
      <c r="H87" s="240"/>
      <c r="I87" s="435"/>
      <c r="J87" s="240"/>
      <c r="K87" s="6"/>
    </row>
    <row r="88" spans="1:11" ht="24.75" thickBot="1">
      <c r="A88" s="237"/>
      <c r="B88" s="1619"/>
      <c r="C88" s="264"/>
      <c r="D88" s="416" t="s">
        <v>1787</v>
      </c>
      <c r="E88" s="149">
        <v>29</v>
      </c>
      <c r="F88" s="240"/>
      <c r="G88" s="240"/>
      <c r="H88" s="240"/>
      <c r="I88" s="435"/>
      <c r="J88" s="240"/>
      <c r="K88" s="6"/>
    </row>
    <row r="89" spans="1:11">
      <c r="A89" s="237"/>
      <c r="B89" s="1619"/>
      <c r="C89" s="268"/>
      <c r="D89" s="1600"/>
      <c r="E89" s="1643"/>
      <c r="F89" s="1643"/>
      <c r="G89" s="1643"/>
      <c r="H89" s="1643"/>
      <c r="I89" s="1602"/>
      <c r="J89" s="240"/>
      <c r="K89" s="6"/>
    </row>
    <row r="90" spans="1:11" ht="15.75" thickBot="1">
      <c r="A90" s="237"/>
      <c r="B90" s="1619"/>
      <c r="C90" s="268"/>
      <c r="D90" s="1624" t="s">
        <v>947</v>
      </c>
      <c r="E90" s="1625"/>
      <c r="F90" s="1625"/>
      <c r="G90" s="1625"/>
      <c r="H90" s="1625"/>
      <c r="I90" s="1626"/>
      <c r="J90" s="240"/>
      <c r="K90" s="6"/>
    </row>
    <row r="91" spans="1:11" ht="15.75" thickBot="1">
      <c r="A91" s="237"/>
      <c r="B91" s="1619"/>
      <c r="C91" s="264"/>
      <c r="D91" s="411" t="s">
        <v>156</v>
      </c>
      <c r="E91" s="272" t="s">
        <v>25</v>
      </c>
      <c r="F91" s="272" t="s">
        <v>26</v>
      </c>
      <c r="G91" s="272" t="s">
        <v>27</v>
      </c>
      <c r="H91" s="272" t="s">
        <v>28</v>
      </c>
      <c r="I91" s="309" t="s">
        <v>157</v>
      </c>
      <c r="J91" s="240"/>
      <c r="K91" s="6"/>
    </row>
    <row r="92" spans="1:11" ht="36.75" thickBot="1">
      <c r="A92" s="237"/>
      <c r="B92" s="1619"/>
      <c r="C92" s="264"/>
      <c r="D92" s="416" t="s">
        <v>948</v>
      </c>
      <c r="E92" s="149">
        <v>102</v>
      </c>
      <c r="F92" s="149">
        <v>29</v>
      </c>
      <c r="G92" s="149">
        <v>29</v>
      </c>
      <c r="H92" s="149">
        <f>30+4</f>
        <v>34</v>
      </c>
      <c r="I92" s="436">
        <f>SUM(E92:H92)</f>
        <v>194</v>
      </c>
      <c r="J92" s="240"/>
      <c r="K92" s="6"/>
    </row>
    <row r="93" spans="1:11" ht="24.75" thickBot="1">
      <c r="A93" s="237"/>
      <c r="B93" s="1619"/>
      <c r="C93" s="264"/>
      <c r="D93" s="416" t="s">
        <v>949</v>
      </c>
      <c r="E93" s="149">
        <v>94</v>
      </c>
      <c r="F93" s="149">
        <v>24</v>
      </c>
      <c r="G93" s="149">
        <v>20</v>
      </c>
      <c r="H93" s="149">
        <v>20</v>
      </c>
      <c r="I93" s="436">
        <f>SUM(E93:H93)</f>
        <v>158</v>
      </c>
      <c r="J93" s="240"/>
      <c r="K93" s="6"/>
    </row>
    <row r="94" spans="1:11" ht="36.75" thickBot="1">
      <c r="A94" s="237"/>
      <c r="B94" s="1619"/>
      <c r="C94" s="264"/>
      <c r="D94" s="416" t="s">
        <v>950</v>
      </c>
      <c r="E94" s="192">
        <f>+E93/E92</f>
        <v>0.92</v>
      </c>
      <c r="F94" s="192">
        <f>+F93/F92</f>
        <v>0.83</v>
      </c>
      <c r="G94" s="192">
        <f>+G93/G92</f>
        <v>0.69</v>
      </c>
      <c r="H94" s="192">
        <f>+H93/H92</f>
        <v>0.59</v>
      </c>
      <c r="I94" s="192">
        <f>+I93/I92</f>
        <v>0.81</v>
      </c>
      <c r="J94" s="240"/>
      <c r="K94" s="6"/>
    </row>
    <row r="95" spans="1:11">
      <c r="A95" s="237"/>
      <c r="B95" s="1619"/>
      <c r="C95" s="268"/>
      <c r="D95" s="1609"/>
      <c r="E95" s="1610"/>
      <c r="F95" s="1610"/>
      <c r="G95" s="1610"/>
      <c r="H95" s="1610"/>
      <c r="I95" s="1611"/>
      <c r="J95" s="240"/>
      <c r="K95" s="6"/>
    </row>
    <row r="96" spans="1:11">
      <c r="A96" s="237"/>
      <c r="B96" s="1619"/>
      <c r="C96" s="268"/>
      <c r="D96" s="1600" t="s">
        <v>951</v>
      </c>
      <c r="E96" s="1643"/>
      <c r="F96" s="1643"/>
      <c r="G96" s="1643"/>
      <c r="H96" s="1643"/>
      <c r="I96" s="1602"/>
      <c r="J96" s="240"/>
      <c r="K96" s="6"/>
    </row>
    <row r="97" spans="1:11" ht="15.75" thickBot="1">
      <c r="A97" s="237"/>
      <c r="B97" s="1619"/>
      <c r="C97" s="268"/>
      <c r="D97" s="1624"/>
      <c r="E97" s="1625"/>
      <c r="F97" s="1625"/>
      <c r="G97" s="1625"/>
      <c r="H97" s="1625"/>
      <c r="I97" s="1626"/>
      <c r="J97" s="240"/>
      <c r="K97" s="6"/>
    </row>
    <row r="98" spans="1:11" ht="15.75" thickBot="1">
      <c r="A98" s="237"/>
      <c r="B98" s="1619"/>
      <c r="C98" s="264"/>
      <c r="D98" s="411" t="s">
        <v>156</v>
      </c>
      <c r="E98" s="272" t="s">
        <v>25</v>
      </c>
      <c r="F98" s="272" t="s">
        <v>26</v>
      </c>
      <c r="G98" s="272" t="s">
        <v>27</v>
      </c>
      <c r="H98" s="272" t="s">
        <v>28</v>
      </c>
      <c r="I98" s="309" t="s">
        <v>157</v>
      </c>
      <c r="J98" s="240"/>
      <c r="K98" s="6"/>
    </row>
    <row r="99" spans="1:11" ht="24.75" thickBot="1">
      <c r="A99" s="237"/>
      <c r="B99" s="1619"/>
      <c r="C99" s="264"/>
      <c r="D99" s="416" t="s">
        <v>952</v>
      </c>
      <c r="E99" s="149">
        <v>7</v>
      </c>
      <c r="F99" s="149">
        <v>8</v>
      </c>
      <c r="G99" s="149">
        <v>8</v>
      </c>
      <c r="H99" s="149">
        <v>9631</v>
      </c>
      <c r="I99" s="436">
        <f>SUM(E99:H99)</f>
        <v>9654</v>
      </c>
      <c r="J99" s="240"/>
      <c r="K99" s="6"/>
    </row>
    <row r="100" spans="1:11" ht="24.75" thickBot="1">
      <c r="A100" s="237"/>
      <c r="B100" s="1619"/>
      <c r="C100" s="264"/>
      <c r="D100" s="416" t="s">
        <v>953</v>
      </c>
      <c r="E100" s="149">
        <v>6</v>
      </c>
      <c r="F100" s="149">
        <v>7</v>
      </c>
      <c r="G100" s="149"/>
      <c r="H100" s="149">
        <v>9631</v>
      </c>
      <c r="I100" s="436">
        <f>SUM(E100:H100)</f>
        <v>9644</v>
      </c>
      <c r="J100" s="240"/>
      <c r="K100" s="6"/>
    </row>
    <row r="101" spans="1:11" ht="36.75" thickBot="1">
      <c r="A101" s="237"/>
      <c r="B101" s="1619"/>
      <c r="C101" s="264"/>
      <c r="D101" s="416" t="s">
        <v>954</v>
      </c>
      <c r="E101" s="192">
        <f>+E100/E99</f>
        <v>0.86</v>
      </c>
      <c r="F101" s="192">
        <f>+F100/F99</f>
        <v>0.88</v>
      </c>
      <c r="G101" s="192">
        <f>+G100/G99</f>
        <v>0</v>
      </c>
      <c r="H101" s="192">
        <f>+H100/H99</f>
        <v>1</v>
      </c>
      <c r="I101" s="192">
        <f>+I100/I99</f>
        <v>1</v>
      </c>
      <c r="J101" s="240"/>
      <c r="K101" s="6"/>
    </row>
    <row r="102" spans="1:11">
      <c r="A102" s="237"/>
      <c r="B102" s="1619"/>
      <c r="C102" s="268"/>
      <c r="D102" s="1609"/>
      <c r="E102" s="1610"/>
      <c r="F102" s="1610"/>
      <c r="G102" s="1610"/>
      <c r="H102" s="1610"/>
      <c r="I102" s="1611"/>
      <c r="J102" s="240"/>
      <c r="K102" s="6"/>
    </row>
    <row r="103" spans="1:11">
      <c r="A103" s="237"/>
      <c r="B103" s="1619"/>
      <c r="C103" s="268"/>
      <c r="D103" s="1839" t="s">
        <v>955</v>
      </c>
      <c r="E103" s="1840"/>
      <c r="F103" s="1840"/>
      <c r="G103" s="1840"/>
      <c r="H103" s="1840"/>
      <c r="I103" s="1841"/>
      <c r="J103" s="240"/>
      <c r="K103" s="6"/>
    </row>
    <row r="104" spans="1:11" ht="15.75" thickBot="1">
      <c r="A104" s="237"/>
      <c r="B104" s="1619"/>
      <c r="C104" s="268"/>
      <c r="D104" s="1600"/>
      <c r="E104" s="1643"/>
      <c r="F104" s="1643"/>
      <c r="G104" s="1643"/>
      <c r="H104" s="1643"/>
      <c r="I104" s="1602"/>
      <c r="J104" s="240"/>
      <c r="K104" s="6"/>
    </row>
    <row r="105" spans="1:11" ht="15.75" thickBot="1">
      <c r="A105" s="237"/>
      <c r="B105" s="1619"/>
      <c r="C105" s="264"/>
      <c r="D105" s="411" t="s">
        <v>156</v>
      </c>
      <c r="E105" s="272" t="s">
        <v>928</v>
      </c>
      <c r="F105" s="240"/>
      <c r="G105" s="240"/>
      <c r="H105" s="240"/>
      <c r="I105" s="435"/>
      <c r="J105" s="240"/>
      <c r="K105" s="6"/>
    </row>
    <row r="106" spans="1:11" ht="24.75" thickBot="1">
      <c r="A106" s="237"/>
      <c r="B106" s="1619"/>
      <c r="C106" s="264"/>
      <c r="D106" s="416" t="s">
        <v>1788</v>
      </c>
      <c r="E106" s="149">
        <v>25</v>
      </c>
      <c r="F106" s="240"/>
      <c r="G106" s="240"/>
      <c r="H106" s="240"/>
      <c r="I106" s="435"/>
      <c r="J106" s="240"/>
      <c r="K106" s="6"/>
    </row>
    <row r="107" spans="1:11" ht="24.75" thickBot="1">
      <c r="A107" s="237"/>
      <c r="B107" s="1619"/>
      <c r="C107" s="264"/>
      <c r="D107" s="416" t="s">
        <v>1789</v>
      </c>
      <c r="E107" s="149">
        <v>25</v>
      </c>
      <c r="F107" s="240"/>
      <c r="G107" s="240"/>
      <c r="H107" s="240"/>
      <c r="I107" s="435"/>
      <c r="J107" s="240"/>
      <c r="K107" s="6"/>
    </row>
    <row r="108" spans="1:11">
      <c r="A108" s="237"/>
      <c r="B108" s="1619"/>
      <c r="C108" s="268"/>
      <c r="D108" s="1600"/>
      <c r="E108" s="1643"/>
      <c r="F108" s="1643"/>
      <c r="G108" s="1643"/>
      <c r="H108" s="1643"/>
      <c r="I108" s="1602"/>
      <c r="J108" s="240"/>
      <c r="K108" s="6"/>
    </row>
    <row r="109" spans="1:11">
      <c r="A109" s="237"/>
      <c r="B109" s="1619"/>
      <c r="C109" s="268"/>
      <c r="D109" s="1600" t="s">
        <v>956</v>
      </c>
      <c r="E109" s="1643"/>
      <c r="F109" s="1643"/>
      <c r="G109" s="1643"/>
      <c r="H109" s="1643"/>
      <c r="I109" s="1602"/>
      <c r="J109" s="240"/>
      <c r="K109" s="6"/>
    </row>
    <row r="110" spans="1:11" ht="15.75" thickBot="1">
      <c r="A110" s="237"/>
      <c r="B110" s="1619"/>
      <c r="C110" s="268"/>
      <c r="D110" s="1624"/>
      <c r="E110" s="1625"/>
      <c r="F110" s="1625"/>
      <c r="G110" s="1625"/>
      <c r="H110" s="1625"/>
      <c r="I110" s="1626"/>
      <c r="J110" s="240"/>
      <c r="K110" s="6"/>
    </row>
    <row r="111" spans="1:11" ht="15.75" thickBot="1">
      <c r="A111" s="237"/>
      <c r="B111" s="1619"/>
      <c r="C111" s="264"/>
      <c r="D111" s="411" t="s">
        <v>156</v>
      </c>
      <c r="E111" s="272" t="s">
        <v>25</v>
      </c>
      <c r="F111" s="272" t="s">
        <v>26</v>
      </c>
      <c r="G111" s="272" t="s">
        <v>27</v>
      </c>
      <c r="H111" s="272" t="s">
        <v>28</v>
      </c>
      <c r="I111" s="309" t="s">
        <v>157</v>
      </c>
      <c r="J111" s="240"/>
      <c r="K111" s="6"/>
    </row>
    <row r="112" spans="1:11" ht="36.75" thickBot="1">
      <c r="A112" s="237"/>
      <c r="B112" s="1619"/>
      <c r="C112" s="264"/>
      <c r="D112" s="416" t="s">
        <v>957</v>
      </c>
      <c r="E112" s="149">
        <v>26</v>
      </c>
      <c r="F112" s="149">
        <v>20</v>
      </c>
      <c r="G112" s="149">
        <v>18</v>
      </c>
      <c r="H112" s="149">
        <f>25+6</f>
        <v>31</v>
      </c>
      <c r="I112" s="436">
        <f>SUM(E112:H112)</f>
        <v>95</v>
      </c>
      <c r="J112" s="240"/>
      <c r="K112" s="6"/>
    </row>
    <row r="113" spans="1:11" ht="24.75" thickBot="1">
      <c r="A113" s="237"/>
      <c r="B113" s="1619"/>
      <c r="C113" s="264"/>
      <c r="D113" s="416" t="s">
        <v>958</v>
      </c>
      <c r="E113" s="149">
        <v>26</v>
      </c>
      <c r="F113" s="149">
        <v>12</v>
      </c>
      <c r="G113" s="149">
        <v>12</v>
      </c>
      <c r="H113" s="149">
        <f>4+1</f>
        <v>5</v>
      </c>
      <c r="I113" s="436">
        <f>SUM(E113:H113)</f>
        <v>55</v>
      </c>
      <c r="J113" s="240"/>
      <c r="K113" s="6"/>
    </row>
    <row r="114" spans="1:11" ht="24.75" thickBot="1">
      <c r="A114" s="237"/>
      <c r="B114" s="1620"/>
      <c r="C114" s="418"/>
      <c r="D114" s="416" t="s">
        <v>959</v>
      </c>
      <c r="E114" s="192">
        <f>+E113/E112</f>
        <v>1</v>
      </c>
      <c r="F114" s="192">
        <f>+F113/F112</f>
        <v>0.6</v>
      </c>
      <c r="G114" s="192">
        <f>+G113/G112</f>
        <v>0.67</v>
      </c>
      <c r="H114" s="192">
        <f>+H113/H112</f>
        <v>0.16</v>
      </c>
      <c r="I114" s="192">
        <f>+I113/I112</f>
        <v>0.57999999999999996</v>
      </c>
      <c r="J114" s="240"/>
      <c r="K114" s="6"/>
    </row>
    <row r="115" spans="1:11" ht="15.75" thickBot="1">
      <c r="A115" s="237"/>
      <c r="B115" s="310"/>
      <c r="C115" s="296"/>
      <c r="D115" s="240"/>
      <c r="E115" s="240"/>
      <c r="F115" s="240"/>
      <c r="G115" s="240"/>
      <c r="H115" s="240"/>
      <c r="I115" s="257"/>
      <c r="J115" s="240"/>
      <c r="K115" s="6"/>
    </row>
    <row r="116" spans="1:11" s="403" customFormat="1" ht="24.75" thickBot="1">
      <c r="A116" s="237"/>
      <c r="B116" s="310"/>
      <c r="C116" s="296"/>
      <c r="D116" s="291" t="s">
        <v>1252</v>
      </c>
      <c r="E116" s="291" t="s">
        <v>1253</v>
      </c>
      <c r="F116" s="291" t="s">
        <v>710</v>
      </c>
      <c r="G116" s="291" t="s">
        <v>1254</v>
      </c>
      <c r="H116" s="240"/>
      <c r="I116" s="257"/>
      <c r="J116" s="240"/>
      <c r="K116" s="6"/>
    </row>
    <row r="117" spans="1:11" s="403" customFormat="1" ht="24.75" thickBot="1">
      <c r="A117" s="237"/>
      <c r="B117" s="310"/>
      <c r="C117" s="296"/>
      <c r="D117" s="291" t="str">
        <f>+D24</f>
        <v>Porcentaje de licencias ambientales con seguimiento (PLACS)</v>
      </c>
      <c r="E117" s="192">
        <f>+H24</f>
        <v>0.67</v>
      </c>
      <c r="F117" s="433">
        <v>0.2</v>
      </c>
      <c r="G117" s="192">
        <f>+E117*F117</f>
        <v>0.13</v>
      </c>
      <c r="H117" s="240"/>
      <c r="I117" s="257"/>
      <c r="J117" s="240"/>
      <c r="K117" s="6"/>
    </row>
    <row r="118" spans="1:11" s="403" customFormat="1" ht="24.75" thickBot="1">
      <c r="A118" s="237"/>
      <c r="B118" s="310"/>
      <c r="C118" s="296"/>
      <c r="D118" s="291" t="str">
        <f>+D55</f>
        <v>Porcentaje de concesiones de agua con seguimiento (PCACS)</v>
      </c>
      <c r="E118" s="192">
        <f>+H55</f>
        <v>0.66</v>
      </c>
      <c r="F118" s="433">
        <v>0.2</v>
      </c>
      <c r="G118" s="192">
        <f>+E118*F118</f>
        <v>0.13</v>
      </c>
      <c r="H118" s="240"/>
      <c r="I118" s="257"/>
      <c r="J118" s="240"/>
      <c r="K118" s="6"/>
    </row>
    <row r="119" spans="1:11" s="403" customFormat="1" ht="24.75" thickBot="1">
      <c r="A119" s="237"/>
      <c r="B119" s="310"/>
      <c r="C119" s="296"/>
      <c r="D119" s="291" t="str">
        <f>+D76</f>
        <v>Porcentaje de permisos de vertimiento de agua con seguimiento (PVACS)</v>
      </c>
      <c r="E119" s="192">
        <f>+H76</f>
        <v>0.82</v>
      </c>
      <c r="F119" s="433">
        <v>0.2</v>
      </c>
      <c r="G119" s="192">
        <f>+E119*F119</f>
        <v>0.16</v>
      </c>
      <c r="H119" s="240"/>
      <c r="I119" s="257"/>
      <c r="J119" s="240"/>
      <c r="K119" s="6"/>
    </row>
    <row r="120" spans="1:11" s="403" customFormat="1" ht="36.75" thickBot="1">
      <c r="A120" s="237"/>
      <c r="B120" s="310"/>
      <c r="C120" s="296"/>
      <c r="D120" s="291" t="str">
        <f>+D94</f>
        <v>Porcentaje de permisos de aprovechamiento forestal con seguimiento (PPAFCS)</v>
      </c>
      <c r="E120" s="192">
        <f>+H94</f>
        <v>0.59</v>
      </c>
      <c r="F120" s="433">
        <v>0.2</v>
      </c>
      <c r="G120" s="192">
        <f>+E120*F120</f>
        <v>0.12</v>
      </c>
      <c r="H120" s="240"/>
      <c r="I120" s="257"/>
      <c r="J120" s="240"/>
      <c r="K120" s="6"/>
    </row>
    <row r="121" spans="1:11" s="403" customFormat="1" ht="24.75" thickBot="1">
      <c r="A121" s="237"/>
      <c r="B121" s="310"/>
      <c r="C121" s="296"/>
      <c r="D121" s="291" t="str">
        <f>+D114</f>
        <v>Porcentaje de permisos de emisiones atmosféricas con seguimiento (PEACS)</v>
      </c>
      <c r="E121" s="192">
        <f>+H114</f>
        <v>0.16</v>
      </c>
      <c r="F121" s="433">
        <v>0.2</v>
      </c>
      <c r="G121" s="192">
        <f>+E121*F121</f>
        <v>0.03</v>
      </c>
      <c r="H121" s="240"/>
      <c r="I121" s="257"/>
      <c r="J121" s="240"/>
      <c r="K121" s="6"/>
    </row>
    <row r="122" spans="1:11" s="403" customFormat="1" ht="24.75" thickBot="1">
      <c r="A122" s="237"/>
      <c r="B122" s="310"/>
      <c r="C122" s="296"/>
      <c r="D122" s="291" t="s">
        <v>1251</v>
      </c>
      <c r="E122" s="291"/>
      <c r="F122" s="434">
        <f>+Formulas!D26</f>
        <v>1</v>
      </c>
      <c r="G122" s="192">
        <f>SUM(G117:G121)</f>
        <v>0.56999999999999995</v>
      </c>
      <c r="H122" s="240"/>
      <c r="I122" s="257"/>
      <c r="J122" s="240"/>
      <c r="K122" s="6"/>
    </row>
    <row r="123" spans="1:11" s="403" customFormat="1" ht="15.75" thickBot="1">
      <c r="B123" s="38"/>
      <c r="C123" s="87"/>
      <c r="D123" s="6"/>
      <c r="E123" s="6"/>
      <c r="F123" s="6"/>
      <c r="G123" s="6"/>
      <c r="H123" s="6"/>
      <c r="I123" s="86"/>
      <c r="J123" s="6"/>
      <c r="K123" s="6"/>
    </row>
    <row r="124" spans="1:11" ht="108.75" thickBot="1">
      <c r="B124" s="53" t="s">
        <v>39</v>
      </c>
      <c r="C124" s="97"/>
      <c r="D124" s="44" t="s">
        <v>960</v>
      </c>
      <c r="E124" s="6"/>
      <c r="F124" s="6"/>
      <c r="G124" s="6"/>
      <c r="H124" s="6"/>
      <c r="I124" s="86"/>
      <c r="J124" s="6"/>
      <c r="K124" s="6"/>
    </row>
    <row r="125" spans="1:11" ht="72.75" thickBot="1">
      <c r="B125" s="48" t="s">
        <v>41</v>
      </c>
      <c r="C125" s="3"/>
      <c r="D125" s="41" t="s">
        <v>165</v>
      </c>
      <c r="E125" s="6"/>
      <c r="F125" s="6"/>
      <c r="G125" s="6"/>
      <c r="H125" s="6"/>
      <c r="I125" s="86"/>
      <c r="J125" s="6"/>
      <c r="K125" s="6"/>
    </row>
    <row r="126" spans="1:11" ht="15.75" thickBot="1">
      <c r="B126" s="2"/>
      <c r="C126" s="75"/>
      <c r="D126" s="6"/>
      <c r="E126" s="6"/>
      <c r="F126" s="6"/>
      <c r="G126" s="6"/>
      <c r="H126" s="6"/>
      <c r="I126" s="86"/>
      <c r="J126" s="6"/>
      <c r="K126" s="6"/>
    </row>
    <row r="127" spans="1:11" ht="24" customHeight="1" thickBot="1">
      <c r="B127" s="1671" t="s">
        <v>43</v>
      </c>
      <c r="C127" s="1672"/>
      <c r="D127" s="1672"/>
      <c r="E127" s="1673"/>
      <c r="F127" s="6"/>
      <c r="G127" s="6"/>
      <c r="H127" s="6"/>
      <c r="I127" s="86"/>
      <c r="J127" s="6"/>
      <c r="K127" s="6"/>
    </row>
    <row r="128" spans="1:11" ht="15.75" thickBot="1">
      <c r="B128" s="1668">
        <v>1</v>
      </c>
      <c r="C128" s="93"/>
      <c r="D128" s="49" t="s">
        <v>44</v>
      </c>
      <c r="E128" s="163"/>
      <c r="F128" s="6"/>
      <c r="G128" s="6"/>
      <c r="H128" s="6"/>
      <c r="I128" s="86"/>
      <c r="J128" s="6"/>
      <c r="K128" s="6"/>
    </row>
    <row r="129" spans="2:11" ht="15.75" thickBot="1">
      <c r="B129" s="1669"/>
      <c r="C129" s="93"/>
      <c r="D129" s="41" t="s">
        <v>45</v>
      </c>
      <c r="E129" s="163" t="s">
        <v>1635</v>
      </c>
      <c r="F129" s="6"/>
      <c r="G129" s="6"/>
      <c r="H129" s="6"/>
      <c r="I129" s="86"/>
      <c r="J129" s="6"/>
      <c r="K129" s="6"/>
    </row>
    <row r="130" spans="2:11" ht="15.75" thickBot="1">
      <c r="B130" s="1669"/>
      <c r="C130" s="93"/>
      <c r="D130" s="41" t="s">
        <v>46</v>
      </c>
      <c r="E130" s="163" t="s">
        <v>2027</v>
      </c>
      <c r="F130" s="6"/>
      <c r="G130" s="6"/>
      <c r="H130" s="6"/>
      <c r="I130" s="86"/>
      <c r="J130" s="6"/>
      <c r="K130" s="6"/>
    </row>
    <row r="131" spans="2:11" ht="15.75" thickBot="1">
      <c r="B131" s="1669"/>
      <c r="C131" s="93"/>
      <c r="D131" s="41" t="s">
        <v>47</v>
      </c>
      <c r="E131" s="163" t="s">
        <v>2028</v>
      </c>
      <c r="F131" s="6"/>
      <c r="G131" s="6"/>
      <c r="H131" s="6"/>
      <c r="I131" s="86"/>
      <c r="J131" s="6"/>
      <c r="K131" s="6"/>
    </row>
    <row r="132" spans="2:11" ht="15.75" thickBot="1">
      <c r="B132" s="1669"/>
      <c r="C132" s="93"/>
      <c r="D132" s="41" t="s">
        <v>48</v>
      </c>
      <c r="E132" s="163" t="s">
        <v>2029</v>
      </c>
      <c r="F132" s="6"/>
      <c r="G132" s="6"/>
      <c r="H132" s="6"/>
      <c r="I132" s="86"/>
      <c r="J132" s="6"/>
      <c r="K132" s="6"/>
    </row>
    <row r="133" spans="2:11" ht="15.75" thickBot="1">
      <c r="B133" s="1669"/>
      <c r="C133" s="93"/>
      <c r="D133" s="41" t="s">
        <v>49</v>
      </c>
      <c r="E133" s="163" t="s">
        <v>1664</v>
      </c>
      <c r="F133" s="6"/>
      <c r="G133" s="6"/>
      <c r="H133" s="6"/>
      <c r="I133" s="86"/>
      <c r="J133" s="6"/>
      <c r="K133" s="6"/>
    </row>
    <row r="134" spans="2:11" ht="15.75" thickBot="1">
      <c r="B134" s="1670"/>
      <c r="C134" s="3"/>
      <c r="D134" s="41" t="s">
        <v>50</v>
      </c>
      <c r="E134" s="163" t="s">
        <v>1634</v>
      </c>
      <c r="F134" s="6"/>
      <c r="G134" s="6"/>
      <c r="H134" s="6"/>
      <c r="I134" s="86"/>
      <c r="J134" s="6"/>
      <c r="K134" s="6"/>
    </row>
    <row r="135" spans="2:11" ht="15.75" thickBot="1">
      <c r="B135" s="2"/>
      <c r="C135" s="75"/>
      <c r="D135" s="6"/>
      <c r="E135" s="6"/>
      <c r="F135" s="6"/>
      <c r="G135" s="6"/>
      <c r="H135" s="6"/>
      <c r="I135" s="86"/>
      <c r="J135" s="6"/>
      <c r="K135" s="6"/>
    </row>
    <row r="136" spans="2:11" ht="15.75" thickBot="1">
      <c r="B136" s="1671" t="s">
        <v>51</v>
      </c>
      <c r="C136" s="1672"/>
      <c r="D136" s="1672"/>
      <c r="E136" s="1673"/>
      <c r="F136" s="6"/>
      <c r="G136" s="6"/>
      <c r="H136" s="6"/>
      <c r="I136" s="86"/>
      <c r="J136" s="6"/>
      <c r="K136" s="6"/>
    </row>
    <row r="137" spans="2:11" ht="15.75" thickBot="1">
      <c r="B137" s="1668">
        <v>1</v>
      </c>
      <c r="C137" s="93"/>
      <c r="D137" s="49" t="s">
        <v>44</v>
      </c>
      <c r="E137" s="422" t="s">
        <v>52</v>
      </c>
      <c r="F137" s="6"/>
      <c r="G137" s="6"/>
      <c r="H137" s="6"/>
      <c r="I137" s="86"/>
      <c r="J137" s="6"/>
      <c r="K137" s="6"/>
    </row>
    <row r="138" spans="2:11" ht="15.75" thickBot="1">
      <c r="B138" s="1669"/>
      <c r="C138" s="93"/>
      <c r="D138" s="41" t="s">
        <v>45</v>
      </c>
      <c r="E138" s="422" t="s">
        <v>166</v>
      </c>
      <c r="F138" s="6"/>
      <c r="G138" s="6"/>
      <c r="H138" s="6"/>
      <c r="I138" s="86"/>
      <c r="J138" s="6"/>
      <c r="K138" s="6"/>
    </row>
    <row r="139" spans="2:11" ht="15.75" thickBot="1">
      <c r="B139" s="1669"/>
      <c r="C139" s="93"/>
      <c r="D139" s="41" t="s">
        <v>46</v>
      </c>
      <c r="E139" s="168"/>
      <c r="F139" s="6"/>
      <c r="G139" s="6"/>
      <c r="H139" s="6"/>
      <c r="I139" s="86"/>
      <c r="J139" s="6"/>
      <c r="K139" s="6"/>
    </row>
    <row r="140" spans="2:11" ht="15.75" thickBot="1">
      <c r="B140" s="1669"/>
      <c r="C140" s="93"/>
      <c r="D140" s="41" t="s">
        <v>47</v>
      </c>
      <c r="E140" s="168"/>
      <c r="F140" s="6"/>
      <c r="G140" s="6"/>
      <c r="H140" s="6"/>
      <c r="I140" s="86"/>
      <c r="J140" s="6"/>
      <c r="K140" s="6"/>
    </row>
    <row r="141" spans="2:11" ht="15.75" thickBot="1">
      <c r="B141" s="1669"/>
      <c r="C141" s="93"/>
      <c r="D141" s="41" t="s">
        <v>48</v>
      </c>
      <c r="E141" s="168"/>
      <c r="F141" s="6"/>
      <c r="G141" s="6"/>
      <c r="H141" s="6"/>
      <c r="I141" s="86"/>
      <c r="J141" s="6"/>
      <c r="K141" s="6"/>
    </row>
    <row r="142" spans="2:11" ht="15.75" thickBot="1">
      <c r="B142" s="1669"/>
      <c r="C142" s="93"/>
      <c r="D142" s="41" t="s">
        <v>49</v>
      </c>
      <c r="E142" s="168"/>
      <c r="F142" s="6"/>
      <c r="G142" s="6"/>
      <c r="H142" s="6"/>
      <c r="I142" s="86"/>
      <c r="J142" s="6"/>
      <c r="K142" s="6"/>
    </row>
    <row r="143" spans="2:11" ht="15.75" thickBot="1">
      <c r="B143" s="1670"/>
      <c r="C143" s="3"/>
      <c r="D143" s="41" t="s">
        <v>50</v>
      </c>
      <c r="E143" s="168"/>
      <c r="F143" s="6"/>
      <c r="G143" s="6"/>
      <c r="H143" s="6"/>
      <c r="I143" s="86"/>
      <c r="J143" s="6"/>
      <c r="K143" s="6"/>
    </row>
    <row r="144" spans="2:11" ht="15.75" thickBot="1">
      <c r="B144" s="2"/>
      <c r="C144" s="75"/>
      <c r="D144" s="6"/>
      <c r="E144" s="6"/>
      <c r="F144" s="6"/>
      <c r="G144" s="6"/>
      <c r="H144" s="6"/>
      <c r="I144" s="86"/>
      <c r="J144" s="6"/>
      <c r="K144" s="6"/>
    </row>
    <row r="145" spans="2:11" ht="15" customHeight="1" thickBot="1">
      <c r="B145" s="167" t="s">
        <v>54</v>
      </c>
      <c r="C145" s="124"/>
      <c r="D145" s="124"/>
      <c r="E145" s="125"/>
      <c r="G145" s="6"/>
      <c r="H145" s="6"/>
      <c r="I145" s="86"/>
      <c r="J145" s="6"/>
      <c r="K145" s="6"/>
    </row>
    <row r="146" spans="2:11" ht="24.75" thickBot="1">
      <c r="B146" s="48" t="s">
        <v>55</v>
      </c>
      <c r="C146" s="41" t="s">
        <v>56</v>
      </c>
      <c r="D146" s="41" t="s">
        <v>57</v>
      </c>
      <c r="E146" s="41" t="s">
        <v>58</v>
      </c>
      <c r="F146" s="6"/>
      <c r="G146" s="6"/>
      <c r="H146" s="6"/>
      <c r="I146" s="86"/>
      <c r="J146" s="6"/>
    </row>
    <row r="147" spans="2:11" ht="60.75" thickBot="1">
      <c r="B147" s="50">
        <v>42401</v>
      </c>
      <c r="C147" s="41">
        <v>0.01</v>
      </c>
      <c r="D147" s="51" t="s">
        <v>961</v>
      </c>
      <c r="E147" s="41"/>
      <c r="F147" s="6"/>
      <c r="G147" s="6"/>
      <c r="H147" s="6"/>
      <c r="I147" s="86"/>
      <c r="J147" s="6"/>
    </row>
    <row r="148" spans="2:11" ht="15.75" thickBot="1">
      <c r="B148" s="4"/>
      <c r="C148" s="94"/>
      <c r="D148" s="6"/>
      <c r="E148" s="6"/>
      <c r="F148" s="6"/>
      <c r="G148" s="6"/>
      <c r="H148" s="6"/>
      <c r="I148" s="86"/>
      <c r="J148" s="6"/>
      <c r="K148" s="6"/>
    </row>
    <row r="149" spans="2:11" ht="15.75" thickBot="1">
      <c r="B149" s="431" t="s">
        <v>60</v>
      </c>
      <c r="C149" s="95"/>
      <c r="D149" s="6"/>
      <c r="E149" s="6"/>
      <c r="F149" s="6"/>
      <c r="G149" s="6"/>
      <c r="H149" s="6"/>
      <c r="I149" s="86"/>
      <c r="J149" s="6"/>
      <c r="K149" s="6"/>
    </row>
    <row r="150" spans="2:11" ht="63" customHeight="1" thickBot="1">
      <c r="B150" s="1842"/>
      <c r="C150" s="1843"/>
      <c r="D150" s="1843"/>
      <c r="E150" s="1844"/>
      <c r="F150" s="6"/>
      <c r="G150" s="6"/>
      <c r="H150" s="6"/>
      <c r="I150" s="86"/>
      <c r="J150" s="6"/>
      <c r="K150" s="6"/>
    </row>
    <row r="151" spans="2:11" ht="15.75" thickBot="1">
      <c r="B151" s="6"/>
      <c r="D151" s="6"/>
      <c r="E151" s="6"/>
      <c r="F151" s="6"/>
      <c r="G151" s="6"/>
      <c r="H151" s="6"/>
      <c r="I151" s="86"/>
      <c r="J151" s="6"/>
      <c r="K151" s="6"/>
    </row>
    <row r="152" spans="2:11" ht="24.75" thickBot="1">
      <c r="B152" s="52" t="s">
        <v>61</v>
      </c>
      <c r="C152" s="96"/>
      <c r="D152" s="6"/>
      <c r="E152" s="6"/>
      <c r="F152" s="6"/>
      <c r="G152" s="6"/>
      <c r="H152" s="6"/>
      <c r="I152" s="86"/>
      <c r="J152" s="6"/>
      <c r="K152" s="6"/>
    </row>
    <row r="153" spans="2:11" ht="15.75" thickBot="1">
      <c r="B153" s="2" t="s">
        <v>898</v>
      </c>
      <c r="C153" s="75"/>
      <c r="D153" s="6"/>
      <c r="E153" s="6"/>
      <c r="F153" s="6"/>
      <c r="G153" s="6"/>
      <c r="H153" s="6"/>
      <c r="I153" s="86"/>
      <c r="J153" s="6"/>
      <c r="K153" s="6"/>
    </row>
    <row r="154" spans="2:11" ht="60.75" thickBot="1">
      <c r="B154" s="53" t="s">
        <v>62</v>
      </c>
      <c r="C154" s="97"/>
      <c r="D154" s="44" t="s">
        <v>899</v>
      </c>
      <c r="E154" s="6"/>
      <c r="F154" s="6"/>
      <c r="G154" s="6"/>
      <c r="H154" s="6"/>
      <c r="I154" s="86"/>
      <c r="J154" s="6"/>
      <c r="K154" s="6"/>
    </row>
    <row r="155" spans="2:11">
      <c r="B155" s="1668" t="s">
        <v>64</v>
      </c>
      <c r="C155" s="93"/>
      <c r="D155" s="54" t="s">
        <v>65</v>
      </c>
      <c r="E155" s="6"/>
      <c r="F155" s="6"/>
      <c r="G155" s="6"/>
      <c r="H155" s="6"/>
      <c r="I155" s="86"/>
      <c r="J155" s="6"/>
      <c r="K155" s="6"/>
    </row>
    <row r="156" spans="2:11" ht="108">
      <c r="B156" s="1669"/>
      <c r="C156" s="93"/>
      <c r="D156" s="47" t="s">
        <v>900</v>
      </c>
      <c r="E156" s="6"/>
      <c r="F156" s="6"/>
      <c r="G156" s="6"/>
      <c r="H156" s="6"/>
      <c r="I156" s="86"/>
      <c r="J156" s="6"/>
      <c r="K156" s="6"/>
    </row>
    <row r="157" spans="2:11">
      <c r="B157" s="1669"/>
      <c r="C157" s="93"/>
      <c r="D157" s="54" t="s">
        <v>139</v>
      </c>
      <c r="E157" s="6"/>
      <c r="F157" s="6"/>
      <c r="G157" s="6"/>
      <c r="H157" s="6"/>
      <c r="I157" s="86"/>
      <c r="J157" s="6"/>
      <c r="K157" s="6"/>
    </row>
    <row r="158" spans="2:11">
      <c r="B158" s="1669"/>
      <c r="C158" s="93"/>
      <c r="D158" s="47" t="s">
        <v>69</v>
      </c>
      <c r="E158" s="6"/>
      <c r="F158" s="6"/>
      <c r="G158" s="6"/>
      <c r="H158" s="6"/>
      <c r="I158" s="86"/>
      <c r="J158" s="6"/>
      <c r="K158" s="6"/>
    </row>
    <row r="159" spans="2:11">
      <c r="B159" s="1669"/>
      <c r="C159" s="93"/>
      <c r="D159" s="47" t="s">
        <v>70</v>
      </c>
      <c r="E159" s="6"/>
      <c r="F159" s="6"/>
      <c r="G159" s="6"/>
      <c r="H159" s="6"/>
      <c r="I159" s="86"/>
      <c r="J159" s="6"/>
      <c r="K159" s="6"/>
    </row>
    <row r="160" spans="2:11">
      <c r="B160" s="1669"/>
      <c r="C160" s="93"/>
      <c r="D160" s="47" t="s">
        <v>858</v>
      </c>
      <c r="E160" s="6"/>
      <c r="F160" s="6"/>
      <c r="G160" s="6"/>
      <c r="H160" s="6"/>
      <c r="I160" s="86"/>
      <c r="J160" s="6"/>
      <c r="K160" s="6"/>
    </row>
    <row r="161" spans="2:11" ht="36.75" thickBot="1">
      <c r="B161" s="1670"/>
      <c r="C161" s="3"/>
      <c r="D161" s="41" t="s">
        <v>901</v>
      </c>
      <c r="E161" s="6"/>
      <c r="F161" s="6"/>
      <c r="G161" s="6"/>
      <c r="H161" s="6"/>
      <c r="I161" s="86"/>
      <c r="J161" s="6"/>
      <c r="K161" s="6"/>
    </row>
    <row r="162" spans="2:11" ht="24.75" thickBot="1">
      <c r="B162" s="48" t="s">
        <v>77</v>
      </c>
      <c r="C162" s="3"/>
      <c r="D162" s="41"/>
      <c r="E162" s="6"/>
      <c r="F162" s="6"/>
      <c r="G162" s="6"/>
      <c r="H162" s="6"/>
      <c r="I162" s="86"/>
      <c r="J162" s="6"/>
      <c r="K162" s="6"/>
    </row>
    <row r="163" spans="2:11" ht="312">
      <c r="B163" s="1668" t="s">
        <v>78</v>
      </c>
      <c r="C163" s="93"/>
      <c r="D163" s="47" t="s">
        <v>902</v>
      </c>
      <c r="E163" s="6"/>
      <c r="F163" s="6"/>
      <c r="G163" s="6"/>
      <c r="H163" s="6"/>
      <c r="I163" s="86"/>
      <c r="J163" s="6"/>
      <c r="K163" s="6"/>
    </row>
    <row r="164" spans="2:11" ht="324">
      <c r="B164" s="1669"/>
      <c r="C164" s="93"/>
      <c r="D164" s="47" t="s">
        <v>903</v>
      </c>
      <c r="E164" s="6"/>
      <c r="F164" s="6"/>
      <c r="G164" s="6"/>
      <c r="H164" s="6"/>
      <c r="I164" s="86"/>
      <c r="J164" s="6"/>
      <c r="K164" s="6"/>
    </row>
    <row r="165" spans="2:11" ht="108">
      <c r="B165" s="1669"/>
      <c r="C165" s="93"/>
      <c r="D165" s="47" t="s">
        <v>904</v>
      </c>
      <c r="E165" s="6"/>
      <c r="F165" s="6"/>
      <c r="G165" s="6"/>
      <c r="H165" s="6"/>
      <c r="I165" s="86"/>
      <c r="J165" s="6"/>
      <c r="K165" s="6"/>
    </row>
    <row r="166" spans="2:11" ht="72.75" thickBot="1">
      <c r="B166" s="1670"/>
      <c r="C166" s="3"/>
      <c r="D166" s="41" t="s">
        <v>905</v>
      </c>
      <c r="E166" s="6"/>
      <c r="F166" s="6"/>
      <c r="G166" s="6"/>
      <c r="H166" s="6"/>
      <c r="I166" s="86"/>
      <c r="J166" s="6"/>
      <c r="K166" s="6"/>
    </row>
    <row r="167" spans="2:11" ht="24">
      <c r="B167" s="1668" t="s">
        <v>95</v>
      </c>
      <c r="C167" s="93"/>
      <c r="D167" s="54" t="s">
        <v>897</v>
      </c>
      <c r="E167" s="6"/>
      <c r="F167" s="6"/>
      <c r="G167" s="6"/>
      <c r="H167" s="6"/>
      <c r="I167" s="86"/>
      <c r="J167" s="6"/>
      <c r="K167" s="6"/>
    </row>
    <row r="168" spans="2:11">
      <c r="B168" s="1669"/>
      <c r="C168" s="93"/>
      <c r="D168" s="17"/>
      <c r="E168" s="6"/>
      <c r="F168" s="6"/>
      <c r="G168" s="6"/>
      <c r="H168" s="6"/>
      <c r="I168" s="86"/>
      <c r="J168" s="6"/>
      <c r="K168" s="6"/>
    </row>
    <row r="169" spans="2:11">
      <c r="B169" s="1669"/>
      <c r="C169" s="93"/>
      <c r="D169" s="47" t="s">
        <v>96</v>
      </c>
      <c r="E169" s="6"/>
      <c r="F169" s="6"/>
      <c r="G169" s="6"/>
      <c r="H169" s="6"/>
      <c r="I169" s="86"/>
      <c r="J169" s="6"/>
      <c r="K169" s="6"/>
    </row>
    <row r="170" spans="2:11" ht="37.5">
      <c r="B170" s="1669"/>
      <c r="C170" s="93"/>
      <c r="D170" s="47" t="s">
        <v>906</v>
      </c>
      <c r="E170" s="6"/>
      <c r="F170" s="6"/>
      <c r="G170" s="6"/>
      <c r="H170" s="6"/>
      <c r="I170" s="86"/>
      <c r="J170" s="6"/>
      <c r="K170" s="6"/>
    </row>
    <row r="171" spans="2:11" ht="37.5">
      <c r="B171" s="1669"/>
      <c r="C171" s="93"/>
      <c r="D171" s="47" t="s">
        <v>907</v>
      </c>
      <c r="E171" s="6"/>
      <c r="F171" s="6"/>
      <c r="G171" s="6"/>
      <c r="H171" s="6"/>
      <c r="I171" s="86"/>
      <c r="J171" s="6"/>
      <c r="K171" s="6"/>
    </row>
    <row r="172" spans="2:11" ht="60">
      <c r="B172" s="1669"/>
      <c r="C172" s="93"/>
      <c r="D172" s="47" t="s">
        <v>908</v>
      </c>
      <c r="E172" s="6"/>
      <c r="F172" s="6"/>
      <c r="G172" s="6"/>
      <c r="H172" s="6"/>
      <c r="I172" s="86"/>
      <c r="J172" s="6"/>
      <c r="K172" s="6"/>
    </row>
    <row r="173" spans="2:11" ht="97.5">
      <c r="B173" s="1669"/>
      <c r="C173" s="93"/>
      <c r="D173" s="47" t="s">
        <v>909</v>
      </c>
      <c r="E173" s="6"/>
      <c r="F173" s="6"/>
      <c r="G173" s="6"/>
      <c r="H173" s="6"/>
      <c r="I173" s="86"/>
      <c r="J173" s="6"/>
      <c r="K173" s="6"/>
    </row>
    <row r="174" spans="2:11" ht="24">
      <c r="B174" s="1669"/>
      <c r="C174" s="93"/>
      <c r="D174" s="54" t="s">
        <v>910</v>
      </c>
      <c r="E174" s="6"/>
      <c r="F174" s="6"/>
      <c r="G174" s="6"/>
      <c r="H174" s="6"/>
      <c r="I174" s="86"/>
      <c r="J174" s="6"/>
      <c r="K174" s="6"/>
    </row>
    <row r="175" spans="2:11">
      <c r="B175" s="1669"/>
      <c r="C175" s="93"/>
      <c r="D175" s="17"/>
      <c r="E175" s="6"/>
      <c r="F175" s="6"/>
      <c r="G175" s="6"/>
      <c r="H175" s="6"/>
      <c r="I175" s="86"/>
      <c r="J175" s="6"/>
      <c r="K175" s="6"/>
    </row>
    <row r="176" spans="2:11">
      <c r="B176" s="1669"/>
      <c r="C176" s="93"/>
      <c r="D176" s="47" t="s">
        <v>96</v>
      </c>
      <c r="E176" s="6"/>
      <c r="F176" s="6"/>
      <c r="G176" s="6"/>
      <c r="H176" s="6"/>
      <c r="I176" s="86"/>
      <c r="J176" s="6"/>
      <c r="K176" s="6"/>
    </row>
    <row r="177" spans="2:11" ht="37.5">
      <c r="B177" s="1669"/>
      <c r="C177" s="93"/>
      <c r="D177" s="47" t="s">
        <v>911</v>
      </c>
      <c r="E177" s="6"/>
      <c r="F177" s="6"/>
      <c r="G177" s="6"/>
      <c r="H177" s="6"/>
      <c r="I177" s="86"/>
      <c r="J177" s="6"/>
      <c r="K177" s="6"/>
    </row>
    <row r="178" spans="2:11" ht="37.5">
      <c r="B178" s="1669"/>
      <c r="C178" s="93"/>
      <c r="D178" s="47" t="s">
        <v>912</v>
      </c>
      <c r="E178" s="6"/>
      <c r="F178" s="6"/>
      <c r="G178" s="6"/>
      <c r="H178" s="6"/>
      <c r="I178" s="86"/>
      <c r="J178" s="6"/>
      <c r="K178" s="6"/>
    </row>
    <row r="179" spans="2:11" ht="37.5">
      <c r="B179" s="1669"/>
      <c r="C179" s="93"/>
      <c r="D179" s="47" t="s">
        <v>913</v>
      </c>
      <c r="E179" s="6"/>
      <c r="F179" s="6"/>
      <c r="G179" s="6"/>
      <c r="H179" s="6"/>
      <c r="I179" s="86"/>
      <c r="J179" s="6"/>
      <c r="K179" s="6"/>
    </row>
    <row r="180" spans="2:11" ht="60">
      <c r="B180" s="1669"/>
      <c r="C180" s="93"/>
      <c r="D180" s="47" t="s">
        <v>908</v>
      </c>
      <c r="E180" s="6"/>
      <c r="F180" s="6"/>
      <c r="G180" s="6"/>
      <c r="H180" s="6"/>
      <c r="I180" s="86"/>
      <c r="J180" s="6"/>
      <c r="K180" s="6"/>
    </row>
    <row r="181" spans="2:11" ht="60.75" thickBot="1">
      <c r="B181" s="1670"/>
      <c r="C181" s="3"/>
      <c r="D181" s="41" t="s">
        <v>914</v>
      </c>
      <c r="E181" s="6"/>
      <c r="F181" s="6"/>
      <c r="G181" s="6"/>
      <c r="H181" s="6"/>
      <c r="I181" s="86"/>
      <c r="J181" s="6"/>
      <c r="K181" s="6"/>
    </row>
    <row r="182" spans="2:11">
      <c r="B182" s="6"/>
      <c r="D182" s="6"/>
      <c r="E182" s="6"/>
      <c r="F182" s="6"/>
      <c r="G182" s="6"/>
      <c r="H182" s="6"/>
      <c r="I182" s="86"/>
      <c r="J182" s="6"/>
      <c r="K182" s="6"/>
    </row>
    <row r="183" spans="2:11">
      <c r="B183" s="6"/>
      <c r="D183" s="6"/>
      <c r="E183" s="6"/>
      <c r="F183" s="6"/>
      <c r="G183" s="6"/>
      <c r="H183" s="6"/>
      <c r="I183" s="86"/>
      <c r="J183" s="6"/>
      <c r="K183" s="6"/>
    </row>
    <row r="184" spans="2:11">
      <c r="B184" s="6"/>
      <c r="D184" s="6"/>
      <c r="E184" s="6"/>
      <c r="F184" s="6"/>
      <c r="G184" s="6"/>
      <c r="H184" s="6"/>
      <c r="I184" s="86"/>
      <c r="J184" s="6"/>
      <c r="K184" s="6"/>
    </row>
    <row r="185" spans="2:11">
      <c r="B185" s="6"/>
      <c r="D185" s="6"/>
      <c r="E185" s="6"/>
      <c r="F185" s="6"/>
      <c r="G185" s="6"/>
      <c r="H185" s="6"/>
      <c r="I185" s="86"/>
      <c r="J185" s="6"/>
      <c r="K185" s="6"/>
    </row>
    <row r="186" spans="2:11">
      <c r="B186" s="6"/>
      <c r="D186" s="6"/>
      <c r="E186" s="6"/>
      <c r="F186" s="6"/>
      <c r="G186" s="6"/>
      <c r="H186" s="6"/>
      <c r="I186" s="86"/>
      <c r="J186" s="6"/>
      <c r="K186" s="6"/>
    </row>
    <row r="187" spans="2:11">
      <c r="B187" s="6"/>
      <c r="D187" s="6"/>
      <c r="E187" s="6"/>
      <c r="F187" s="6"/>
      <c r="G187" s="6"/>
      <c r="H187" s="6"/>
      <c r="I187" s="86"/>
      <c r="J187" s="6"/>
      <c r="K187" s="6"/>
    </row>
    <row r="188" spans="2:11">
      <c r="B188" s="6"/>
      <c r="D188" s="6"/>
      <c r="E188" s="6"/>
      <c r="F188" s="6"/>
      <c r="G188" s="6"/>
      <c r="H188" s="6"/>
      <c r="I188" s="86"/>
      <c r="J188" s="6"/>
      <c r="K188" s="6"/>
    </row>
    <row r="189" spans="2:11">
      <c r="B189" s="6"/>
      <c r="D189" s="6"/>
      <c r="E189" s="6"/>
      <c r="F189" s="6"/>
      <c r="G189" s="6"/>
      <c r="H189" s="6"/>
      <c r="I189" s="86"/>
      <c r="J189" s="6"/>
      <c r="K189" s="6"/>
    </row>
    <row r="190" spans="2:11">
      <c r="B190" s="6"/>
      <c r="D190" s="6"/>
      <c r="E190" s="6"/>
      <c r="F190" s="6"/>
      <c r="G190" s="6"/>
      <c r="H190" s="6"/>
      <c r="I190" s="86"/>
      <c r="J190" s="6"/>
      <c r="K190" s="6"/>
    </row>
    <row r="191" spans="2:11">
      <c r="B191" s="6"/>
      <c r="D191" s="6"/>
      <c r="E191" s="6"/>
      <c r="F191" s="6"/>
      <c r="G191" s="6"/>
      <c r="H191" s="6"/>
      <c r="I191" s="86"/>
      <c r="J191" s="6"/>
      <c r="K191" s="6"/>
    </row>
    <row r="192" spans="2:11">
      <c r="B192" s="6"/>
      <c r="D192" s="6"/>
      <c r="E192" s="6"/>
      <c r="F192" s="6"/>
      <c r="G192" s="6"/>
      <c r="H192" s="6"/>
      <c r="I192" s="86"/>
      <c r="J192" s="6"/>
      <c r="K192" s="6"/>
    </row>
    <row r="193" spans="2:11">
      <c r="B193" s="6"/>
      <c r="D193" s="6"/>
      <c r="E193" s="6"/>
      <c r="F193" s="6"/>
      <c r="G193" s="6"/>
      <c r="H193" s="6"/>
      <c r="I193" s="86"/>
      <c r="J193" s="6"/>
      <c r="K193" s="6"/>
    </row>
    <row r="194" spans="2:11">
      <c r="B194" s="6"/>
      <c r="D194" s="6"/>
      <c r="E194" s="6"/>
      <c r="F194" s="6"/>
      <c r="G194" s="6"/>
      <c r="H194" s="6"/>
      <c r="I194" s="86"/>
      <c r="J194" s="6"/>
      <c r="K194" s="6"/>
    </row>
    <row r="195" spans="2:11">
      <c r="B195" s="6"/>
      <c r="D195" s="6"/>
      <c r="E195" s="6"/>
      <c r="F195" s="6"/>
      <c r="G195" s="6"/>
      <c r="H195" s="6"/>
      <c r="I195" s="86"/>
      <c r="J195" s="6"/>
      <c r="K195" s="6"/>
    </row>
    <row r="196" spans="2:11">
      <c r="B196" s="6"/>
      <c r="D196" s="6"/>
      <c r="E196" s="6"/>
      <c r="F196" s="6"/>
      <c r="G196" s="6"/>
      <c r="H196" s="6"/>
      <c r="I196" s="86"/>
      <c r="J196" s="6"/>
      <c r="K196" s="6"/>
    </row>
    <row r="197" spans="2:11">
      <c r="B197" s="6"/>
      <c r="D197" s="6"/>
      <c r="E197" s="6"/>
      <c r="F197" s="6"/>
      <c r="G197" s="6"/>
      <c r="H197" s="6"/>
      <c r="I197" s="86"/>
      <c r="J197" s="6"/>
      <c r="K197" s="6"/>
    </row>
  </sheetData>
  <sheetProtection sheet="1" objects="1" scenarios="1"/>
  <mergeCells count="59">
    <mergeCell ref="A1:P1"/>
    <mergeCell ref="A2:P2"/>
    <mergeCell ref="A3:P3"/>
    <mergeCell ref="A4:D4"/>
    <mergeCell ref="A5:P5"/>
    <mergeCell ref="B10:D10"/>
    <mergeCell ref="F10:S10"/>
    <mergeCell ref="F11:S11"/>
    <mergeCell ref="E12:R12"/>
    <mergeCell ref="E13:R13"/>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D84:I84"/>
    <mergeCell ref="D85:I85"/>
    <mergeCell ref="D89:I89"/>
    <mergeCell ref="D90:I90"/>
    <mergeCell ref="D79:I79"/>
    <mergeCell ref="D95:I95"/>
    <mergeCell ref="D96:I96"/>
    <mergeCell ref="D97:I97"/>
    <mergeCell ref="D102:I102"/>
    <mergeCell ref="B136:E136"/>
    <mergeCell ref="B137:B143"/>
    <mergeCell ref="D104:I104"/>
    <mergeCell ref="D108:I108"/>
    <mergeCell ref="D109:I109"/>
    <mergeCell ref="D110:I110"/>
    <mergeCell ref="B127:E127"/>
    <mergeCell ref="B128:B134"/>
  </mergeCells>
  <conditionalFormatting sqref="F122">
    <cfRule type="containsText" dxfId="38" priority="5" operator="containsText" text="ERROR">
      <formula>NOT(ISERROR(SEARCH("ERROR",F122)))</formula>
    </cfRule>
  </conditionalFormatting>
  <conditionalFormatting sqref="F10">
    <cfRule type="notContainsBlanks" dxfId="37" priority="4">
      <formula>LEN(TRIM(F10))&gt;0</formula>
    </cfRule>
  </conditionalFormatting>
  <conditionalFormatting sqref="F11:S11">
    <cfRule type="expression" dxfId="36" priority="2">
      <formula>E11="NO SE REPORTA"</formula>
    </cfRule>
    <cfRule type="expression" dxfId="35" priority="3">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06:E107 E18:E19 E99:H100 E46:E48 E22:H23 E53:H54 E60:H61 E74:H75 E81:H82 E87:E88 E112:H113 E92:H93 E29:H40 E67:E69">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3622047244094491" right="0.23622047244094491" top="0.74803149606299213" bottom="0.74803149606299213" header="0.31496062992125984" footer="0.31496062992125984"/>
  <pageSetup paperSize="178"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topLeftCell="D16" zoomScale="190" zoomScaleNormal="190" workbookViewId="0">
      <selection activeCell="H18" sqref="H18"/>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962</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6"/>
    </row>
    <row r="7" spans="1:21" ht="15.75" thickBot="1">
      <c r="A7" s="237"/>
      <c r="B7" s="243"/>
      <c r="C7" s="244"/>
      <c r="D7" s="240"/>
      <c r="E7" s="245"/>
      <c r="F7" s="240" t="s">
        <v>134</v>
      </c>
      <c r="G7" s="240"/>
      <c r="H7" s="240"/>
      <c r="I7" s="240"/>
      <c r="J7" s="240"/>
      <c r="K7" s="6"/>
    </row>
    <row r="8" spans="1:21" ht="15.75" thickBot="1">
      <c r="A8" s="237"/>
      <c r="B8" s="253" t="s">
        <v>1203</v>
      </c>
      <c r="C8" s="254">
        <v>2018</v>
      </c>
      <c r="D8" s="249">
        <f>IF(E10="NO APLICA","NO APLICA",IF(E11="NO SE REPORTA","SIN INFORMACION",+H21))</f>
        <v>0.01</v>
      </c>
      <c r="E8" s="256"/>
      <c r="F8" s="240" t="s">
        <v>135</v>
      </c>
      <c r="G8" s="240"/>
      <c r="H8" s="240"/>
      <c r="I8" s="240"/>
      <c r="J8" s="240"/>
      <c r="K8" s="6"/>
    </row>
    <row r="9" spans="1:21">
      <c r="A9" s="237"/>
      <c r="B9" s="483" t="s">
        <v>1204</v>
      </c>
      <c r="C9" s="257"/>
      <c r="D9" s="240"/>
      <c r="E9" s="240"/>
      <c r="F9" s="240"/>
      <c r="G9" s="240"/>
      <c r="H9" s="240"/>
      <c r="I9" s="240"/>
      <c r="J9" s="240"/>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Gestión'!E80:H80</f>
        <v>Proyecto No. 6.1.  (13). Evaluación, Seguimiento, Monitoreo y Control de la calidad de los recursos naturales y la biodiversidad.</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1826</v>
      </c>
      <c r="F13" s="1593"/>
      <c r="G13" s="1593"/>
      <c r="H13" s="1593"/>
      <c r="I13" s="1593"/>
      <c r="J13" s="1593"/>
      <c r="K13" s="1593"/>
      <c r="L13" s="1593"/>
      <c r="M13" s="1593"/>
      <c r="N13" s="1593"/>
      <c r="O13" s="1593"/>
      <c r="P13" s="1593"/>
      <c r="Q13" s="1593"/>
      <c r="R13" s="1594"/>
    </row>
    <row r="14" spans="1:21" s="403" customFormat="1" ht="6.95" customHeight="1" thickBot="1">
      <c r="A14" s="237"/>
      <c r="B14" s="483"/>
      <c r="C14" s="257"/>
      <c r="D14" s="240"/>
      <c r="E14" s="240"/>
      <c r="F14" s="240"/>
      <c r="G14" s="240"/>
      <c r="H14" s="240"/>
      <c r="I14" s="240"/>
      <c r="J14" s="240"/>
      <c r="K14" s="6"/>
    </row>
    <row r="15" spans="1:21">
      <c r="A15" s="237"/>
      <c r="B15" s="1618" t="s">
        <v>2</v>
      </c>
      <c r="C15" s="260"/>
      <c r="D15" s="1609"/>
      <c r="E15" s="1610"/>
      <c r="F15" s="1610"/>
      <c r="G15" s="1610"/>
      <c r="H15" s="1610"/>
      <c r="I15" s="1611"/>
      <c r="J15" s="240"/>
      <c r="K15" s="6"/>
    </row>
    <row r="16" spans="1:21" ht="15.75" thickBot="1">
      <c r="A16" s="237"/>
      <c r="B16" s="1619"/>
      <c r="C16" s="268"/>
      <c r="D16" s="1624" t="s">
        <v>3</v>
      </c>
      <c r="E16" s="1625"/>
      <c r="F16" s="1625"/>
      <c r="G16" s="1625"/>
      <c r="H16" s="1625"/>
      <c r="I16" s="1626"/>
      <c r="J16" s="240"/>
      <c r="K16" s="6"/>
    </row>
    <row r="17" spans="1:11" ht="15.75" thickBot="1">
      <c r="A17" s="237"/>
      <c r="B17" s="1619"/>
      <c r="C17" s="264"/>
      <c r="D17" s="411" t="s">
        <v>156</v>
      </c>
      <c r="E17" s="272" t="s">
        <v>25</v>
      </c>
      <c r="F17" s="272" t="s">
        <v>26</v>
      </c>
      <c r="G17" s="272" t="s">
        <v>27</v>
      </c>
      <c r="H17" s="272" t="s">
        <v>28</v>
      </c>
      <c r="I17" s="272" t="s">
        <v>157</v>
      </c>
      <c r="J17" s="240"/>
      <c r="K17" s="6"/>
    </row>
    <row r="18" spans="1:11" ht="36.75" thickBot="1">
      <c r="A18" s="237"/>
      <c r="B18" s="1619"/>
      <c r="C18" s="264"/>
      <c r="D18" s="416" t="s">
        <v>977</v>
      </c>
      <c r="E18" s="957">
        <v>29</v>
      </c>
      <c r="F18" s="957">
        <v>186</v>
      </c>
      <c r="G18" s="957">
        <f>65+147</f>
        <v>212</v>
      </c>
      <c r="H18" s="957">
        <v>314</v>
      </c>
      <c r="I18" s="1068">
        <f>SUM(E18:H18)</f>
        <v>741</v>
      </c>
      <c r="J18" s="240"/>
      <c r="K18" s="6"/>
    </row>
    <row r="19" spans="1:11" ht="36.75" thickBot="1">
      <c r="A19" s="237"/>
      <c r="B19" s="1619"/>
      <c r="C19" s="264"/>
      <c r="D19" s="416" t="s">
        <v>978</v>
      </c>
      <c r="E19" s="957">
        <v>14</v>
      </c>
      <c r="F19" s="957">
        <v>20</v>
      </c>
      <c r="G19" s="957">
        <f>6+10</f>
        <v>16</v>
      </c>
      <c r="H19" s="957">
        <v>0</v>
      </c>
      <c r="I19" s="1068">
        <f>SUM(E19:H19)</f>
        <v>50</v>
      </c>
      <c r="J19" s="240"/>
      <c r="K19" s="6"/>
    </row>
    <row r="20" spans="1:11" ht="36.75" thickBot="1">
      <c r="A20" s="237"/>
      <c r="B20" s="1619"/>
      <c r="C20" s="264"/>
      <c r="D20" s="416" t="s">
        <v>979</v>
      </c>
      <c r="E20" s="957">
        <v>0</v>
      </c>
      <c r="F20" s="957">
        <v>0</v>
      </c>
      <c r="G20" s="957">
        <v>0</v>
      </c>
      <c r="H20" s="957">
        <v>3</v>
      </c>
      <c r="I20" s="1068">
        <f>SUM(E20:H20)</f>
        <v>3</v>
      </c>
      <c r="J20" s="240"/>
      <c r="K20" s="6"/>
    </row>
    <row r="21" spans="1:11" ht="24.75" thickBot="1">
      <c r="A21" s="237"/>
      <c r="B21" s="1620"/>
      <c r="C21" s="418"/>
      <c r="D21" s="416" t="s">
        <v>980</v>
      </c>
      <c r="E21" s="1069">
        <f>+(E19+E20)/E18</f>
        <v>0.48</v>
      </c>
      <c r="F21" s="1069">
        <f>+(F19+F20)/F18</f>
        <v>0.11</v>
      </c>
      <c r="G21" s="1069">
        <f>+(G19+G20)/G18</f>
        <v>0.08</v>
      </c>
      <c r="H21" s="1069">
        <f>+(H19+H20)/H18</f>
        <v>0.01</v>
      </c>
      <c r="I21" s="1069">
        <f>+(I19+I20)/I18</f>
        <v>7.0000000000000007E-2</v>
      </c>
      <c r="J21" s="240"/>
      <c r="K21" s="6"/>
    </row>
    <row r="22" spans="1:11" ht="36" customHeight="1" thickBot="1">
      <c r="A22" s="237"/>
      <c r="B22" s="415" t="s">
        <v>39</v>
      </c>
      <c r="C22" s="278"/>
      <c r="D22" s="1621" t="s">
        <v>981</v>
      </c>
      <c r="E22" s="1622"/>
      <c r="F22" s="1622"/>
      <c r="G22" s="1622"/>
      <c r="H22" s="1622"/>
      <c r="I22" s="1623"/>
      <c r="J22" s="240"/>
      <c r="K22" s="6"/>
    </row>
    <row r="23" spans="1:11" ht="36" customHeight="1" thickBot="1">
      <c r="A23" s="237"/>
      <c r="B23" s="415" t="s">
        <v>41</v>
      </c>
      <c r="C23" s="278"/>
      <c r="D23" s="1621" t="s">
        <v>165</v>
      </c>
      <c r="E23" s="1622"/>
      <c r="F23" s="1622"/>
      <c r="G23" s="1622"/>
      <c r="H23" s="1622"/>
      <c r="I23" s="1623"/>
      <c r="J23" s="240"/>
      <c r="K23" s="6"/>
    </row>
    <row r="24" spans="1:11" ht="15.75" thickBot="1">
      <c r="A24" s="237"/>
      <c r="B24" s="241"/>
      <c r="C24" s="242"/>
      <c r="D24" s="240"/>
      <c r="E24" s="240"/>
      <c r="F24" s="240"/>
      <c r="G24" s="240"/>
      <c r="H24" s="240"/>
      <c r="I24" s="240"/>
      <c r="J24" s="240"/>
      <c r="K24" s="6"/>
    </row>
    <row r="25" spans="1:11" ht="24" customHeight="1" thickBot="1">
      <c r="A25" s="237"/>
      <c r="B25" s="1627" t="s">
        <v>43</v>
      </c>
      <c r="C25" s="1628"/>
      <c r="D25" s="1628"/>
      <c r="E25" s="1629"/>
      <c r="F25" s="240"/>
      <c r="G25" s="240"/>
      <c r="H25" s="240"/>
      <c r="I25" s="240"/>
      <c r="J25" s="240"/>
      <c r="K25" s="6"/>
    </row>
    <row r="26" spans="1:11" ht="15.75" thickBot="1">
      <c r="A26" s="237"/>
      <c r="B26" s="1618">
        <v>1</v>
      </c>
      <c r="C26" s="264"/>
      <c r="D26" s="281" t="s">
        <v>44</v>
      </c>
      <c r="E26" s="163" t="s">
        <v>1616</v>
      </c>
      <c r="F26" s="240"/>
      <c r="G26" s="240"/>
      <c r="H26" s="240"/>
      <c r="I26" s="240"/>
      <c r="J26" s="240"/>
      <c r="K26" s="6"/>
    </row>
    <row r="27" spans="1:11" ht="15.75" thickBot="1">
      <c r="A27" s="237"/>
      <c r="B27" s="1619"/>
      <c r="C27" s="264"/>
      <c r="D27" s="416" t="s">
        <v>45</v>
      </c>
      <c r="E27" s="163" t="s">
        <v>1625</v>
      </c>
      <c r="F27" s="240"/>
      <c r="G27" s="240"/>
      <c r="H27" s="240"/>
      <c r="I27" s="240"/>
      <c r="J27" s="240"/>
      <c r="K27" s="6"/>
    </row>
    <row r="28" spans="1:11" ht="15.75" thickBot="1">
      <c r="A28" s="237"/>
      <c r="B28" s="1619"/>
      <c r="C28" s="264"/>
      <c r="D28" s="416" t="s">
        <v>46</v>
      </c>
      <c r="E28" s="163" t="s">
        <v>2031</v>
      </c>
      <c r="F28" s="240"/>
      <c r="G28" s="240"/>
      <c r="H28" s="240"/>
      <c r="I28" s="240"/>
      <c r="J28" s="240"/>
      <c r="K28" s="6"/>
    </row>
    <row r="29" spans="1:11" ht="15.75" thickBot="1">
      <c r="A29" s="237"/>
      <c r="B29" s="1619"/>
      <c r="C29" s="264"/>
      <c r="D29" s="416" t="s">
        <v>47</v>
      </c>
      <c r="E29" s="163" t="s">
        <v>1626</v>
      </c>
      <c r="F29" s="240"/>
      <c r="G29" s="240"/>
      <c r="H29" s="240"/>
      <c r="I29" s="240"/>
      <c r="J29" s="240"/>
      <c r="K29" s="6"/>
    </row>
    <row r="30" spans="1:11" ht="15.75" thickBot="1">
      <c r="A30" s="237"/>
      <c r="B30" s="1619"/>
      <c r="C30" s="264"/>
      <c r="D30" s="416" t="s">
        <v>48</v>
      </c>
      <c r="E30" s="163" t="s">
        <v>2011</v>
      </c>
      <c r="F30" s="240"/>
      <c r="G30" s="240"/>
      <c r="H30" s="240"/>
      <c r="I30" s="240"/>
      <c r="J30" s="240"/>
      <c r="K30" s="6"/>
    </row>
    <row r="31" spans="1:11" ht="15.75" thickBot="1">
      <c r="A31" s="237"/>
      <c r="B31" s="1619"/>
      <c r="C31" s="264"/>
      <c r="D31" s="416" t="s">
        <v>49</v>
      </c>
      <c r="E31" s="163" t="s">
        <v>1627</v>
      </c>
      <c r="F31" s="240"/>
      <c r="G31" s="240"/>
      <c r="H31" s="240"/>
      <c r="I31" s="240"/>
      <c r="J31" s="240"/>
      <c r="K31" s="6"/>
    </row>
    <row r="32" spans="1:11" ht="15.75" thickBot="1">
      <c r="A32" s="237"/>
      <c r="B32" s="1620"/>
      <c r="C32" s="418"/>
      <c r="D32" s="416" t="s">
        <v>50</v>
      </c>
      <c r="E32" s="163" t="s">
        <v>1607</v>
      </c>
      <c r="F32" s="240"/>
      <c r="G32" s="240"/>
      <c r="H32" s="240"/>
      <c r="I32" s="240"/>
      <c r="J32" s="240"/>
      <c r="K32" s="6"/>
    </row>
    <row r="33" spans="1:11" ht="15.75" thickBot="1">
      <c r="A33" s="237"/>
      <c r="B33" s="241"/>
      <c r="C33" s="242"/>
      <c r="D33" s="240"/>
      <c r="E33" s="240"/>
      <c r="F33" s="240"/>
      <c r="G33" s="240"/>
      <c r="H33" s="240"/>
      <c r="I33" s="240"/>
      <c r="J33" s="240"/>
      <c r="K33" s="6"/>
    </row>
    <row r="34" spans="1:11" ht="15.75" thickBot="1">
      <c r="A34" s="237"/>
      <c r="B34" s="1627" t="s">
        <v>51</v>
      </c>
      <c r="C34" s="1628"/>
      <c r="D34" s="1628"/>
      <c r="E34" s="1629"/>
      <c r="F34" s="240"/>
      <c r="G34" s="240"/>
      <c r="H34" s="240"/>
      <c r="I34" s="240"/>
      <c r="J34" s="240"/>
      <c r="K34" s="6"/>
    </row>
    <row r="35" spans="1:11" ht="15.75" thickBot="1">
      <c r="A35" s="237"/>
      <c r="B35" s="1618">
        <v>1</v>
      </c>
      <c r="C35" s="264"/>
      <c r="D35" s="281" t="s">
        <v>44</v>
      </c>
      <c r="E35" s="422" t="s">
        <v>52</v>
      </c>
      <c r="F35" s="240"/>
      <c r="G35" s="240"/>
      <c r="H35" s="240"/>
      <c r="I35" s="240"/>
      <c r="J35" s="240"/>
      <c r="K35" s="6"/>
    </row>
    <row r="36" spans="1:11" ht="15.75" thickBot="1">
      <c r="A36" s="237"/>
      <c r="B36" s="1619"/>
      <c r="C36" s="264"/>
      <c r="D36" s="416" t="s">
        <v>45</v>
      </c>
      <c r="E36" s="439" t="s">
        <v>53</v>
      </c>
      <c r="F36" s="240"/>
      <c r="G36" s="240"/>
      <c r="H36" s="240"/>
      <c r="I36" s="240"/>
      <c r="J36" s="240"/>
      <c r="K36" s="6"/>
    </row>
    <row r="37" spans="1:11" ht="15.75" thickBot="1">
      <c r="A37" s="237"/>
      <c r="B37" s="1619"/>
      <c r="C37" s="264"/>
      <c r="D37" s="416" t="s">
        <v>46</v>
      </c>
      <c r="E37" s="168"/>
      <c r="F37" s="240"/>
      <c r="G37" s="240"/>
      <c r="H37" s="240"/>
      <c r="I37" s="240"/>
      <c r="J37" s="240"/>
      <c r="K37" s="6"/>
    </row>
    <row r="38" spans="1:11" ht="15.75" thickBot="1">
      <c r="A38" s="237"/>
      <c r="B38" s="1619"/>
      <c r="C38" s="264"/>
      <c r="D38" s="416" t="s">
        <v>47</v>
      </c>
      <c r="E38" s="168"/>
      <c r="F38" s="240"/>
      <c r="G38" s="240"/>
      <c r="H38" s="240"/>
      <c r="I38" s="240"/>
      <c r="J38" s="240"/>
      <c r="K38" s="6"/>
    </row>
    <row r="39" spans="1:11" ht="15.75" thickBot="1">
      <c r="A39" s="237"/>
      <c r="B39" s="1619"/>
      <c r="C39" s="264"/>
      <c r="D39" s="416" t="s">
        <v>48</v>
      </c>
      <c r="E39" s="168"/>
      <c r="F39" s="240"/>
      <c r="G39" s="240"/>
      <c r="H39" s="240"/>
      <c r="I39" s="240"/>
      <c r="J39" s="240"/>
      <c r="K39" s="6"/>
    </row>
    <row r="40" spans="1:11" ht="15.75" thickBot="1">
      <c r="A40" s="237"/>
      <c r="B40" s="1619"/>
      <c r="C40" s="264"/>
      <c r="D40" s="416" t="s">
        <v>49</v>
      </c>
      <c r="E40" s="168"/>
      <c r="F40" s="240"/>
      <c r="G40" s="240"/>
      <c r="H40" s="240"/>
      <c r="I40" s="240"/>
      <c r="J40" s="240"/>
      <c r="K40" s="6"/>
    </row>
    <row r="41" spans="1:11" ht="15.75" thickBot="1">
      <c r="A41" s="237"/>
      <c r="B41" s="1620"/>
      <c r="C41" s="418"/>
      <c r="D41" s="416" t="s">
        <v>50</v>
      </c>
      <c r="E41" s="168"/>
      <c r="F41" s="240"/>
      <c r="G41" s="240"/>
      <c r="H41" s="240"/>
      <c r="I41" s="240"/>
      <c r="J41" s="240"/>
      <c r="K41" s="6"/>
    </row>
    <row r="42" spans="1:11" ht="15.75" thickBot="1">
      <c r="A42" s="237"/>
      <c r="B42" s="241"/>
      <c r="C42" s="242"/>
      <c r="D42" s="240"/>
      <c r="E42" s="240"/>
      <c r="F42" s="240"/>
      <c r="G42" s="240"/>
      <c r="H42" s="240"/>
      <c r="I42" s="240"/>
      <c r="J42" s="240"/>
      <c r="K42" s="6"/>
    </row>
    <row r="43" spans="1:11" ht="15" customHeight="1" thickBot="1">
      <c r="A43" s="237"/>
      <c r="B43" s="412" t="s">
        <v>54</v>
      </c>
      <c r="C43" s="413"/>
      <c r="D43" s="413"/>
      <c r="E43" s="414"/>
      <c r="F43" s="237"/>
      <c r="G43" s="240"/>
      <c r="H43" s="240"/>
      <c r="I43" s="240"/>
      <c r="J43" s="240"/>
      <c r="K43" s="6"/>
    </row>
    <row r="44" spans="1:11" ht="24.75" thickBot="1">
      <c r="A44" s="237"/>
      <c r="B44" s="415" t="s">
        <v>55</v>
      </c>
      <c r="C44" s="416" t="s">
        <v>56</v>
      </c>
      <c r="D44" s="416" t="s">
        <v>57</v>
      </c>
      <c r="E44" s="416" t="s">
        <v>58</v>
      </c>
      <c r="F44" s="240"/>
      <c r="G44" s="240"/>
      <c r="H44" s="240"/>
      <c r="I44" s="240"/>
      <c r="J44" s="240"/>
    </row>
    <row r="45" spans="1:11" ht="60.75" thickBot="1">
      <c r="A45" s="237"/>
      <c r="B45" s="287">
        <v>42401</v>
      </c>
      <c r="C45" s="416">
        <v>0.01</v>
      </c>
      <c r="D45" s="417" t="s">
        <v>982</v>
      </c>
      <c r="E45" s="416"/>
      <c r="F45" s="240"/>
      <c r="G45" s="240"/>
      <c r="H45" s="240"/>
      <c r="I45" s="240"/>
      <c r="J45" s="240"/>
    </row>
    <row r="46" spans="1:11" ht="15.75" thickBot="1">
      <c r="A46" s="237"/>
      <c r="B46" s="241"/>
      <c r="C46" s="242"/>
      <c r="D46" s="240"/>
      <c r="E46" s="240"/>
      <c r="F46" s="240"/>
      <c r="G46" s="240"/>
      <c r="H46" s="240"/>
      <c r="I46" s="240"/>
      <c r="J46" s="240"/>
      <c r="K46" s="6"/>
    </row>
    <row r="47" spans="1:11">
      <c r="A47" s="237"/>
      <c r="B47" s="289" t="s">
        <v>60</v>
      </c>
      <c r="C47" s="290"/>
      <c r="D47" s="240"/>
      <c r="E47" s="240"/>
      <c r="F47" s="240"/>
      <c r="G47" s="240"/>
      <c r="H47" s="240"/>
      <c r="I47" s="240"/>
      <c r="J47" s="240"/>
      <c r="K47" s="6"/>
    </row>
    <row r="48" spans="1:11">
      <c r="A48" s="237"/>
      <c r="B48" s="1845"/>
      <c r="C48" s="1846"/>
      <c r="D48" s="1846"/>
      <c r="E48" s="1847"/>
      <c r="F48" s="240"/>
      <c r="G48" s="240"/>
      <c r="H48" s="240"/>
      <c r="I48" s="240"/>
      <c r="J48" s="240"/>
      <c r="K48" s="6"/>
    </row>
    <row r="49" spans="1:11">
      <c r="A49" s="237"/>
      <c r="B49" s="1848"/>
      <c r="C49" s="1849"/>
      <c r="D49" s="1849"/>
      <c r="E49" s="1850"/>
      <c r="F49" s="240"/>
      <c r="G49" s="240"/>
      <c r="H49" s="240"/>
      <c r="I49" s="240"/>
      <c r="J49" s="240"/>
      <c r="K49" s="6"/>
    </row>
    <row r="50" spans="1:11" ht="15.75" thickBot="1">
      <c r="A50" s="237"/>
      <c r="B50" s="240"/>
      <c r="C50" s="257"/>
      <c r="D50" s="240"/>
      <c r="E50" s="240"/>
      <c r="F50" s="240"/>
      <c r="G50" s="240"/>
      <c r="H50" s="240"/>
      <c r="I50" s="240"/>
      <c r="J50" s="240"/>
      <c r="K50" s="6"/>
    </row>
    <row r="51" spans="1:11" ht="24.75" thickBot="1">
      <c r="B51" s="52" t="s">
        <v>61</v>
      </c>
      <c r="C51" s="96"/>
      <c r="D51" s="6"/>
      <c r="E51" s="6"/>
      <c r="F51" s="6"/>
      <c r="G51" s="6"/>
      <c r="H51" s="6"/>
      <c r="I51" s="6"/>
      <c r="J51" s="6"/>
      <c r="K51" s="6"/>
    </row>
    <row r="52" spans="1:11" ht="15.75" thickBot="1">
      <c r="B52" s="2"/>
      <c r="C52" s="75"/>
      <c r="D52" s="6"/>
      <c r="E52" s="6"/>
      <c r="F52" s="6"/>
      <c r="G52" s="6"/>
      <c r="H52" s="6"/>
      <c r="I52" s="6"/>
      <c r="J52" s="6"/>
      <c r="K52" s="6"/>
    </row>
    <row r="53" spans="1:11" ht="84.75" thickBot="1">
      <c r="B53" s="53" t="s">
        <v>62</v>
      </c>
      <c r="C53" s="97"/>
      <c r="D53" s="44" t="s">
        <v>963</v>
      </c>
      <c r="E53" s="6"/>
      <c r="F53" s="6"/>
      <c r="G53" s="6"/>
      <c r="H53" s="6"/>
      <c r="I53" s="6"/>
      <c r="J53" s="6"/>
      <c r="K53" s="6"/>
    </row>
    <row r="54" spans="1:11">
      <c r="B54" s="1668" t="s">
        <v>64</v>
      </c>
      <c r="C54" s="93"/>
      <c r="D54" s="54" t="s">
        <v>65</v>
      </c>
      <c r="E54" s="6"/>
      <c r="F54" s="6"/>
      <c r="G54" s="6"/>
      <c r="H54" s="6"/>
      <c r="I54" s="6"/>
      <c r="J54" s="6"/>
      <c r="K54" s="6"/>
    </row>
    <row r="55" spans="1:11" ht="72">
      <c r="B55" s="1669"/>
      <c r="C55" s="93"/>
      <c r="D55" s="54" t="s">
        <v>964</v>
      </c>
      <c r="E55" s="6"/>
      <c r="F55" s="6"/>
      <c r="G55" s="6"/>
      <c r="H55" s="6"/>
      <c r="I55" s="6"/>
      <c r="J55" s="6"/>
      <c r="K55" s="6"/>
    </row>
    <row r="56" spans="1:11">
      <c r="B56" s="1669"/>
      <c r="C56" s="93"/>
      <c r="D56" s="54" t="s">
        <v>139</v>
      </c>
      <c r="E56" s="6"/>
      <c r="F56" s="6"/>
      <c r="G56" s="6"/>
      <c r="H56" s="6"/>
      <c r="I56" s="6"/>
      <c r="J56" s="6"/>
      <c r="K56" s="6"/>
    </row>
    <row r="57" spans="1:11" ht="24">
      <c r="B57" s="1669"/>
      <c r="C57" s="93"/>
      <c r="D57" s="47" t="s">
        <v>965</v>
      </c>
      <c r="E57" s="6"/>
      <c r="F57" s="6"/>
      <c r="G57" s="6"/>
      <c r="H57" s="6"/>
      <c r="I57" s="6"/>
      <c r="J57" s="6"/>
      <c r="K57" s="6"/>
    </row>
    <row r="58" spans="1:11" ht="24">
      <c r="B58" s="1669"/>
      <c r="C58" s="93"/>
      <c r="D58" s="47" t="s">
        <v>966</v>
      </c>
      <c r="E58" s="6"/>
      <c r="F58" s="6"/>
      <c r="G58" s="6"/>
      <c r="H58" s="6"/>
      <c r="I58" s="6"/>
      <c r="J58" s="6"/>
      <c r="K58" s="6"/>
    </row>
    <row r="59" spans="1:11" ht="15.75" thickBot="1">
      <c r="B59" s="1670"/>
      <c r="C59" s="3"/>
      <c r="D59" s="41" t="s">
        <v>70</v>
      </c>
      <c r="E59" s="6"/>
      <c r="F59" s="6"/>
      <c r="G59" s="6"/>
      <c r="H59" s="6"/>
      <c r="I59" s="6"/>
      <c r="J59" s="6"/>
      <c r="K59" s="6"/>
    </row>
    <row r="60" spans="1:11" ht="24.75" thickBot="1">
      <c r="B60" s="48" t="s">
        <v>77</v>
      </c>
      <c r="C60" s="3"/>
      <c r="D60" s="41"/>
      <c r="E60" s="6"/>
      <c r="F60" s="6"/>
      <c r="G60" s="6"/>
      <c r="H60" s="6"/>
      <c r="I60" s="6"/>
      <c r="J60" s="6"/>
      <c r="K60" s="6"/>
    </row>
    <row r="61" spans="1:11" ht="132">
      <c r="B61" s="1668" t="s">
        <v>78</v>
      </c>
      <c r="C61" s="93"/>
      <c r="D61" s="47" t="s">
        <v>967</v>
      </c>
      <c r="E61" s="6"/>
      <c r="F61" s="6"/>
      <c r="G61" s="6"/>
      <c r="H61" s="6"/>
      <c r="I61" s="6"/>
      <c r="J61" s="6"/>
      <c r="K61" s="6"/>
    </row>
    <row r="62" spans="1:11" ht="324">
      <c r="B62" s="1669"/>
      <c r="C62" s="93"/>
      <c r="D62" s="47" t="s">
        <v>968</v>
      </c>
      <c r="E62" s="6"/>
      <c r="F62" s="6"/>
      <c r="G62" s="6"/>
      <c r="H62" s="6"/>
      <c r="I62" s="6"/>
      <c r="J62" s="6"/>
      <c r="K62" s="6"/>
    </row>
    <row r="63" spans="1:11" ht="84">
      <c r="B63" s="1669"/>
      <c r="C63" s="93"/>
      <c r="D63" s="47" t="s">
        <v>969</v>
      </c>
      <c r="E63" s="6"/>
      <c r="F63" s="6"/>
      <c r="G63" s="6"/>
      <c r="H63" s="6"/>
      <c r="I63" s="6"/>
      <c r="J63" s="6"/>
      <c r="K63" s="6"/>
    </row>
    <row r="64" spans="1:11" ht="72">
      <c r="B64" s="1669"/>
      <c r="C64" s="93"/>
      <c r="D64" s="47" t="s">
        <v>970</v>
      </c>
      <c r="E64" s="6"/>
      <c r="F64" s="6"/>
      <c r="G64" s="6"/>
      <c r="H64" s="6"/>
      <c r="I64" s="6"/>
      <c r="J64" s="6"/>
      <c r="K64" s="6"/>
    </row>
    <row r="65" spans="2:11" ht="60.75" thickBot="1">
      <c r="B65" s="1670"/>
      <c r="C65" s="3"/>
      <c r="D65" s="41" t="s">
        <v>971</v>
      </c>
      <c r="E65" s="6"/>
      <c r="F65" s="6"/>
      <c r="G65" s="6"/>
      <c r="H65" s="6"/>
      <c r="I65" s="6"/>
      <c r="J65" s="6"/>
      <c r="K65" s="6"/>
    </row>
    <row r="66" spans="2:11">
      <c r="B66" s="1668" t="s">
        <v>95</v>
      </c>
      <c r="C66" s="93"/>
      <c r="D66" s="47"/>
      <c r="E66" s="6"/>
      <c r="F66" s="6"/>
      <c r="G66" s="6"/>
      <c r="H66" s="6"/>
      <c r="I66" s="6"/>
      <c r="J66" s="6"/>
      <c r="K66" s="6"/>
    </row>
    <row r="67" spans="2:11">
      <c r="B67" s="1669"/>
      <c r="C67" s="93"/>
      <c r="D67" s="17"/>
      <c r="E67" s="6"/>
      <c r="F67" s="6"/>
      <c r="G67" s="6"/>
      <c r="H67" s="6"/>
      <c r="I67" s="6"/>
      <c r="J67" s="6"/>
      <c r="K67" s="6"/>
    </row>
    <row r="68" spans="2:11">
      <c r="B68" s="1669"/>
      <c r="C68" s="93"/>
      <c r="D68" s="47" t="s">
        <v>96</v>
      </c>
      <c r="E68" s="6"/>
      <c r="F68" s="6"/>
      <c r="G68" s="6"/>
      <c r="H68" s="6"/>
      <c r="I68" s="6"/>
      <c r="J68" s="6"/>
      <c r="K68" s="6"/>
    </row>
    <row r="69" spans="2:11" ht="25.5">
      <c r="B69" s="1669"/>
      <c r="C69" s="93"/>
      <c r="D69" s="47" t="s">
        <v>972</v>
      </c>
      <c r="E69" s="6"/>
      <c r="F69" s="6"/>
      <c r="G69" s="6"/>
      <c r="H69" s="6"/>
      <c r="I69" s="6"/>
      <c r="J69" s="6"/>
      <c r="K69" s="6"/>
    </row>
    <row r="70" spans="2:11" ht="37.5">
      <c r="B70" s="1669"/>
      <c r="C70" s="93"/>
      <c r="D70" s="47" t="s">
        <v>973</v>
      </c>
      <c r="E70" s="6"/>
      <c r="F70" s="6"/>
      <c r="G70" s="6"/>
      <c r="H70" s="6"/>
      <c r="I70" s="6"/>
      <c r="J70" s="6"/>
      <c r="K70" s="6"/>
    </row>
    <row r="71" spans="2:11" ht="37.5">
      <c r="B71" s="1669"/>
      <c r="C71" s="93"/>
      <c r="D71" s="47" t="s">
        <v>974</v>
      </c>
      <c r="E71" s="6"/>
      <c r="F71" s="6"/>
      <c r="G71" s="6"/>
      <c r="H71" s="6"/>
      <c r="I71" s="6"/>
      <c r="J71" s="6"/>
      <c r="K71" s="6"/>
    </row>
    <row r="72" spans="2:11" ht="36">
      <c r="B72" s="1669"/>
      <c r="C72" s="93"/>
      <c r="D72" s="47" t="s">
        <v>975</v>
      </c>
      <c r="E72" s="6"/>
      <c r="F72" s="6"/>
      <c r="G72" s="6"/>
      <c r="H72" s="6"/>
      <c r="I72" s="6"/>
      <c r="J72" s="6"/>
      <c r="K72" s="6"/>
    </row>
    <row r="73" spans="2:11" ht="120.75" thickBot="1">
      <c r="B73" s="1670"/>
      <c r="C73" s="3"/>
      <c r="D73" s="41" t="s">
        <v>976</v>
      </c>
      <c r="E73" s="6"/>
      <c r="F73" s="6"/>
      <c r="G73" s="6"/>
      <c r="H73" s="6"/>
      <c r="I73" s="6"/>
      <c r="J73" s="6"/>
      <c r="K73" s="6"/>
    </row>
    <row r="74" spans="2:11">
      <c r="B74" s="6"/>
      <c r="D74" s="6"/>
      <c r="E74" s="6"/>
      <c r="F74" s="6"/>
      <c r="G74" s="6"/>
      <c r="H74" s="6"/>
      <c r="I74" s="6"/>
      <c r="J74" s="6"/>
      <c r="K74" s="6"/>
    </row>
    <row r="75" spans="2:11">
      <c r="B75" s="6"/>
      <c r="D75" s="6"/>
      <c r="E75" s="6"/>
      <c r="F75" s="6"/>
      <c r="G75" s="6"/>
      <c r="H75" s="6"/>
      <c r="I75" s="6"/>
      <c r="J75" s="6"/>
      <c r="K75" s="6"/>
    </row>
    <row r="76" spans="2:11">
      <c r="B76" s="6"/>
      <c r="D76" s="6"/>
      <c r="E76" s="6"/>
      <c r="F76" s="6"/>
      <c r="G76" s="6"/>
      <c r="H76" s="6"/>
      <c r="I76" s="6"/>
      <c r="J76" s="6"/>
      <c r="K76" s="6"/>
    </row>
    <row r="77" spans="2:11">
      <c r="B77" s="6"/>
      <c r="D77" s="6"/>
      <c r="E77" s="6"/>
      <c r="F77" s="6"/>
      <c r="G77" s="6"/>
      <c r="H77" s="6"/>
      <c r="I77" s="6"/>
      <c r="J77" s="6"/>
      <c r="K77" s="6"/>
    </row>
    <row r="78" spans="2:11">
      <c r="B78" s="6"/>
      <c r="D78" s="6"/>
      <c r="E78" s="6"/>
      <c r="F78" s="6"/>
      <c r="G78" s="6"/>
      <c r="H78" s="6"/>
      <c r="I78" s="6"/>
      <c r="J78" s="6"/>
      <c r="K78" s="6"/>
    </row>
    <row r="79" spans="2:11">
      <c r="B79" s="6"/>
      <c r="D79" s="6"/>
      <c r="E79" s="6"/>
      <c r="F79" s="6"/>
      <c r="G79" s="6"/>
      <c r="H79" s="6"/>
      <c r="I79" s="6"/>
      <c r="J79" s="6"/>
      <c r="K79" s="6"/>
    </row>
    <row r="80" spans="2:11">
      <c r="B80" s="6"/>
      <c r="D80" s="6"/>
      <c r="E80" s="6"/>
      <c r="F80" s="6"/>
      <c r="G80" s="6"/>
      <c r="H80" s="6"/>
      <c r="I80" s="6"/>
      <c r="J80" s="6"/>
      <c r="K80" s="6"/>
    </row>
    <row r="81" spans="2:11">
      <c r="B81" s="6"/>
      <c r="D81" s="6"/>
      <c r="E81" s="6"/>
      <c r="F81" s="6"/>
      <c r="G81" s="6"/>
      <c r="H81" s="6"/>
      <c r="I81" s="6"/>
      <c r="J81" s="6"/>
      <c r="K81" s="6"/>
    </row>
    <row r="82" spans="2:11">
      <c r="B82" s="6"/>
      <c r="D82" s="6"/>
      <c r="E82" s="6"/>
      <c r="F82" s="6"/>
      <c r="G82" s="6"/>
      <c r="H82" s="6"/>
      <c r="I82" s="6"/>
      <c r="J82" s="6"/>
      <c r="K82" s="6"/>
    </row>
    <row r="83" spans="2:11">
      <c r="B83" s="6"/>
      <c r="D83" s="6"/>
      <c r="E83" s="6"/>
      <c r="F83" s="6"/>
      <c r="G83" s="6"/>
      <c r="H83" s="6"/>
      <c r="I83" s="6"/>
      <c r="J83" s="6"/>
      <c r="K83" s="6"/>
    </row>
    <row r="84" spans="2:11">
      <c r="B84" s="6"/>
      <c r="D84" s="6"/>
      <c r="E84" s="6"/>
      <c r="F84" s="6"/>
      <c r="G84" s="6"/>
      <c r="H84" s="6"/>
      <c r="I84" s="6"/>
      <c r="J84" s="6"/>
      <c r="K84" s="6"/>
    </row>
    <row r="85" spans="2:11">
      <c r="B85" s="6"/>
      <c r="D85" s="6"/>
      <c r="E85" s="6"/>
      <c r="F85" s="6"/>
      <c r="G85" s="6"/>
      <c r="H85" s="6"/>
      <c r="I85" s="6"/>
      <c r="J85" s="6"/>
      <c r="K85" s="6"/>
    </row>
    <row r="86" spans="2:11">
      <c r="B86" s="6"/>
      <c r="D86" s="6"/>
      <c r="E86" s="6"/>
      <c r="F86" s="6"/>
      <c r="G86" s="6"/>
      <c r="H86" s="6"/>
      <c r="I86" s="6"/>
      <c r="J86" s="6"/>
      <c r="K86" s="6"/>
    </row>
    <row r="87" spans="2:11">
      <c r="B87" s="6"/>
      <c r="D87" s="6"/>
      <c r="E87" s="6"/>
      <c r="F87" s="6"/>
      <c r="G87" s="6"/>
      <c r="H87" s="6"/>
      <c r="I87" s="6"/>
      <c r="J87" s="6"/>
      <c r="K87" s="6"/>
    </row>
    <row r="88" spans="2:11">
      <c r="B88" s="6"/>
      <c r="D88" s="6"/>
      <c r="E88" s="6"/>
      <c r="F88" s="6"/>
      <c r="G88" s="6"/>
      <c r="H88" s="6"/>
      <c r="I88" s="6"/>
      <c r="J88" s="6"/>
      <c r="K88" s="6"/>
    </row>
    <row r="89" spans="2:11">
      <c r="B89" s="6"/>
      <c r="D89" s="6"/>
      <c r="E89" s="6"/>
      <c r="F89" s="6"/>
      <c r="G89" s="6"/>
      <c r="H89" s="6"/>
      <c r="I89" s="6"/>
      <c r="J89" s="6"/>
      <c r="K89" s="6"/>
    </row>
    <row r="90" spans="2:11">
      <c r="B90" s="6"/>
      <c r="D90" s="6"/>
      <c r="E90" s="6"/>
      <c r="F90" s="6"/>
      <c r="G90" s="6"/>
      <c r="H90" s="6"/>
      <c r="I90" s="6"/>
      <c r="J90" s="6"/>
      <c r="K90" s="6"/>
    </row>
    <row r="91" spans="2:11">
      <c r="B91" s="6"/>
      <c r="D91" s="6"/>
      <c r="E91" s="6"/>
      <c r="F91" s="6"/>
      <c r="G91" s="6"/>
      <c r="H91" s="6"/>
      <c r="I91" s="6"/>
      <c r="J91" s="6"/>
      <c r="K91" s="6"/>
    </row>
    <row r="92" spans="2:11">
      <c r="B92" s="6"/>
      <c r="D92" s="6"/>
      <c r="E92" s="6"/>
      <c r="F92" s="6"/>
      <c r="G92" s="6"/>
      <c r="H92" s="6"/>
      <c r="I92" s="6"/>
      <c r="J92" s="6"/>
      <c r="K92" s="6"/>
    </row>
    <row r="93" spans="2:11">
      <c r="B93" s="6"/>
      <c r="D93" s="6"/>
      <c r="E93" s="6"/>
      <c r="F93" s="6"/>
      <c r="G93" s="6"/>
      <c r="H93" s="6"/>
      <c r="I93" s="6"/>
      <c r="J93" s="6"/>
      <c r="K93" s="6"/>
    </row>
    <row r="94" spans="2:11">
      <c r="B94" s="6"/>
      <c r="D94" s="6"/>
      <c r="E94" s="6"/>
      <c r="F94" s="6"/>
      <c r="G94" s="6"/>
      <c r="H94" s="6"/>
      <c r="I94" s="6"/>
      <c r="J94" s="6"/>
      <c r="K94" s="6"/>
    </row>
    <row r="95" spans="2:11">
      <c r="B95" s="6"/>
      <c r="D95" s="6"/>
      <c r="E95" s="6"/>
      <c r="F95" s="6"/>
      <c r="G95" s="6"/>
      <c r="H95" s="6"/>
      <c r="I95" s="6"/>
      <c r="J95" s="6"/>
      <c r="K95" s="6"/>
    </row>
    <row r="96" spans="2:11">
      <c r="B96" s="6"/>
      <c r="D96" s="6"/>
      <c r="E96" s="6"/>
      <c r="F96" s="6"/>
      <c r="G96" s="6"/>
      <c r="H96" s="6"/>
      <c r="I96" s="6"/>
      <c r="J96" s="6"/>
      <c r="K96" s="6"/>
    </row>
    <row r="97" spans="2:11">
      <c r="B97" s="6"/>
      <c r="D97" s="6"/>
      <c r="E97" s="6"/>
      <c r="F97" s="6"/>
      <c r="G97" s="6"/>
      <c r="H97" s="6"/>
      <c r="I97" s="6"/>
      <c r="J97" s="6"/>
      <c r="K97" s="6"/>
    </row>
    <row r="98" spans="2:11">
      <c r="B98" s="6"/>
      <c r="D98" s="6"/>
      <c r="E98" s="6"/>
      <c r="F98" s="6"/>
      <c r="G98" s="6"/>
      <c r="H98" s="6"/>
      <c r="I98" s="6"/>
      <c r="J98" s="6"/>
      <c r="K98" s="6"/>
    </row>
    <row r="99" spans="2:11">
      <c r="B99" s="6"/>
      <c r="D99" s="6"/>
      <c r="E99" s="6"/>
      <c r="F99" s="6"/>
      <c r="G99" s="6"/>
      <c r="H99" s="6"/>
      <c r="I99" s="6"/>
      <c r="J99" s="6"/>
      <c r="K99" s="6"/>
    </row>
    <row r="100" spans="2:11">
      <c r="B100" s="6"/>
      <c r="D100" s="6"/>
      <c r="E100" s="6"/>
      <c r="F100" s="6"/>
      <c r="G100" s="6"/>
      <c r="H100" s="6"/>
      <c r="I100" s="6"/>
      <c r="J100" s="6"/>
      <c r="K100" s="6"/>
    </row>
    <row r="101" spans="2:11">
      <c r="B101" s="6"/>
      <c r="D101" s="6"/>
      <c r="E101" s="6"/>
      <c r="F101" s="6"/>
      <c r="G101" s="6"/>
      <c r="H101" s="6"/>
      <c r="I101" s="6"/>
      <c r="J101" s="6"/>
      <c r="K101" s="6"/>
    </row>
    <row r="102" spans="2:11">
      <c r="B102" s="6"/>
      <c r="D102" s="6"/>
      <c r="E102" s="6"/>
      <c r="F102" s="6"/>
      <c r="G102" s="6"/>
      <c r="H102" s="6"/>
      <c r="I102" s="6"/>
      <c r="J102" s="6"/>
      <c r="K102" s="6"/>
    </row>
    <row r="103" spans="2:11">
      <c r="B103" s="6"/>
      <c r="D103" s="6"/>
      <c r="E103" s="6"/>
      <c r="F103" s="6"/>
      <c r="G103" s="6"/>
      <c r="H103" s="6"/>
      <c r="I103" s="6"/>
      <c r="J103" s="6"/>
      <c r="K103" s="6"/>
    </row>
    <row r="104" spans="2:11">
      <c r="B104" s="6"/>
      <c r="D104" s="6"/>
      <c r="E104" s="6"/>
      <c r="F104" s="6"/>
      <c r="G104" s="6"/>
      <c r="H104" s="6"/>
      <c r="I104" s="6"/>
      <c r="J104" s="6"/>
      <c r="K104" s="6"/>
    </row>
    <row r="105" spans="2:11">
      <c r="B105" s="6"/>
      <c r="D105" s="6"/>
      <c r="E105" s="6"/>
      <c r="F105" s="6"/>
      <c r="G105" s="6"/>
      <c r="H105" s="6"/>
      <c r="I105" s="6"/>
      <c r="J105" s="6"/>
      <c r="K105" s="6"/>
    </row>
    <row r="106" spans="2:11">
      <c r="B106" s="6"/>
      <c r="D106" s="6"/>
      <c r="E106" s="6"/>
      <c r="F106" s="6"/>
      <c r="G106" s="6"/>
      <c r="H106" s="6"/>
      <c r="I106" s="6"/>
      <c r="J106" s="6"/>
      <c r="K106" s="6"/>
    </row>
    <row r="107" spans="2:11">
      <c r="B107" s="6"/>
      <c r="D107" s="6"/>
      <c r="E107" s="6"/>
      <c r="F107" s="6"/>
      <c r="G107" s="6"/>
      <c r="H107" s="6"/>
      <c r="I107" s="6"/>
      <c r="J107" s="6"/>
      <c r="K107" s="6"/>
    </row>
    <row r="108" spans="2:11">
      <c r="B108" s="6"/>
      <c r="D108" s="6"/>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sheetData>
  <sheetProtection sheet="1" objects="1" scenarios="1"/>
  <mergeCells count="23">
    <mergeCell ref="A1:P1"/>
    <mergeCell ref="A2:P2"/>
    <mergeCell ref="A3:P3"/>
    <mergeCell ref="A4:D4"/>
    <mergeCell ref="A5:P5"/>
    <mergeCell ref="B10:D10"/>
    <mergeCell ref="F10:S10"/>
    <mergeCell ref="F11:S11"/>
    <mergeCell ref="E12:R12"/>
    <mergeCell ref="E13:R13"/>
    <mergeCell ref="B54:B59"/>
    <mergeCell ref="B61:B65"/>
    <mergeCell ref="B66:B73"/>
    <mergeCell ref="B15:B21"/>
    <mergeCell ref="D15:I15"/>
    <mergeCell ref="D16:I16"/>
    <mergeCell ref="D22:I22"/>
    <mergeCell ref="D23:I23"/>
    <mergeCell ref="B25:E25"/>
    <mergeCell ref="B26:B32"/>
    <mergeCell ref="B34:E34"/>
    <mergeCell ref="B35:B41"/>
    <mergeCell ref="B48:E49"/>
  </mergeCells>
  <conditionalFormatting sqref="F10">
    <cfRule type="notContainsBlanks" dxfId="33" priority="4">
      <formula>LEN(TRIM(F10))&gt;0</formula>
    </cfRule>
  </conditionalFormatting>
  <conditionalFormatting sqref="F11:S11">
    <cfRule type="expression" dxfId="32" priority="2">
      <formula>E11="NO SE REPORTA"</formula>
    </cfRule>
    <cfRule type="expression" dxfId="31" priority="3">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opLeftCell="A7" zoomScale="115" zoomScaleNormal="115" zoomScaleSheetLayoutView="100" workbookViewId="0">
      <selection activeCell="D8" sqref="D8"/>
    </sheetView>
  </sheetViews>
  <sheetFormatPr baseColWidth="10" defaultRowHeight="12.75"/>
  <cols>
    <col min="1" max="1" width="47.42578125" style="522" customWidth="1"/>
    <col min="2" max="2" width="84.140625" style="522" customWidth="1"/>
    <col min="3" max="16384" width="11.42578125" style="522"/>
  </cols>
  <sheetData>
    <row r="1" spans="1:2" ht="130.5" customHeight="1" thickBot="1">
      <c r="A1" s="1547"/>
      <c r="B1" s="1547"/>
    </row>
    <row r="2" spans="1:2" ht="27" customHeight="1" thickBot="1">
      <c r="A2" s="1548" t="s">
        <v>1283</v>
      </c>
      <c r="B2" s="1549"/>
    </row>
    <row r="3" spans="1:2" ht="24.75" customHeight="1" thickBot="1">
      <c r="A3" s="1550" t="s">
        <v>1284</v>
      </c>
      <c r="B3" s="1551"/>
    </row>
    <row r="4" spans="1:2">
      <c r="A4" s="523" t="s">
        <v>1285</v>
      </c>
      <c r="B4" s="523" t="s">
        <v>1286</v>
      </c>
    </row>
    <row r="5" spans="1:2" ht="36">
      <c r="A5" s="524" t="s">
        <v>1287</v>
      </c>
      <c r="B5" s="525" t="s">
        <v>1288</v>
      </c>
    </row>
    <row r="6" spans="1:2" ht="34.5" customHeight="1">
      <c r="A6" s="524" t="s">
        <v>1289</v>
      </c>
      <c r="B6" s="525" t="s">
        <v>1290</v>
      </c>
    </row>
    <row r="7" spans="1:2" ht="24" customHeight="1">
      <c r="A7" s="524" t="s">
        <v>1291</v>
      </c>
      <c r="B7" s="525" t="s">
        <v>1292</v>
      </c>
    </row>
    <row r="8" spans="1:2" ht="32.25" customHeight="1">
      <c r="A8" s="524" t="s">
        <v>1293</v>
      </c>
      <c r="B8" s="525" t="s">
        <v>1294</v>
      </c>
    </row>
    <row r="9" spans="1:2" ht="49.5" customHeight="1">
      <c r="A9" s="524" t="s">
        <v>1295</v>
      </c>
      <c r="B9" s="525" t="s">
        <v>1296</v>
      </c>
    </row>
    <row r="10" spans="1:2" ht="21" customHeight="1">
      <c r="A10" s="524" t="s">
        <v>1297</v>
      </c>
      <c r="B10" s="525" t="s">
        <v>1298</v>
      </c>
    </row>
    <row r="11" spans="1:2" ht="40.5" customHeight="1">
      <c r="A11" s="524" t="s">
        <v>1299</v>
      </c>
      <c r="B11" s="525" t="s">
        <v>1300</v>
      </c>
    </row>
    <row r="12" spans="1:2" ht="21.75" customHeight="1">
      <c r="A12" s="524" t="s">
        <v>1301</v>
      </c>
      <c r="B12" s="525" t="s">
        <v>1302</v>
      </c>
    </row>
    <row r="13" spans="1:2" ht="21.75" customHeight="1">
      <c r="A13" s="524" t="s">
        <v>1303</v>
      </c>
      <c r="B13" s="525" t="s">
        <v>1304</v>
      </c>
    </row>
    <row r="14" spans="1:2" ht="21" customHeight="1">
      <c r="A14" s="524" t="s">
        <v>1305</v>
      </c>
      <c r="B14" s="525" t="s">
        <v>1306</v>
      </c>
    </row>
    <row r="15" spans="1:2" ht="24.75" customHeight="1">
      <c r="A15" s="524" t="s">
        <v>1307</v>
      </c>
      <c r="B15" s="525" t="s">
        <v>1308</v>
      </c>
    </row>
    <row r="16" spans="1:2" ht="22.5" customHeight="1">
      <c r="A16" s="524" t="s">
        <v>1309</v>
      </c>
      <c r="B16" s="525" t="s">
        <v>1310</v>
      </c>
    </row>
    <row r="17" spans="1:2" ht="39" customHeight="1">
      <c r="A17" s="524" t="s">
        <v>1311</v>
      </c>
      <c r="B17" s="525" t="s">
        <v>1312</v>
      </c>
    </row>
    <row r="18" spans="1:2" ht="22.5" customHeight="1">
      <c r="A18" s="524" t="s">
        <v>1313</v>
      </c>
      <c r="B18" s="525" t="s">
        <v>1314</v>
      </c>
    </row>
    <row r="19" spans="1:2" ht="21.75" customHeight="1">
      <c r="A19" s="524" t="s">
        <v>1315</v>
      </c>
      <c r="B19" s="525" t="s">
        <v>1316</v>
      </c>
    </row>
    <row r="20" spans="1:2" ht="25.5" customHeight="1">
      <c r="A20" s="524" t="s">
        <v>1317</v>
      </c>
      <c r="B20" s="525" t="s">
        <v>1318</v>
      </c>
    </row>
    <row r="21" spans="1:2" ht="25.5" customHeight="1">
      <c r="A21" s="524" t="s">
        <v>1319</v>
      </c>
      <c r="B21" s="525" t="s">
        <v>1320</v>
      </c>
    </row>
    <row r="22" spans="1:2" ht="21" customHeight="1">
      <c r="A22" s="524" t="s">
        <v>1321</v>
      </c>
      <c r="B22" s="525" t="s">
        <v>1322</v>
      </c>
    </row>
    <row r="23" spans="1:2" ht="98.25" customHeight="1" thickBot="1">
      <c r="A23" s="526" t="s">
        <v>1323</v>
      </c>
      <c r="B23" s="527" t="s">
        <v>1324</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topLeftCell="A19" zoomScale="98" zoomScaleNormal="98" workbookViewId="0">
      <selection activeCell="M19" sqref="M19"/>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 min="6" max="6" width="19" customWidth="1"/>
    <col min="7" max="7" width="14.28515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983</v>
      </c>
      <c r="B5" s="1556"/>
      <c r="C5" s="1556"/>
      <c r="D5" s="1556"/>
      <c r="E5" s="1556"/>
      <c r="F5" s="1556"/>
      <c r="G5" s="1556"/>
      <c r="H5" s="1556"/>
      <c r="I5" s="1556"/>
      <c r="J5" s="1556"/>
      <c r="K5" s="1556"/>
      <c r="L5" s="1556"/>
      <c r="M5" s="1556"/>
      <c r="N5" s="1556"/>
      <c r="O5" s="1556"/>
      <c r="P5" s="1557"/>
    </row>
    <row r="6" spans="1:21" ht="15.75" thickBot="1">
      <c r="B6" s="241" t="s">
        <v>1</v>
      </c>
      <c r="C6" s="75"/>
      <c r="D6" s="6"/>
      <c r="E6" s="73"/>
      <c r="F6" s="6" t="s">
        <v>133</v>
      </c>
      <c r="G6" s="6"/>
      <c r="H6" s="6"/>
      <c r="I6" s="6"/>
      <c r="J6" s="6"/>
      <c r="K6" s="6"/>
    </row>
    <row r="7" spans="1:21" ht="15.75" thickBot="1">
      <c r="B7" s="253" t="s">
        <v>1203</v>
      </c>
      <c r="C7" s="214">
        <v>2018</v>
      </c>
      <c r="D7" s="216">
        <f>IF(E9="NO APLICA","NO APLICA",IF(E10="NO SE REPORTA","SIN INFORMACION",+H17))</f>
        <v>1</v>
      </c>
      <c r="E7" s="233"/>
      <c r="F7" s="6" t="s">
        <v>134</v>
      </c>
      <c r="G7" s="6"/>
      <c r="H7" s="6"/>
      <c r="I7" s="6"/>
      <c r="J7" s="6"/>
      <c r="K7" s="6"/>
    </row>
    <row r="8" spans="1:21">
      <c r="B8" s="483" t="s">
        <v>1204</v>
      </c>
      <c r="E8" s="215"/>
      <c r="F8" s="6" t="s">
        <v>135</v>
      </c>
      <c r="G8" s="6"/>
      <c r="H8" s="6"/>
      <c r="I8" s="6"/>
      <c r="J8" s="6"/>
      <c r="K8" s="6"/>
    </row>
    <row r="9" spans="1:21" s="403" customFormat="1">
      <c r="A9" s="237"/>
      <c r="B9" s="1588" t="s">
        <v>1263</v>
      </c>
      <c r="C9" s="1588"/>
      <c r="D9" s="1588"/>
      <c r="E9" s="489" t="s">
        <v>1260</v>
      </c>
      <c r="F9" s="1595"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596"/>
      <c r="H9" s="1596"/>
      <c r="I9" s="1596"/>
      <c r="J9" s="1596"/>
      <c r="K9" s="1596"/>
      <c r="L9" s="1596"/>
      <c r="M9" s="1596"/>
      <c r="N9" s="1596"/>
      <c r="O9" s="1596"/>
      <c r="P9" s="1596"/>
      <c r="Q9" s="1596"/>
      <c r="R9" s="1596"/>
      <c r="S9" s="1596"/>
      <c r="T9" s="485"/>
      <c r="U9" s="485"/>
    </row>
    <row r="10" spans="1:21" s="403" customFormat="1" ht="14.45" customHeight="1">
      <c r="A10" s="237"/>
      <c r="B10" s="486"/>
      <c r="C10" s="487"/>
      <c r="D10" s="488" t="str">
        <f>IF(E9="SI APLICA","¿El indicador no se reporta por limitaciones de información disponible? ","")</f>
        <v xml:space="preserve">¿El indicador no se reporta por limitaciones de información disponible? </v>
      </c>
      <c r="E10" s="490" t="s">
        <v>1262</v>
      </c>
      <c r="F10" s="1589"/>
      <c r="G10" s="1590"/>
      <c r="H10" s="1590"/>
      <c r="I10" s="1590"/>
      <c r="J10" s="1590"/>
      <c r="K10" s="1590"/>
      <c r="L10" s="1590"/>
      <c r="M10" s="1590"/>
      <c r="N10" s="1590"/>
      <c r="O10" s="1590"/>
      <c r="P10" s="1590"/>
      <c r="Q10" s="1590"/>
      <c r="R10" s="1590"/>
      <c r="S10" s="1590"/>
    </row>
    <row r="11" spans="1:21" s="403" customFormat="1" ht="23.45" customHeight="1">
      <c r="A11" s="237"/>
      <c r="B11" s="483"/>
      <c r="C11" s="296"/>
      <c r="D11" s="488" t="str">
        <f>IF(E10="SI SE REPORTA","¿Qué programas o proyectos del Plan de Acción están asociados al indicador? ","")</f>
        <v xml:space="preserve">¿Qué programas o proyectos del Plan de Acción están asociados al indicador? </v>
      </c>
      <c r="E11" s="1591" t="str">
        <f>'Anexo 1 Matriz Inf Gestión'!E9:H9</f>
        <v>Proyecto No 1.1.Planificación, Ordenamiento e Información Ambiental Territorial (1)</v>
      </c>
      <c r="F11" s="1591"/>
      <c r="G11" s="1591"/>
      <c r="H11" s="1591"/>
      <c r="I11" s="1591"/>
      <c r="J11" s="1591"/>
      <c r="K11" s="1591"/>
      <c r="L11" s="1591"/>
      <c r="M11" s="1591"/>
      <c r="N11" s="1591"/>
      <c r="O11" s="1591"/>
      <c r="P11" s="1591"/>
      <c r="Q11" s="1591"/>
      <c r="R11" s="1591"/>
    </row>
    <row r="12" spans="1:21" s="403" customFormat="1" ht="21.95" customHeight="1" thickBot="1">
      <c r="A12" s="237"/>
      <c r="B12" s="483"/>
      <c r="C12" s="296"/>
      <c r="D12" s="488" t="s">
        <v>1265</v>
      </c>
      <c r="E12" s="1592" t="s">
        <v>1826</v>
      </c>
      <c r="F12" s="1593"/>
      <c r="G12" s="1593"/>
      <c r="H12" s="1593"/>
      <c r="I12" s="1593"/>
      <c r="J12" s="1593"/>
      <c r="K12" s="1593"/>
      <c r="L12" s="1593"/>
      <c r="M12" s="1593"/>
      <c r="N12" s="1593"/>
      <c r="O12" s="1593"/>
      <c r="P12" s="1593"/>
      <c r="Q12" s="1593"/>
      <c r="R12" s="1594"/>
    </row>
    <row r="13" spans="1:21" ht="15.75" customHeight="1" thickBot="1">
      <c r="B13" s="1749" t="s">
        <v>2</v>
      </c>
      <c r="C13" s="101"/>
      <c r="D13" s="1680" t="s">
        <v>3</v>
      </c>
      <c r="E13" s="1681"/>
      <c r="F13" s="1681"/>
      <c r="G13" s="1681"/>
      <c r="H13" s="1681"/>
      <c r="I13" s="1686"/>
      <c r="J13" s="1687"/>
      <c r="K13" s="6"/>
    </row>
    <row r="14" spans="1:21" ht="15.75" thickBot="1">
      <c r="B14" s="1750"/>
      <c r="C14" s="97" t="s">
        <v>24</v>
      </c>
      <c r="D14" s="44" t="s">
        <v>156</v>
      </c>
      <c r="E14" s="39" t="s">
        <v>25</v>
      </c>
      <c r="F14" s="39" t="s">
        <v>26</v>
      </c>
      <c r="G14" s="39" t="s">
        <v>27</v>
      </c>
      <c r="H14" s="429" t="s">
        <v>28</v>
      </c>
      <c r="I14" s="456"/>
      <c r="J14" s="457"/>
      <c r="K14" s="6"/>
    </row>
    <row r="15" spans="1:21" ht="84.75" thickBot="1">
      <c r="B15" s="1750"/>
      <c r="C15" s="3" t="s">
        <v>158</v>
      </c>
      <c r="D15" s="190" t="s">
        <v>1004</v>
      </c>
      <c r="E15" s="816">
        <v>15</v>
      </c>
      <c r="F15" s="816">
        <v>15</v>
      </c>
      <c r="G15" s="816">
        <v>15</v>
      </c>
      <c r="H15" s="1293">
        <v>15</v>
      </c>
      <c r="I15" s="458"/>
      <c r="J15" s="22"/>
      <c r="K15" s="6"/>
    </row>
    <row r="16" spans="1:21" ht="84.75" thickBot="1">
      <c r="B16" s="1750"/>
      <c r="C16" s="3" t="s">
        <v>160</v>
      </c>
      <c r="D16" s="190" t="s">
        <v>1005</v>
      </c>
      <c r="E16" s="816">
        <v>15</v>
      </c>
      <c r="F16" s="816">
        <v>15</v>
      </c>
      <c r="G16" s="816">
        <v>15</v>
      </c>
      <c r="H16" s="1293">
        <v>15</v>
      </c>
      <c r="I16" s="458"/>
      <c r="J16" s="22"/>
      <c r="K16" s="6"/>
    </row>
    <row r="17" spans="2:11" ht="72.599999999999994" customHeight="1" thickBot="1">
      <c r="B17" s="1750"/>
      <c r="C17" s="3" t="s">
        <v>162</v>
      </c>
      <c r="D17" s="127" t="s">
        <v>1006</v>
      </c>
      <c r="E17" s="150">
        <f>+E16/E15</f>
        <v>1</v>
      </c>
      <c r="F17" s="150">
        <f>+F16/F15</f>
        <v>1</v>
      </c>
      <c r="G17" s="150">
        <f>+G16/G15</f>
        <v>1</v>
      </c>
      <c r="H17" s="455">
        <f>+H16/H15</f>
        <v>1</v>
      </c>
      <c r="I17" s="459"/>
      <c r="J17" s="24"/>
      <c r="K17" s="6"/>
    </row>
    <row r="18" spans="2:11">
      <c r="B18" s="1750"/>
      <c r="C18" s="102"/>
      <c r="D18" s="1685"/>
      <c r="E18" s="1686"/>
      <c r="F18" s="1686"/>
      <c r="G18" s="1686"/>
      <c r="H18" s="1686"/>
      <c r="I18" s="1851"/>
      <c r="J18" s="1690"/>
      <c r="K18" s="6"/>
    </row>
    <row r="19" spans="2:11" ht="24" customHeight="1" thickBot="1">
      <c r="B19" s="1750"/>
      <c r="C19" s="102"/>
      <c r="D19" s="1688" t="s">
        <v>1007</v>
      </c>
      <c r="E19" s="1689"/>
      <c r="F19" s="1689"/>
      <c r="G19" s="1689"/>
      <c r="H19" s="1689"/>
      <c r="I19" s="1689"/>
      <c r="J19" s="1690"/>
      <c r="K19" s="6"/>
    </row>
    <row r="20" spans="2:11" ht="24.75" thickBot="1">
      <c r="B20" s="1750"/>
      <c r="C20" s="97" t="s">
        <v>24</v>
      </c>
      <c r="D20" s="39" t="s">
        <v>317</v>
      </c>
      <c r="E20" s="122" t="s">
        <v>1008</v>
      </c>
      <c r="F20" s="44" t="s">
        <v>1009</v>
      </c>
      <c r="G20" s="44" t="s">
        <v>60</v>
      </c>
      <c r="H20" s="6"/>
      <c r="J20" s="22"/>
      <c r="K20" s="6"/>
    </row>
    <row r="21" spans="2:11" ht="36.75" thickBot="1">
      <c r="B21" s="1750"/>
      <c r="C21" s="3">
        <v>1</v>
      </c>
      <c r="D21" s="840" t="s">
        <v>1993</v>
      </c>
      <c r="E21" s="7">
        <v>2</v>
      </c>
      <c r="F21" s="831" t="s">
        <v>2093</v>
      </c>
      <c r="G21" s="30"/>
      <c r="H21" s="6"/>
      <c r="J21" s="22"/>
      <c r="K21" s="6"/>
    </row>
    <row r="22" spans="2:11" ht="108.75" thickBot="1">
      <c r="B22" s="1750"/>
      <c r="C22" s="3">
        <v>2</v>
      </c>
      <c r="D22" s="840" t="s">
        <v>2010</v>
      </c>
      <c r="E22" s="816">
        <v>13</v>
      </c>
      <c r="F22" s="840" t="s">
        <v>2094</v>
      </c>
      <c r="G22" s="30"/>
      <c r="H22" s="6"/>
      <c r="J22" s="22"/>
      <c r="K22" s="6"/>
    </row>
    <row r="23" spans="2:11" s="403" customFormat="1" ht="15.75" thickBot="1">
      <c r="B23" s="1750"/>
      <c r="C23" s="430">
        <v>3</v>
      </c>
      <c r="D23" s="30"/>
      <c r="E23" s="7"/>
      <c r="F23" s="983"/>
      <c r="G23" s="30"/>
      <c r="H23" s="6"/>
      <c r="J23" s="22"/>
      <c r="K23" s="6"/>
    </row>
    <row r="24" spans="2:11" s="403" customFormat="1" ht="15.75" thickBot="1">
      <c r="B24" s="1750"/>
      <c r="C24" s="430">
        <v>4</v>
      </c>
      <c r="D24" s="31"/>
      <c r="E24" s="7"/>
      <c r="F24" s="983"/>
      <c r="G24" s="30"/>
      <c r="H24" s="6"/>
      <c r="J24" s="22"/>
      <c r="K24" s="6"/>
    </row>
    <row r="25" spans="2:11" s="403" customFormat="1" ht="15.75" thickBot="1">
      <c r="B25" s="1750"/>
      <c r="C25" s="980"/>
      <c r="D25" s="31"/>
      <c r="E25" s="7"/>
      <c r="F25" s="30"/>
      <c r="G25" s="30"/>
      <c r="H25" s="6"/>
      <c r="J25" s="22"/>
      <c r="K25" s="6"/>
    </row>
    <row r="26" spans="2:11" s="403" customFormat="1" ht="15.75" thickBot="1">
      <c r="B26" s="1750"/>
      <c r="C26" s="980"/>
      <c r="D26" s="30"/>
      <c r="E26" s="7"/>
      <c r="F26" s="982"/>
      <c r="G26" s="30"/>
      <c r="H26" s="6"/>
      <c r="J26" s="22"/>
      <c r="K26" s="6"/>
    </row>
    <row r="27" spans="2:11" s="403" customFormat="1" ht="15.75" thickBot="1">
      <c r="B27" s="1750"/>
      <c r="C27" s="430">
        <v>5</v>
      </c>
      <c r="D27" s="30"/>
      <c r="E27" s="7"/>
      <c r="F27" s="30"/>
      <c r="G27" s="30"/>
      <c r="H27" s="6"/>
      <c r="J27" s="22"/>
      <c r="K27" s="6"/>
    </row>
    <row r="28" spans="2:11" s="403" customFormat="1" ht="15.75" thickBot="1">
      <c r="B28" s="1750"/>
      <c r="C28" s="430">
        <v>6</v>
      </c>
      <c r="D28" s="30"/>
      <c r="E28" s="7"/>
      <c r="F28" s="982"/>
      <c r="G28" s="30"/>
      <c r="H28" s="6"/>
      <c r="J28" s="22"/>
      <c r="K28" s="6"/>
    </row>
    <row r="29" spans="2:11" s="403" customFormat="1" ht="15.75" thickBot="1">
      <c r="B29" s="1750"/>
      <c r="C29" s="430">
        <v>7</v>
      </c>
      <c r="D29" s="30"/>
      <c r="E29" s="7"/>
      <c r="F29" s="30"/>
      <c r="G29" s="30"/>
      <c r="H29" s="6"/>
      <c r="J29" s="22"/>
      <c r="K29" s="6"/>
    </row>
    <row r="30" spans="2:11" s="403" customFormat="1" ht="15.75" thickBot="1">
      <c r="B30" s="1750"/>
      <c r="C30" s="430">
        <v>8</v>
      </c>
      <c r="D30" s="30"/>
      <c r="E30" s="7"/>
      <c r="F30" s="30"/>
      <c r="G30" s="30"/>
      <c r="H30" s="6"/>
      <c r="J30" s="22"/>
      <c r="K30" s="6"/>
    </row>
    <row r="31" spans="2:11" ht="15.75" thickBot="1">
      <c r="B31" s="1750"/>
      <c r="C31" s="430">
        <v>9</v>
      </c>
      <c r="D31" s="30"/>
      <c r="E31" s="7"/>
      <c r="F31" s="30"/>
      <c r="G31" s="982"/>
      <c r="H31" s="6"/>
      <c r="J31" s="22"/>
      <c r="K31" s="6"/>
    </row>
    <row r="32" spans="2:11" ht="15.75" thickBot="1">
      <c r="B32" s="1751"/>
      <c r="C32" s="430">
        <v>10</v>
      </c>
      <c r="D32" s="30"/>
      <c r="E32" s="7"/>
      <c r="F32" s="30"/>
      <c r="G32" s="982"/>
      <c r="H32" s="23"/>
      <c r="J32" s="24"/>
      <c r="K32" s="6"/>
    </row>
    <row r="33" spans="2:11" ht="24" customHeight="1" thickBot="1">
      <c r="B33" s="61" t="s">
        <v>39</v>
      </c>
      <c r="C33" s="103"/>
      <c r="D33" s="1680" t="s">
        <v>1010</v>
      </c>
      <c r="E33" s="1681"/>
      <c r="F33" s="1681"/>
      <c r="G33" s="1681"/>
      <c r="H33" s="1681"/>
      <c r="I33" s="1681"/>
      <c r="J33" s="1682"/>
      <c r="K33" s="6"/>
    </row>
    <row r="34" spans="2:11" ht="18.75" thickBot="1">
      <c r="B34" s="61" t="s">
        <v>41</v>
      </c>
      <c r="C34" s="103"/>
      <c r="D34" s="1680" t="s">
        <v>286</v>
      </c>
      <c r="E34" s="1681"/>
      <c r="F34" s="1681"/>
      <c r="G34" s="1681"/>
      <c r="H34" s="1681"/>
      <c r="I34" s="1681"/>
      <c r="J34" s="1682"/>
      <c r="K34" s="6"/>
    </row>
    <row r="35" spans="2:11" ht="15.75" thickBot="1">
      <c r="B35" s="2"/>
      <c r="C35" s="75"/>
      <c r="D35" s="6"/>
      <c r="E35" s="6"/>
      <c r="F35" s="6"/>
      <c r="G35" s="6"/>
      <c r="H35" s="6"/>
      <c r="I35" s="6"/>
      <c r="J35" s="6"/>
      <c r="K35" s="6"/>
    </row>
    <row r="36" spans="2:11" ht="24" customHeight="1" thickBot="1">
      <c r="B36" s="1671" t="s">
        <v>43</v>
      </c>
      <c r="C36" s="1672"/>
      <c r="D36" s="1672"/>
      <c r="E36" s="1673"/>
      <c r="F36" s="6"/>
      <c r="G36" s="6"/>
      <c r="H36" s="6"/>
      <c r="I36" s="6"/>
      <c r="J36" s="6"/>
      <c r="K36" s="6"/>
    </row>
    <row r="37" spans="2:11" ht="15.75" thickBot="1">
      <c r="B37" s="1668">
        <v>1</v>
      </c>
      <c r="C37" s="93"/>
      <c r="D37" s="49" t="s">
        <v>44</v>
      </c>
      <c r="E37" s="31" t="s">
        <v>1616</v>
      </c>
      <c r="F37" s="6"/>
      <c r="G37" s="6"/>
      <c r="H37" s="6"/>
      <c r="I37" s="6"/>
      <c r="J37" s="6"/>
      <c r="K37" s="6"/>
    </row>
    <row r="38" spans="2:11" ht="15.75" thickBot="1">
      <c r="B38" s="1669"/>
      <c r="C38" s="93"/>
      <c r="D38" s="41" t="s">
        <v>45</v>
      </c>
      <c r="E38" s="31" t="s">
        <v>1827</v>
      </c>
      <c r="F38" s="6"/>
      <c r="G38" s="6"/>
      <c r="H38" s="6"/>
      <c r="I38" s="6"/>
      <c r="J38" s="6"/>
      <c r="K38" s="6"/>
    </row>
    <row r="39" spans="2:11" ht="15.75" thickBot="1">
      <c r="B39" s="1669"/>
      <c r="C39" s="93"/>
      <c r="D39" s="41" t="s">
        <v>46</v>
      </c>
      <c r="E39" s="31" t="s">
        <v>1639</v>
      </c>
      <c r="F39" s="6"/>
      <c r="G39" s="6"/>
      <c r="H39" s="6"/>
      <c r="I39" s="6"/>
      <c r="J39" s="6"/>
      <c r="K39" s="6"/>
    </row>
    <row r="40" spans="2:11" ht="15.75" thickBot="1">
      <c r="B40" s="1669"/>
      <c r="C40" s="93"/>
      <c r="D40" s="41" t="s">
        <v>47</v>
      </c>
      <c r="E40" s="31" t="s">
        <v>1626</v>
      </c>
      <c r="F40" s="6"/>
      <c r="G40" s="6"/>
      <c r="H40" s="6"/>
      <c r="I40" s="6"/>
      <c r="J40" s="6"/>
      <c r="K40" s="6"/>
    </row>
    <row r="41" spans="2:11" ht="15.75" thickBot="1">
      <c r="B41" s="1669"/>
      <c r="C41" s="93"/>
      <c r="D41" s="41" t="s">
        <v>48</v>
      </c>
      <c r="E41" s="819" t="s">
        <v>1815</v>
      </c>
      <c r="F41" s="6"/>
      <c r="G41" s="6"/>
      <c r="H41" s="6"/>
      <c r="I41" s="6"/>
      <c r="J41" s="6"/>
      <c r="K41" s="6"/>
    </row>
    <row r="42" spans="2:11" ht="15.75" thickBot="1">
      <c r="B42" s="1669"/>
      <c r="C42" s="93"/>
      <c r="D42" s="41" t="s">
        <v>49</v>
      </c>
      <c r="E42" s="31" t="s">
        <v>1645</v>
      </c>
      <c r="F42" s="6"/>
      <c r="G42" s="6"/>
      <c r="H42" s="6"/>
      <c r="I42" s="6"/>
      <c r="J42" s="6"/>
      <c r="K42" s="6"/>
    </row>
    <row r="43" spans="2:11" ht="15.75" thickBot="1">
      <c r="B43" s="1670"/>
      <c r="C43" s="3"/>
      <c r="D43" s="41" t="s">
        <v>50</v>
      </c>
      <c r="E43" s="31" t="s">
        <v>1607</v>
      </c>
      <c r="F43" s="6"/>
      <c r="G43" s="6"/>
      <c r="H43" s="6"/>
      <c r="I43" s="6"/>
      <c r="J43" s="6"/>
      <c r="K43" s="6"/>
    </row>
    <row r="44" spans="2:11" ht="15.75" thickBot="1">
      <c r="B44" s="2"/>
      <c r="C44" s="75"/>
      <c r="D44" s="6"/>
      <c r="E44" s="6"/>
      <c r="F44" s="6"/>
      <c r="G44" s="6"/>
      <c r="H44" s="6"/>
      <c r="I44" s="6"/>
      <c r="J44" s="6"/>
      <c r="K44" s="6"/>
    </row>
    <row r="45" spans="2:11" ht="15.75" thickBot="1">
      <c r="B45" s="1671" t="s">
        <v>51</v>
      </c>
      <c r="C45" s="1672"/>
      <c r="D45" s="1672"/>
      <c r="E45" s="1673"/>
      <c r="F45" s="6"/>
      <c r="G45" s="6"/>
      <c r="H45" s="6"/>
      <c r="I45" s="6"/>
      <c r="J45" s="6"/>
      <c r="K45" s="6"/>
    </row>
    <row r="46" spans="2:11" ht="15.75" thickBot="1">
      <c r="B46" s="1668">
        <v>1</v>
      </c>
      <c r="C46" s="93"/>
      <c r="D46" s="49" t="s">
        <v>44</v>
      </c>
      <c r="E46" s="432" t="s">
        <v>52</v>
      </c>
      <c r="F46" s="6"/>
      <c r="G46" s="6"/>
      <c r="H46" s="6"/>
      <c r="I46" s="6"/>
      <c r="J46" s="6"/>
      <c r="K46" s="6"/>
    </row>
    <row r="47" spans="2:11" ht="15.75" thickBot="1">
      <c r="B47" s="1669"/>
      <c r="C47" s="93"/>
      <c r="D47" s="41" t="s">
        <v>45</v>
      </c>
      <c r="E47" s="432" t="s">
        <v>53</v>
      </c>
      <c r="F47" s="6"/>
      <c r="G47" s="6"/>
      <c r="H47" s="6"/>
      <c r="I47" s="6"/>
      <c r="J47" s="6"/>
      <c r="K47" s="6"/>
    </row>
    <row r="48" spans="2:11" ht="15.75" thickBot="1">
      <c r="B48" s="1669"/>
      <c r="C48" s="93"/>
      <c r="D48" s="41" t="s">
        <v>46</v>
      </c>
      <c r="E48" s="460"/>
      <c r="F48" s="6"/>
      <c r="G48" s="6"/>
      <c r="H48" s="6"/>
      <c r="I48" s="6"/>
      <c r="J48" s="6"/>
      <c r="K48" s="6"/>
    </row>
    <row r="49" spans="2:11" ht="15.75" thickBot="1">
      <c r="B49" s="1669"/>
      <c r="C49" s="93"/>
      <c r="D49" s="41" t="s">
        <v>47</v>
      </c>
      <c r="E49" s="460"/>
      <c r="F49" s="6"/>
      <c r="G49" s="6"/>
      <c r="H49" s="6"/>
      <c r="I49" s="6"/>
      <c r="J49" s="6"/>
      <c r="K49" s="6"/>
    </row>
    <row r="50" spans="2:11" ht="15.75" thickBot="1">
      <c r="B50" s="1669"/>
      <c r="C50" s="93"/>
      <c r="D50" s="41" t="s">
        <v>48</v>
      </c>
      <c r="E50" s="460"/>
      <c r="F50" s="6"/>
      <c r="G50" s="6"/>
      <c r="H50" s="6"/>
      <c r="I50" s="6"/>
      <c r="J50" s="6"/>
      <c r="K50" s="6"/>
    </row>
    <row r="51" spans="2:11" ht="15.75" thickBot="1">
      <c r="B51" s="1669"/>
      <c r="C51" s="93"/>
      <c r="D51" s="41" t="s">
        <v>49</v>
      </c>
      <c r="E51" s="460"/>
      <c r="F51" s="6"/>
      <c r="G51" s="6"/>
      <c r="H51" s="6"/>
      <c r="I51" s="6"/>
      <c r="J51" s="6"/>
      <c r="K51" s="6"/>
    </row>
    <row r="52" spans="2:11" ht="15.75" thickBot="1">
      <c r="B52" s="1670"/>
      <c r="C52" s="3"/>
      <c r="D52" s="41" t="s">
        <v>50</v>
      </c>
      <c r="E52" s="460"/>
      <c r="F52" s="6"/>
      <c r="G52" s="6"/>
      <c r="H52" s="6"/>
      <c r="I52" s="6"/>
      <c r="J52" s="6"/>
      <c r="K52" s="6"/>
    </row>
    <row r="53" spans="2:11">
      <c r="B53" s="2"/>
      <c r="C53" s="75"/>
      <c r="D53" s="6"/>
      <c r="E53" s="6"/>
      <c r="F53" s="6"/>
      <c r="G53" s="6"/>
      <c r="H53" s="6"/>
      <c r="I53" s="6"/>
      <c r="J53" s="6"/>
      <c r="K53" s="6"/>
    </row>
    <row r="54" spans="2:11" ht="15.75" thickBot="1">
      <c r="B54" s="2"/>
      <c r="C54" s="75"/>
      <c r="D54" s="6"/>
      <c r="E54" s="6"/>
      <c r="F54" s="6"/>
      <c r="G54" s="6"/>
      <c r="H54" s="6"/>
      <c r="I54" s="6"/>
      <c r="J54" s="6"/>
      <c r="K54" s="6"/>
    </row>
    <row r="55" spans="2:11" ht="15" customHeight="1" thickBot="1">
      <c r="B55" s="119" t="s">
        <v>54</v>
      </c>
      <c r="C55" s="120"/>
      <c r="D55" s="120"/>
      <c r="E55" s="121"/>
      <c r="G55" s="6"/>
      <c r="H55" s="6"/>
      <c r="I55" s="6"/>
      <c r="J55" s="6"/>
      <c r="K55" s="6"/>
    </row>
    <row r="56" spans="2:11" ht="24.75" thickBot="1">
      <c r="B56" s="48" t="s">
        <v>55</v>
      </c>
      <c r="C56" s="41" t="s">
        <v>56</v>
      </c>
      <c r="D56" s="41" t="s">
        <v>57</v>
      </c>
      <c r="E56" s="41" t="s">
        <v>58</v>
      </c>
      <c r="F56" s="6"/>
      <c r="G56" s="6"/>
      <c r="H56" s="6"/>
      <c r="I56" s="6"/>
      <c r="J56" s="6"/>
    </row>
    <row r="57" spans="2:11" ht="120.75" thickBot="1">
      <c r="B57" s="50">
        <v>42401</v>
      </c>
      <c r="C57" s="41">
        <v>0.01</v>
      </c>
      <c r="D57" s="51" t="s">
        <v>1011</v>
      </c>
      <c r="E57" s="41"/>
      <c r="F57" s="6"/>
      <c r="G57" s="6"/>
      <c r="H57" s="6"/>
      <c r="I57" s="6"/>
      <c r="J57" s="6"/>
    </row>
    <row r="58" spans="2:11" ht="15.75" thickBot="1">
      <c r="B58" s="4"/>
      <c r="C58" s="94"/>
      <c r="D58" s="6"/>
      <c r="E58" s="6"/>
      <c r="F58" s="6"/>
      <c r="G58" s="6"/>
      <c r="H58" s="6"/>
      <c r="I58" s="6"/>
      <c r="J58" s="6"/>
      <c r="K58" s="6"/>
    </row>
    <row r="59" spans="2:11">
      <c r="B59" s="134" t="s">
        <v>60</v>
      </c>
      <c r="C59" s="95"/>
      <c r="D59" s="6"/>
      <c r="E59" s="6"/>
      <c r="F59" s="6"/>
      <c r="G59" s="6"/>
      <c r="H59" s="6"/>
      <c r="I59" s="6"/>
      <c r="J59" s="6"/>
      <c r="K59" s="6"/>
    </row>
    <row r="60" spans="2:11">
      <c r="B60" s="1845"/>
      <c r="C60" s="1846"/>
      <c r="D60" s="1846"/>
      <c r="E60" s="1847"/>
      <c r="F60" s="6"/>
      <c r="G60" s="6"/>
      <c r="H60" s="6"/>
      <c r="I60" s="6"/>
      <c r="J60" s="6"/>
      <c r="K60" s="6"/>
    </row>
    <row r="61" spans="2:11">
      <c r="B61" s="1848"/>
      <c r="C61" s="1849"/>
      <c r="D61" s="1849"/>
      <c r="E61" s="1850"/>
      <c r="F61" s="6"/>
      <c r="G61" s="6"/>
      <c r="H61" s="6"/>
      <c r="I61" s="6"/>
      <c r="J61" s="6"/>
      <c r="K61" s="6"/>
    </row>
    <row r="62" spans="2:11">
      <c r="B62" s="2"/>
      <c r="C62" s="75"/>
      <c r="D62" s="6"/>
      <c r="E62" s="6"/>
      <c r="F62" s="6"/>
      <c r="G62" s="6"/>
      <c r="H62" s="6"/>
      <c r="I62" s="6"/>
      <c r="J62" s="6"/>
      <c r="K62" s="6"/>
    </row>
    <row r="63" spans="2:11" ht="15.75" thickBot="1">
      <c r="B63" s="6"/>
      <c r="D63" s="6"/>
      <c r="E63" s="6"/>
      <c r="F63" s="6"/>
      <c r="G63" s="6"/>
      <c r="H63" s="6"/>
      <c r="I63" s="6"/>
      <c r="J63" s="6"/>
      <c r="K63" s="6"/>
    </row>
    <row r="64" spans="2:11" ht="15.75" thickBot="1">
      <c r="B64" s="1671" t="s">
        <v>61</v>
      </c>
      <c r="C64" s="1672"/>
      <c r="D64" s="1673"/>
      <c r="E64" s="6"/>
      <c r="F64" s="6"/>
      <c r="G64" s="6"/>
      <c r="H64" s="6"/>
      <c r="I64" s="6"/>
      <c r="J64" s="6"/>
      <c r="K64" s="6"/>
    </row>
    <row r="65" spans="2:11" ht="120">
      <c r="B65" s="1668" t="s">
        <v>62</v>
      </c>
      <c r="C65" s="93"/>
      <c r="D65" s="47" t="s">
        <v>984</v>
      </c>
      <c r="E65" s="6"/>
      <c r="F65" s="6"/>
      <c r="G65" s="6"/>
      <c r="H65" s="6"/>
      <c r="I65" s="6"/>
      <c r="J65" s="6"/>
      <c r="K65" s="6"/>
    </row>
    <row r="66" spans="2:11">
      <c r="B66" s="1669"/>
      <c r="C66" s="93"/>
      <c r="D66" s="54" t="s">
        <v>65</v>
      </c>
      <c r="E66" s="6"/>
      <c r="F66" s="6"/>
      <c r="G66" s="6"/>
      <c r="H66" s="6"/>
      <c r="I66" s="6"/>
      <c r="J66" s="6"/>
      <c r="K66" s="6"/>
    </row>
    <row r="67" spans="2:11" ht="144">
      <c r="B67" s="1669"/>
      <c r="C67" s="93"/>
      <c r="D67" s="47" t="s">
        <v>985</v>
      </c>
      <c r="E67" s="6"/>
      <c r="F67" s="6"/>
      <c r="G67" s="6"/>
      <c r="H67" s="6"/>
      <c r="I67" s="6"/>
      <c r="J67" s="6"/>
      <c r="K67" s="6"/>
    </row>
    <row r="68" spans="2:11">
      <c r="B68" s="1669"/>
      <c r="C68" s="93"/>
      <c r="D68" s="54" t="s">
        <v>68</v>
      </c>
      <c r="E68" s="6"/>
      <c r="F68" s="6"/>
      <c r="G68" s="6"/>
      <c r="H68" s="6"/>
      <c r="I68" s="6"/>
      <c r="J68" s="6"/>
      <c r="K68" s="6"/>
    </row>
    <row r="69" spans="2:11" ht="372.75" thickBot="1">
      <c r="B69" s="1670"/>
      <c r="C69" s="3"/>
      <c r="D69" s="41" t="s">
        <v>986</v>
      </c>
      <c r="E69" s="6"/>
      <c r="F69" s="6"/>
      <c r="G69" s="6"/>
      <c r="H69" s="6"/>
      <c r="I69" s="6"/>
      <c r="J69" s="6"/>
      <c r="K69" s="6"/>
    </row>
    <row r="70" spans="2:11" ht="348">
      <c r="B70" s="1668" t="s">
        <v>64</v>
      </c>
      <c r="C70" s="93"/>
      <c r="D70" s="26" t="s">
        <v>987</v>
      </c>
      <c r="E70" s="6"/>
      <c r="F70" s="6"/>
      <c r="G70" s="6"/>
      <c r="H70" s="6"/>
      <c r="I70" s="6"/>
      <c r="J70" s="6"/>
      <c r="K70" s="6"/>
    </row>
    <row r="71" spans="2:11" ht="264">
      <c r="B71" s="1669"/>
      <c r="C71" s="93"/>
      <c r="D71" s="26" t="s">
        <v>988</v>
      </c>
      <c r="E71" s="6"/>
      <c r="F71" s="6"/>
      <c r="G71" s="6"/>
      <c r="H71" s="6"/>
      <c r="I71" s="6"/>
      <c r="J71" s="6"/>
      <c r="K71" s="6"/>
    </row>
    <row r="72" spans="2:11" ht="36">
      <c r="B72" s="1669"/>
      <c r="C72" s="93"/>
      <c r="D72" s="26" t="s">
        <v>989</v>
      </c>
      <c r="E72" s="6"/>
      <c r="F72" s="6"/>
      <c r="G72" s="6"/>
      <c r="H72" s="6"/>
      <c r="I72" s="6"/>
      <c r="J72" s="6"/>
      <c r="K72" s="6"/>
    </row>
    <row r="73" spans="2:11" ht="24">
      <c r="B73" s="1669"/>
      <c r="C73" s="93"/>
      <c r="D73" s="26" t="s">
        <v>990</v>
      </c>
      <c r="E73" s="6"/>
      <c r="F73" s="6"/>
      <c r="G73" s="6"/>
      <c r="H73" s="6"/>
      <c r="I73" s="6"/>
      <c r="J73" s="6"/>
      <c r="K73" s="6"/>
    </row>
    <row r="74" spans="2:11">
      <c r="B74" s="1669"/>
      <c r="C74" s="93"/>
      <c r="D74" s="54" t="s">
        <v>296</v>
      </c>
      <c r="E74" s="6"/>
      <c r="F74" s="6"/>
      <c r="G74" s="6"/>
      <c r="H74" s="6"/>
      <c r="I74" s="6"/>
      <c r="J74" s="6"/>
      <c r="K74" s="6"/>
    </row>
    <row r="75" spans="2:11" ht="15.75" thickBot="1">
      <c r="B75" s="1670"/>
      <c r="C75" s="3"/>
      <c r="D75" s="41" t="s">
        <v>297</v>
      </c>
      <c r="E75" s="6"/>
      <c r="F75" s="6"/>
      <c r="G75" s="6"/>
      <c r="H75" s="6"/>
      <c r="I75" s="6"/>
      <c r="J75" s="6"/>
      <c r="K75" s="6"/>
    </row>
    <row r="76" spans="2:11" ht="24.75" thickBot="1">
      <c r="B76" s="48" t="s">
        <v>77</v>
      </c>
      <c r="C76" s="3"/>
      <c r="D76" s="41"/>
      <c r="E76" s="6"/>
      <c r="F76" s="6"/>
      <c r="G76" s="6"/>
      <c r="H76" s="6"/>
      <c r="I76" s="6"/>
      <c r="J76" s="6"/>
      <c r="K76" s="6"/>
    </row>
    <row r="77" spans="2:11" ht="396">
      <c r="B77" s="1668" t="s">
        <v>78</v>
      </c>
      <c r="C77" s="93"/>
      <c r="D77" s="47" t="s">
        <v>991</v>
      </c>
      <c r="E77" s="6"/>
      <c r="F77" s="6"/>
      <c r="G77" s="6"/>
      <c r="H77" s="6"/>
      <c r="I77" s="6"/>
      <c r="J77" s="6"/>
      <c r="K77" s="6"/>
    </row>
    <row r="78" spans="2:11" ht="216">
      <c r="B78" s="1669"/>
      <c r="C78" s="93"/>
      <c r="D78" s="47" t="s">
        <v>992</v>
      </c>
      <c r="E78" s="6"/>
      <c r="F78" s="6"/>
      <c r="G78" s="6"/>
      <c r="H78" s="6"/>
      <c r="I78" s="6"/>
      <c r="J78" s="6"/>
      <c r="K78" s="6"/>
    </row>
    <row r="79" spans="2:11" ht="120">
      <c r="B79" s="1669"/>
      <c r="C79" s="93"/>
      <c r="D79" s="47" t="s">
        <v>993</v>
      </c>
      <c r="E79" s="6"/>
      <c r="F79" s="6"/>
      <c r="G79" s="6"/>
      <c r="H79" s="6"/>
      <c r="I79" s="6"/>
      <c r="J79" s="6"/>
      <c r="K79" s="6"/>
    </row>
    <row r="80" spans="2:11" ht="108">
      <c r="B80" s="1669"/>
      <c r="C80" s="93"/>
      <c r="D80" s="47" t="s">
        <v>994</v>
      </c>
      <c r="E80" s="6"/>
      <c r="F80" s="6"/>
      <c r="G80" s="6"/>
      <c r="H80" s="6"/>
      <c r="I80" s="6"/>
      <c r="J80" s="6"/>
      <c r="K80" s="6"/>
    </row>
    <row r="81" spans="2:11" ht="252">
      <c r="B81" s="1669"/>
      <c r="C81" s="93"/>
      <c r="D81" s="47" t="s">
        <v>995</v>
      </c>
      <c r="E81" s="6"/>
      <c r="F81" s="6"/>
      <c r="G81" s="6"/>
      <c r="H81" s="6"/>
      <c r="I81" s="6"/>
      <c r="J81" s="6"/>
      <c r="K81" s="6"/>
    </row>
    <row r="82" spans="2:11" ht="48">
      <c r="B82" s="1669"/>
      <c r="C82" s="93"/>
      <c r="D82" s="47" t="s">
        <v>996</v>
      </c>
      <c r="E82" s="6"/>
      <c r="F82" s="6"/>
      <c r="G82" s="6"/>
      <c r="H82" s="6"/>
      <c r="I82" s="6"/>
      <c r="J82" s="6"/>
      <c r="K82" s="6"/>
    </row>
    <row r="83" spans="2:11" ht="96">
      <c r="B83" s="1669"/>
      <c r="C83" s="93"/>
      <c r="D83" s="62" t="s">
        <v>997</v>
      </c>
      <c r="E83" s="6"/>
      <c r="F83" s="6"/>
      <c r="G83" s="6"/>
      <c r="H83" s="6"/>
      <c r="I83" s="6"/>
      <c r="J83" s="6"/>
      <c r="K83" s="6"/>
    </row>
    <row r="84" spans="2:11" ht="60">
      <c r="B84" s="1669"/>
      <c r="C84" s="93"/>
      <c r="D84" s="62" t="s">
        <v>998</v>
      </c>
      <c r="E84" s="6"/>
      <c r="F84" s="6"/>
      <c r="G84" s="6"/>
      <c r="H84" s="6"/>
      <c r="I84" s="6"/>
      <c r="J84" s="6"/>
      <c r="K84" s="6"/>
    </row>
    <row r="85" spans="2:11" ht="52.5" thickBot="1">
      <c r="B85" s="1670"/>
      <c r="C85" s="3"/>
      <c r="D85" s="63" t="s">
        <v>999</v>
      </c>
      <c r="E85" s="6"/>
      <c r="F85" s="6"/>
      <c r="G85" s="6"/>
      <c r="H85" s="6"/>
      <c r="I85" s="6"/>
      <c r="J85" s="6"/>
      <c r="K85" s="6"/>
    </row>
    <row r="86" spans="2:11" ht="15.75" thickBot="1">
      <c r="B86" s="2"/>
      <c r="C86" s="75"/>
      <c r="D86" s="6"/>
      <c r="E86" s="6"/>
      <c r="F86" s="6"/>
      <c r="G86" s="6"/>
      <c r="H86" s="6"/>
      <c r="I86" s="6"/>
      <c r="J86" s="6"/>
      <c r="K86" s="6"/>
    </row>
    <row r="87" spans="2:11" ht="48">
      <c r="B87" s="1668" t="s">
        <v>95</v>
      </c>
      <c r="C87" s="104"/>
      <c r="D87" s="65" t="s">
        <v>1000</v>
      </c>
      <c r="E87" s="6"/>
      <c r="F87" s="6"/>
      <c r="G87" s="6"/>
      <c r="H87" s="6"/>
      <c r="I87" s="6"/>
      <c r="J87" s="6"/>
      <c r="K87" s="6"/>
    </row>
    <row r="88" spans="2:11">
      <c r="B88" s="1669"/>
      <c r="C88" s="93"/>
      <c r="D88" s="17"/>
      <c r="E88" s="6"/>
      <c r="F88" s="6"/>
      <c r="G88" s="6"/>
      <c r="H88" s="6"/>
      <c r="I88" s="6"/>
      <c r="J88" s="6"/>
      <c r="K88" s="6"/>
    </row>
    <row r="89" spans="2:11">
      <c r="B89" s="1669"/>
      <c r="C89" s="93"/>
      <c r="D89" s="47" t="s">
        <v>96</v>
      </c>
      <c r="E89" s="6"/>
      <c r="F89" s="6"/>
      <c r="G89" s="6"/>
      <c r="H89" s="6"/>
      <c r="I89" s="6"/>
      <c r="J89" s="6"/>
      <c r="K89" s="6"/>
    </row>
    <row r="90" spans="2:11" ht="109.5">
      <c r="B90" s="1669"/>
      <c r="C90" s="93"/>
      <c r="D90" s="47" t="s">
        <v>1001</v>
      </c>
      <c r="E90" s="6"/>
      <c r="F90" s="6"/>
      <c r="G90" s="6"/>
      <c r="H90" s="6"/>
      <c r="I90" s="6"/>
      <c r="J90" s="6"/>
      <c r="K90" s="6"/>
    </row>
    <row r="91" spans="2:11" ht="97.5">
      <c r="B91" s="1669"/>
      <c r="C91" s="93"/>
      <c r="D91" s="47" t="s">
        <v>1002</v>
      </c>
      <c r="E91" s="6"/>
      <c r="F91" s="6"/>
      <c r="G91" s="6"/>
      <c r="H91" s="6"/>
      <c r="I91" s="6"/>
      <c r="J91" s="6"/>
      <c r="K91" s="6"/>
    </row>
    <row r="92" spans="2:11" ht="98.25" thickBot="1">
      <c r="B92" s="1670"/>
      <c r="C92" s="3"/>
      <c r="D92" s="41" t="s">
        <v>1003</v>
      </c>
      <c r="E92" s="6"/>
      <c r="F92" s="6"/>
      <c r="G92" s="6"/>
      <c r="H92" s="6"/>
      <c r="I92" s="6"/>
      <c r="J92" s="6"/>
      <c r="K92" s="6"/>
    </row>
    <row r="93" spans="2:11">
      <c r="B93" s="6"/>
      <c r="D93" s="6"/>
      <c r="E93" s="6"/>
      <c r="F93" s="6"/>
      <c r="G93" s="6"/>
      <c r="H93" s="6"/>
      <c r="I93" s="6"/>
      <c r="J93" s="6"/>
      <c r="K93" s="6"/>
    </row>
  </sheetData>
  <sheetProtection sheet="1" objects="1" scenarios="1" insertRows="0"/>
  <mergeCells count="26">
    <mergeCell ref="A1:P1"/>
    <mergeCell ref="A2:P2"/>
    <mergeCell ref="A3:P3"/>
    <mergeCell ref="A4:D4"/>
    <mergeCell ref="A5:P5"/>
    <mergeCell ref="B9:D9"/>
    <mergeCell ref="F9:S9"/>
    <mergeCell ref="F10:S10"/>
    <mergeCell ref="E11:R11"/>
    <mergeCell ref="E12:R12"/>
    <mergeCell ref="D13:J13"/>
    <mergeCell ref="D18:J18"/>
    <mergeCell ref="D19:J19"/>
    <mergeCell ref="B64:D64"/>
    <mergeCell ref="D33:J33"/>
    <mergeCell ref="D34:J34"/>
    <mergeCell ref="B36:E36"/>
    <mergeCell ref="B37:B43"/>
    <mergeCell ref="B45:E45"/>
    <mergeCell ref="B46:B52"/>
    <mergeCell ref="B60:E61"/>
    <mergeCell ref="B65:B69"/>
    <mergeCell ref="B70:B75"/>
    <mergeCell ref="B77:B85"/>
    <mergeCell ref="B87:B92"/>
    <mergeCell ref="B13:B32"/>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2">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 ref="E41" r:id="rId1"/>
  </hyperlinks>
  <pageMargins left="0.25" right="0.25" top="0.75" bottom="0.75" header="0.3" footer="0.3"/>
  <pageSetup paperSize="178" orientation="landscape" horizontalDpi="1200" verticalDpi="1200"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topLeftCell="A23" zoomScale="98" zoomScaleNormal="98" workbookViewId="0">
      <selection activeCell="D40" sqref="D40:M40"/>
    </sheetView>
  </sheetViews>
  <sheetFormatPr baseColWidth="10" defaultRowHeight="15"/>
  <cols>
    <col min="1" max="1" width="1.85546875" customWidth="1"/>
    <col min="2" max="2" width="10.570312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1012</v>
      </c>
      <c r="B5" s="1556"/>
      <c r="C5" s="1556"/>
      <c r="D5" s="1556"/>
      <c r="E5" s="1556"/>
      <c r="F5" s="1556"/>
      <c r="G5" s="1556"/>
      <c r="H5" s="1556"/>
      <c r="I5" s="1556"/>
      <c r="J5" s="1556"/>
      <c r="K5" s="1556"/>
      <c r="L5" s="1556"/>
      <c r="M5" s="1556"/>
      <c r="N5" s="1556"/>
      <c r="O5" s="1556"/>
      <c r="P5" s="1557"/>
    </row>
    <row r="6" spans="1:21">
      <c r="B6" s="2" t="s">
        <v>1</v>
      </c>
      <c r="C6" s="75"/>
      <c r="D6" s="6"/>
      <c r="E6" s="213"/>
      <c r="F6" s="6" t="s">
        <v>133</v>
      </c>
      <c r="G6" s="6"/>
      <c r="H6" s="6"/>
      <c r="I6" s="6"/>
      <c r="J6" s="6"/>
      <c r="K6" s="6"/>
    </row>
    <row r="7" spans="1:21" ht="15.75" thickBot="1">
      <c r="B7" s="74"/>
      <c r="C7" s="76"/>
      <c r="D7" s="6"/>
      <c r="E7" s="18"/>
      <c r="F7" s="6" t="s">
        <v>134</v>
      </c>
      <c r="G7" s="6"/>
      <c r="H7" s="6"/>
      <c r="I7" s="6"/>
      <c r="J7" s="6"/>
      <c r="K7" s="6"/>
    </row>
    <row r="8" spans="1:21" ht="15.75" thickBot="1">
      <c r="B8" s="174" t="s">
        <v>1203</v>
      </c>
      <c r="C8" s="214">
        <v>2018</v>
      </c>
      <c r="D8" s="218">
        <f>IF(E10="NO APLICA","NO APLICA",IF(E11="NO SE REPORTA","SIN INFORMACION",+F81))</f>
        <v>0.35</v>
      </c>
      <c r="E8" s="215"/>
      <c r="F8" s="6" t="s">
        <v>135</v>
      </c>
      <c r="G8" s="6"/>
      <c r="H8" s="6"/>
      <c r="I8" s="6"/>
      <c r="J8" s="6"/>
      <c r="K8" s="6"/>
    </row>
    <row r="9" spans="1:21">
      <c r="B9" s="483" t="s">
        <v>1204</v>
      </c>
      <c r="C9" s="87"/>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16.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
        <v>1792</v>
      </c>
      <c r="F12" s="1591"/>
      <c r="G12" s="1591"/>
      <c r="H12" s="1591"/>
      <c r="I12" s="1591"/>
      <c r="J12" s="1591"/>
      <c r="K12" s="1591"/>
      <c r="L12" s="1591"/>
      <c r="M12" s="1591"/>
      <c r="N12" s="1591"/>
      <c r="O12" s="1591"/>
      <c r="P12" s="1591"/>
      <c r="Q12" s="1591"/>
      <c r="R12" s="1591"/>
    </row>
    <row r="13" spans="1:21" s="403" customFormat="1" ht="14.25" customHeight="1">
      <c r="A13" s="237"/>
      <c r="B13" s="483"/>
      <c r="C13" s="296"/>
      <c r="D13" s="488" t="s">
        <v>1265</v>
      </c>
      <c r="E13" s="1592" t="s">
        <v>1826</v>
      </c>
      <c r="F13" s="1593"/>
      <c r="G13" s="1593"/>
      <c r="H13" s="1593"/>
      <c r="I13" s="1593"/>
      <c r="J13" s="1593"/>
      <c r="K13" s="1593"/>
      <c r="L13" s="1593"/>
      <c r="M13" s="1593"/>
      <c r="N13" s="1593"/>
      <c r="O13" s="1593"/>
      <c r="P13" s="1593"/>
      <c r="Q13" s="1593"/>
      <c r="R13" s="1594"/>
    </row>
    <row r="14" spans="1:21" s="403" customFormat="1" ht="14.25" customHeight="1" thickBot="1">
      <c r="B14" s="483"/>
      <c r="C14" s="87"/>
      <c r="D14" s="6"/>
      <c r="E14" s="6"/>
      <c r="F14" s="6"/>
      <c r="G14" s="6"/>
      <c r="H14" s="6"/>
      <c r="I14" s="6"/>
      <c r="J14" s="6"/>
      <c r="K14" s="6"/>
    </row>
    <row r="15" spans="1:21" ht="15" customHeight="1" thickTop="1">
      <c r="B15" s="1683" t="s">
        <v>2</v>
      </c>
      <c r="C15" s="88"/>
      <c r="D15" s="1685" t="s">
        <v>3</v>
      </c>
      <c r="E15" s="1686"/>
      <c r="F15" s="1686"/>
      <c r="G15" s="1686"/>
      <c r="H15" s="1686"/>
      <c r="I15" s="1686"/>
      <c r="J15" s="1686"/>
      <c r="K15" s="1686"/>
      <c r="L15" s="1753"/>
      <c r="M15" s="1733"/>
    </row>
    <row r="16" spans="1:21">
      <c r="B16" s="1684"/>
      <c r="C16" s="91"/>
      <c r="D16" s="1784" t="s">
        <v>1031</v>
      </c>
      <c r="E16" s="1785"/>
      <c r="F16" s="1785"/>
      <c r="G16" s="1785"/>
      <c r="H16" s="1785"/>
      <c r="I16" s="1785"/>
      <c r="J16" s="1785"/>
      <c r="K16" s="1785"/>
      <c r="L16" s="1852"/>
      <c r="M16" s="1816"/>
    </row>
    <row r="17" spans="2:14" ht="15.75" thickBot="1">
      <c r="B17" s="1684"/>
      <c r="C17" s="91"/>
      <c r="D17" s="1688" t="s">
        <v>1032</v>
      </c>
      <c r="E17" s="1689"/>
      <c r="F17" s="1689"/>
      <c r="G17" s="1689"/>
      <c r="H17" s="1689"/>
      <c r="I17" s="1689"/>
      <c r="J17" s="1689"/>
      <c r="K17" s="1689"/>
      <c r="L17" s="1754"/>
      <c r="M17" s="1734"/>
    </row>
    <row r="18" spans="2:14" ht="15.75" thickBot="1">
      <c r="B18" s="1684"/>
      <c r="C18" s="93"/>
      <c r="D18" s="1854" t="s">
        <v>1033</v>
      </c>
      <c r="E18" s="1740" t="s">
        <v>1034</v>
      </c>
      <c r="F18" s="1748"/>
      <c r="G18" s="1740" t="s">
        <v>1035</v>
      </c>
      <c r="H18" s="1748"/>
      <c r="I18" s="1740" t="s">
        <v>157</v>
      </c>
      <c r="J18" s="1748"/>
      <c r="K18" s="60"/>
      <c r="M18" s="14"/>
    </row>
    <row r="19" spans="2:14" ht="15.75" thickBot="1">
      <c r="B19" s="1684"/>
      <c r="C19" s="93"/>
      <c r="D19" s="1855"/>
      <c r="E19" s="40" t="s">
        <v>1036</v>
      </c>
      <c r="F19" s="40" t="s">
        <v>1037</v>
      </c>
      <c r="G19" s="40" t="s">
        <v>1036</v>
      </c>
      <c r="H19" s="40" t="s">
        <v>1037</v>
      </c>
      <c r="I19" s="40" t="s">
        <v>1036</v>
      </c>
      <c r="J19" s="40" t="s">
        <v>1037</v>
      </c>
      <c r="M19" s="14"/>
    </row>
    <row r="20" spans="2:14" ht="15.75" thickBot="1">
      <c r="B20" s="425"/>
      <c r="C20" s="93"/>
      <c r="D20" s="40" t="s">
        <v>1038</v>
      </c>
      <c r="E20" s="7">
        <v>9</v>
      </c>
      <c r="F20" s="7">
        <v>6</v>
      </c>
      <c r="G20" s="7">
        <v>17</v>
      </c>
      <c r="H20" s="7">
        <v>6</v>
      </c>
      <c r="I20" s="1314">
        <f>+E20+G20</f>
        <v>26</v>
      </c>
      <c r="J20" s="1314">
        <f>+F20+H20</f>
        <v>12</v>
      </c>
      <c r="M20" s="14"/>
    </row>
    <row r="21" spans="2:14">
      <c r="B21" s="425"/>
      <c r="C21" s="100"/>
      <c r="D21" s="1688"/>
      <c r="E21" s="1689"/>
      <c r="F21" s="1689"/>
      <c r="G21" s="1689"/>
      <c r="H21" s="1689"/>
      <c r="I21" s="1689"/>
      <c r="J21" s="1689"/>
      <c r="K21" s="1689"/>
      <c r="L21" s="1754"/>
      <c r="M21" s="1734"/>
    </row>
    <row r="22" spans="2:14" ht="15.75" thickBot="1">
      <c r="B22" s="425"/>
      <c r="C22" s="91"/>
      <c r="D22" s="427"/>
      <c r="E22" s="427"/>
      <c r="F22" s="474" t="s">
        <v>60</v>
      </c>
      <c r="G22" s="427"/>
      <c r="H22" s="427"/>
      <c r="I22" s="427"/>
      <c r="J22" s="427"/>
      <c r="K22" s="427"/>
      <c r="L22" s="471"/>
      <c r="M22" s="472"/>
    </row>
    <row r="23" spans="2:14" ht="24.75" thickBot="1">
      <c r="B23" s="425"/>
      <c r="C23" s="93"/>
      <c r="D23" s="44" t="s">
        <v>1039</v>
      </c>
      <c r="E23" s="470">
        <f>+I20</f>
        <v>26</v>
      </c>
      <c r="F23" s="473"/>
      <c r="G23" s="6"/>
      <c r="H23" s="6"/>
      <c r="I23" s="6"/>
      <c r="J23" s="6"/>
      <c r="K23" s="6"/>
      <c r="M23" s="14"/>
    </row>
    <row r="24" spans="2:14" ht="24.75" thickBot="1">
      <c r="B24" s="425"/>
      <c r="C24" s="93"/>
      <c r="D24" s="41" t="s">
        <v>1040</v>
      </c>
      <c r="E24" s="470">
        <f>J20</f>
        <v>12</v>
      </c>
      <c r="F24" s="194"/>
      <c r="G24" s="6"/>
      <c r="H24" s="6"/>
      <c r="I24" s="6"/>
      <c r="J24" s="6"/>
      <c r="K24" s="6"/>
      <c r="M24" s="14"/>
    </row>
    <row r="25" spans="2:14" ht="24.75" thickBot="1">
      <c r="B25" s="425"/>
      <c r="C25" s="93"/>
      <c r="D25" s="41" t="s">
        <v>1041</v>
      </c>
      <c r="E25" s="455">
        <f>+E24/E23</f>
        <v>0.46</v>
      </c>
      <c r="F25" s="194"/>
      <c r="G25" s="6"/>
      <c r="H25" s="6"/>
      <c r="I25" s="6"/>
      <c r="J25" s="6"/>
      <c r="K25" s="6"/>
      <c r="M25" s="14"/>
    </row>
    <row r="26" spans="2:14">
      <c r="B26" s="425"/>
      <c r="C26" s="91"/>
      <c r="D26" s="1784" t="s">
        <v>1042</v>
      </c>
      <c r="E26" s="1785"/>
      <c r="F26" s="1785"/>
      <c r="G26" s="1785"/>
      <c r="H26" s="1785"/>
      <c r="I26" s="1785"/>
      <c r="J26" s="1785"/>
      <c r="K26" s="1785"/>
      <c r="L26" s="1852"/>
      <c r="M26" s="1816"/>
    </row>
    <row r="27" spans="2:14" ht="15.75" thickBot="1">
      <c r="B27" s="425"/>
      <c r="C27" s="91"/>
      <c r="D27" s="1674" t="s">
        <v>1043</v>
      </c>
      <c r="E27" s="1675"/>
      <c r="F27" s="1675"/>
      <c r="G27" s="1675"/>
      <c r="H27" s="1675"/>
      <c r="I27" s="1675"/>
      <c r="J27" s="1675"/>
      <c r="K27" s="1675"/>
      <c r="L27" s="1755"/>
      <c r="M27" s="1735"/>
    </row>
    <row r="28" spans="2:14" ht="24.75" thickBot="1">
      <c r="B28" s="425"/>
      <c r="C28" s="93"/>
      <c r="D28" s="44" t="s">
        <v>1044</v>
      </c>
      <c r="E28" s="451">
        <v>1</v>
      </c>
      <c r="F28" s="6"/>
      <c r="G28" s="6"/>
      <c r="H28" s="6"/>
      <c r="I28" s="6"/>
      <c r="J28" s="6"/>
      <c r="K28" s="6"/>
      <c r="M28" s="14"/>
    </row>
    <row r="29" spans="2:14" ht="24.75" thickBot="1">
      <c r="B29" s="425"/>
      <c r="C29" s="93"/>
      <c r="D29" s="41" t="s">
        <v>1045</v>
      </c>
      <c r="E29" s="451">
        <v>10</v>
      </c>
      <c r="F29" s="6"/>
      <c r="G29" s="6"/>
      <c r="H29" s="6"/>
      <c r="I29" s="6"/>
      <c r="J29" s="6"/>
      <c r="K29" s="6"/>
      <c r="M29" s="14"/>
    </row>
    <row r="30" spans="2:14" ht="24.75" thickBot="1">
      <c r="B30" s="425"/>
      <c r="C30" s="93"/>
      <c r="D30" s="41" t="s">
        <v>1046</v>
      </c>
      <c r="E30" s="451">
        <v>1</v>
      </c>
      <c r="F30" s="6"/>
      <c r="G30" s="6"/>
      <c r="H30" s="6"/>
      <c r="I30" s="6"/>
      <c r="J30" s="6"/>
      <c r="K30" s="6"/>
      <c r="M30" s="14"/>
    </row>
    <row r="31" spans="2:14" ht="15.75" thickBot="1">
      <c r="B31" s="425"/>
      <c r="C31" s="91"/>
      <c r="D31" s="1716" t="s">
        <v>1047</v>
      </c>
      <c r="E31" s="1717"/>
      <c r="F31" s="1717"/>
      <c r="G31" s="1717"/>
      <c r="H31" s="1717"/>
      <c r="I31" s="1717"/>
      <c r="J31" s="1717"/>
      <c r="K31" s="1717"/>
      <c r="L31" s="1853"/>
      <c r="M31" s="1736"/>
    </row>
    <row r="32" spans="2:14" ht="15.75" thickBot="1">
      <c r="B32" s="425"/>
      <c r="C32" s="97" t="s">
        <v>24</v>
      </c>
      <c r="D32" s="44" t="s">
        <v>1048</v>
      </c>
      <c r="E32" s="424">
        <v>1</v>
      </c>
      <c r="F32" s="424" t="s">
        <v>1659</v>
      </c>
      <c r="G32" s="817" t="s">
        <v>1659</v>
      </c>
      <c r="H32" s="817" t="s">
        <v>1659</v>
      </c>
      <c r="I32" s="817" t="s">
        <v>1659</v>
      </c>
      <c r="J32" s="817" t="s">
        <v>1659</v>
      </c>
      <c r="K32" s="817" t="s">
        <v>1659</v>
      </c>
      <c r="L32" s="817" t="s">
        <v>1659</v>
      </c>
      <c r="M32" s="817" t="s">
        <v>1659</v>
      </c>
      <c r="N32" s="817" t="s">
        <v>1659</v>
      </c>
    </row>
    <row r="33" spans="2:14" ht="15.75" thickBot="1">
      <c r="B33" s="425"/>
      <c r="C33" s="3" t="s">
        <v>158</v>
      </c>
      <c r="D33" s="41" t="s">
        <v>1049</v>
      </c>
      <c r="E33" s="475" t="s">
        <v>1646</v>
      </c>
      <c r="F33" s="475" t="s">
        <v>1647</v>
      </c>
      <c r="G33" s="475" t="s">
        <v>1648</v>
      </c>
      <c r="H33" s="475" t="s">
        <v>1649</v>
      </c>
      <c r="I33" s="475" t="s">
        <v>1650</v>
      </c>
      <c r="J33" s="475" t="s">
        <v>1652</v>
      </c>
      <c r="K33" s="475" t="s">
        <v>1651</v>
      </c>
      <c r="L33" s="476" t="s">
        <v>1653</v>
      </c>
      <c r="M33" s="820" t="s">
        <v>1654</v>
      </c>
      <c r="N33" s="820" t="s">
        <v>1655</v>
      </c>
    </row>
    <row r="34" spans="2:14" ht="15.75" thickBot="1">
      <c r="B34" s="425"/>
      <c r="C34" s="3" t="s">
        <v>160</v>
      </c>
      <c r="D34" s="428" t="s">
        <v>1050</v>
      </c>
      <c r="E34" s="385" t="s">
        <v>1646</v>
      </c>
      <c r="F34" s="385" t="s">
        <v>1647</v>
      </c>
      <c r="G34" s="385" t="s">
        <v>1648</v>
      </c>
      <c r="H34" s="478" t="s">
        <v>1656</v>
      </c>
      <c r="I34" s="478" t="s">
        <v>1657</v>
      </c>
      <c r="J34" s="478" t="s">
        <v>1657</v>
      </c>
      <c r="K34" s="478" t="s">
        <v>1648</v>
      </c>
      <c r="L34" s="479" t="s">
        <v>1648</v>
      </c>
      <c r="M34" s="821" t="s">
        <v>1648</v>
      </c>
      <c r="N34" s="385" t="s">
        <v>1658</v>
      </c>
    </row>
    <row r="35" spans="2:14" ht="24.75" thickBot="1">
      <c r="B35" s="425"/>
      <c r="C35" s="3" t="s">
        <v>162</v>
      </c>
      <c r="D35" s="428" t="s">
        <v>1051</v>
      </c>
      <c r="E35" s="1425">
        <v>120</v>
      </c>
      <c r="F35" s="1425">
        <v>120</v>
      </c>
      <c r="G35" s="1425">
        <v>120</v>
      </c>
      <c r="H35" s="1425">
        <v>120</v>
      </c>
      <c r="I35" s="1425">
        <v>120</v>
      </c>
      <c r="J35" s="1425">
        <v>120</v>
      </c>
      <c r="K35" s="1425">
        <v>120</v>
      </c>
      <c r="L35" s="1425">
        <v>120</v>
      </c>
      <c r="M35" s="1425"/>
      <c r="N35" s="822">
        <v>120</v>
      </c>
    </row>
    <row r="36" spans="2:14" ht="24.75" thickBot="1">
      <c r="B36" s="425"/>
      <c r="C36" s="3" t="s">
        <v>266</v>
      </c>
      <c r="D36" s="428" t="s">
        <v>1052</v>
      </c>
      <c r="E36" s="1425">
        <v>0</v>
      </c>
      <c r="F36" s="1425">
        <v>0</v>
      </c>
      <c r="G36" s="1425">
        <v>0</v>
      </c>
      <c r="H36" s="1425">
        <v>0</v>
      </c>
      <c r="I36" s="1425">
        <v>0</v>
      </c>
      <c r="J36" s="1425">
        <v>0</v>
      </c>
      <c r="K36" s="1425">
        <v>0</v>
      </c>
      <c r="L36" s="1425">
        <v>0</v>
      </c>
      <c r="M36" s="1426"/>
      <c r="N36" s="823">
        <v>0</v>
      </c>
    </row>
    <row r="37" spans="2:14" ht="24.75" thickBot="1">
      <c r="B37" s="425"/>
      <c r="C37" s="1758" t="s">
        <v>268</v>
      </c>
      <c r="D37" s="47" t="s">
        <v>1053</v>
      </c>
      <c r="E37" s="477">
        <f>IFERROR(E36/E35,"N.A.")</f>
        <v>0</v>
      </c>
      <c r="F37" s="477">
        <f t="shared" ref="F37:N37" si="0">IFERROR(F36/F35,"N.A.")</f>
        <v>0</v>
      </c>
      <c r="G37" s="477">
        <f t="shared" si="0"/>
        <v>0</v>
      </c>
      <c r="H37" s="477">
        <f t="shared" si="0"/>
        <v>0</v>
      </c>
      <c r="I37" s="477">
        <f t="shared" si="0"/>
        <v>0</v>
      </c>
      <c r="J37" s="477">
        <f t="shared" si="0"/>
        <v>0</v>
      </c>
      <c r="K37" s="477">
        <f t="shared" si="0"/>
        <v>0</v>
      </c>
      <c r="L37" s="477">
        <f t="shared" si="0"/>
        <v>0</v>
      </c>
      <c r="M37" s="477" t="str">
        <f t="shared" si="0"/>
        <v>N.A.</v>
      </c>
      <c r="N37" s="477">
        <f t="shared" si="0"/>
        <v>0</v>
      </c>
    </row>
    <row r="38" spans="2:14" ht="24.75" thickBot="1">
      <c r="B38" s="425"/>
      <c r="C38" s="1759"/>
      <c r="D38" s="41" t="s">
        <v>1054</v>
      </c>
      <c r="E38" s="152">
        <f>+IF(E37="N.A.","N.A.",IF(E37&gt;=75%,1,0))</f>
        <v>0</v>
      </c>
      <c r="F38" s="152">
        <f t="shared" ref="F38:N38" si="1">+IF(F37="N.A.","N.A.",IF(F37&gt;=75%,1,0))</f>
        <v>0</v>
      </c>
      <c r="G38" s="152">
        <f t="shared" si="1"/>
        <v>0</v>
      </c>
      <c r="H38" s="152">
        <f t="shared" si="1"/>
        <v>0</v>
      </c>
      <c r="I38" s="152">
        <f t="shared" si="1"/>
        <v>0</v>
      </c>
      <c r="J38" s="152">
        <f t="shared" si="1"/>
        <v>0</v>
      </c>
      <c r="K38" s="152">
        <f t="shared" si="1"/>
        <v>0</v>
      </c>
      <c r="L38" s="152">
        <f t="shared" si="1"/>
        <v>0</v>
      </c>
      <c r="M38" s="152" t="str">
        <f t="shared" si="1"/>
        <v>N.A.</v>
      </c>
      <c r="N38" s="152">
        <f t="shared" si="1"/>
        <v>0</v>
      </c>
    </row>
    <row r="39" spans="2:14" ht="15.75" thickBot="1">
      <c r="B39" s="425"/>
      <c r="C39" s="3" t="s">
        <v>270</v>
      </c>
      <c r="D39" s="41" t="s">
        <v>1055</v>
      </c>
      <c r="E39" s="1427">
        <v>1</v>
      </c>
      <c r="F39" s="1428">
        <v>2</v>
      </c>
      <c r="G39" s="1428">
        <v>3</v>
      </c>
      <c r="H39" s="1428">
        <v>4</v>
      </c>
      <c r="I39" s="1428">
        <v>5</v>
      </c>
      <c r="J39" s="1428">
        <v>6</v>
      </c>
      <c r="K39" s="1428">
        <v>7</v>
      </c>
      <c r="L39" s="1428">
        <v>8</v>
      </c>
      <c r="M39" s="1428"/>
      <c r="N39" s="825"/>
    </row>
    <row r="40" spans="2:14">
      <c r="B40" s="425"/>
      <c r="C40" s="91"/>
      <c r="D40" s="1685"/>
      <c r="E40" s="1686"/>
      <c r="F40" s="1686"/>
      <c r="G40" s="1686"/>
      <c r="H40" s="1686"/>
      <c r="I40" s="1686"/>
      <c r="J40" s="1686"/>
      <c r="K40" s="1686"/>
      <c r="L40" s="1753"/>
      <c r="M40" s="1734"/>
    </row>
    <row r="41" spans="2:14" ht="15.75" thickBot="1">
      <c r="B41" s="425"/>
      <c r="C41" s="91"/>
      <c r="D41" s="1688" t="s">
        <v>1056</v>
      </c>
      <c r="E41" s="1689"/>
      <c r="F41" s="1689"/>
      <c r="G41" s="1689"/>
      <c r="H41" s="1689"/>
      <c r="I41" s="1689"/>
      <c r="J41" s="1689"/>
      <c r="K41" s="1689"/>
      <c r="L41" s="1754"/>
      <c r="M41" s="1734"/>
    </row>
    <row r="42" spans="2:14" ht="15.75" thickBot="1">
      <c r="B42" s="425"/>
      <c r="C42" s="97" t="s">
        <v>24</v>
      </c>
      <c r="D42" s="44" t="s">
        <v>1057</v>
      </c>
      <c r="E42" s="7">
        <v>1</v>
      </c>
      <c r="F42" s="7"/>
      <c r="G42" s="7"/>
      <c r="H42" s="44" t="s">
        <v>157</v>
      </c>
      <c r="I42" s="6"/>
      <c r="J42" s="159" t="s">
        <v>1197</v>
      </c>
      <c r="K42" s="6"/>
      <c r="M42" s="14"/>
    </row>
    <row r="43" spans="2:14" ht="15.75" thickBot="1">
      <c r="B43" s="425"/>
      <c r="C43" s="3" t="s">
        <v>272</v>
      </c>
      <c r="D43" s="41" t="s">
        <v>1058</v>
      </c>
      <c r="E43" s="824">
        <v>1</v>
      </c>
      <c r="F43" s="370"/>
      <c r="G43" s="31"/>
      <c r="H43" s="153">
        <f>MAX(E42:G42)</f>
        <v>1</v>
      </c>
      <c r="I43" s="6"/>
      <c r="K43" s="6"/>
      <c r="M43" s="14"/>
    </row>
    <row r="44" spans="2:14" ht="15.75" thickBot="1">
      <c r="B44" s="425"/>
      <c r="C44" s="3" t="s">
        <v>274</v>
      </c>
      <c r="D44" s="41" t="s">
        <v>1062</v>
      </c>
      <c r="E44" s="7">
        <v>9</v>
      </c>
      <c r="F44" s="7"/>
      <c r="G44" s="7"/>
      <c r="H44" s="154">
        <f>SUM(E44:G44)</f>
        <v>9</v>
      </c>
      <c r="I44" s="6"/>
      <c r="J44" s="6"/>
      <c r="K44" s="6"/>
      <c r="M44" s="14"/>
    </row>
    <row r="45" spans="2:14" ht="36.75" thickBot="1">
      <c r="B45" s="425"/>
      <c r="C45" s="3" t="s">
        <v>276</v>
      </c>
      <c r="D45" s="41" t="s">
        <v>1063</v>
      </c>
      <c r="E45" s="7">
        <v>0</v>
      </c>
      <c r="F45" s="7"/>
      <c r="G45" s="7"/>
      <c r="H45" s="154">
        <f>SUM(E45:G45)</f>
        <v>0</v>
      </c>
      <c r="I45" s="6"/>
      <c r="J45" s="6"/>
      <c r="K45" s="6"/>
      <c r="M45" s="14"/>
    </row>
    <row r="46" spans="2:14" ht="24.75" thickBot="1">
      <c r="B46" s="425"/>
      <c r="C46" s="1758" t="s">
        <v>1064</v>
      </c>
      <c r="D46" s="47" t="s">
        <v>1065</v>
      </c>
      <c r="E46" s="151">
        <f>IFERROR(E45/E44,"N.A.")</f>
        <v>0</v>
      </c>
      <c r="F46" s="151" t="str">
        <f>IFERROR(F45/F44,"N.A.")</f>
        <v>N.A.</v>
      </c>
      <c r="G46" s="151" t="str">
        <f>IFERROR(G45/G44,"N.A.")</f>
        <v>N.A.</v>
      </c>
      <c r="H46" s="155"/>
      <c r="I46" s="6"/>
      <c r="J46" s="6"/>
      <c r="K46" s="6"/>
      <c r="M46" s="14"/>
    </row>
    <row r="47" spans="2:14" ht="24.75" thickBot="1">
      <c r="B47" s="425"/>
      <c r="C47" s="1759"/>
      <c r="D47" s="41" t="s">
        <v>1066</v>
      </c>
      <c r="E47" s="152">
        <f>+IF(E46="N.A.","N.A.",IF(E46&gt;=75%,1,0))</f>
        <v>0</v>
      </c>
      <c r="F47" s="152" t="str">
        <f>+IF(F46="N.A.","N.A.",IF(F46&gt;=75%,1,0))</f>
        <v>N.A.</v>
      </c>
      <c r="G47" s="152" t="str">
        <f>+IF(G46="N.A.","N.A.",IF(G46&gt;=75%,1,0))</f>
        <v>N.A.</v>
      </c>
      <c r="H47" s="154">
        <f>SUM(E47:G47)</f>
        <v>0</v>
      </c>
      <c r="I47" s="6"/>
      <c r="J47" s="6"/>
      <c r="K47" s="6"/>
      <c r="M47" s="14"/>
    </row>
    <row r="48" spans="2:14" ht="15.75" thickBot="1">
      <c r="B48" s="425"/>
      <c r="C48" s="3" t="s">
        <v>1067</v>
      </c>
      <c r="D48" s="1680" t="s">
        <v>1068</v>
      </c>
      <c r="E48" s="1681"/>
      <c r="F48" s="1681"/>
      <c r="G48" s="1682"/>
      <c r="H48" s="212">
        <f>IFERROR(H47/H43,"N.A.")</f>
        <v>0</v>
      </c>
      <c r="I48" s="6"/>
      <c r="J48" s="6"/>
      <c r="K48" s="6"/>
      <c r="M48" s="14"/>
    </row>
    <row r="49" spans="2:13" ht="15.75" thickBot="1">
      <c r="B49" s="425"/>
      <c r="C49" s="91"/>
      <c r="D49" s="1784" t="s">
        <v>1069</v>
      </c>
      <c r="E49" s="1785"/>
      <c r="F49" s="1785"/>
      <c r="G49" s="1785"/>
      <c r="H49" s="1785"/>
      <c r="I49" s="1785"/>
      <c r="J49" s="1785"/>
      <c r="K49" s="1785"/>
      <c r="L49" s="1852"/>
      <c r="M49" s="1816"/>
    </row>
    <row r="50" spans="2:13" ht="24.75" thickBot="1">
      <c r="B50" s="425"/>
      <c r="C50" s="93"/>
      <c r="D50" s="44" t="s">
        <v>1044</v>
      </c>
      <c r="E50" s="7">
        <v>0</v>
      </c>
      <c r="F50" s="6"/>
      <c r="G50" s="6"/>
      <c r="H50" s="6"/>
      <c r="I50" s="6"/>
      <c r="J50" s="6"/>
      <c r="K50" s="6"/>
      <c r="M50" s="14"/>
    </row>
    <row r="51" spans="2:13" ht="24.75" thickBot="1">
      <c r="B51" s="425"/>
      <c r="C51" s="93"/>
      <c r="D51" s="41" t="s">
        <v>1045</v>
      </c>
      <c r="E51" s="7">
        <v>0</v>
      </c>
      <c r="F51" s="6"/>
      <c r="G51" s="6"/>
      <c r="H51" s="6"/>
      <c r="I51" s="6"/>
      <c r="J51" s="6"/>
      <c r="K51" s="6"/>
      <c r="M51" s="14"/>
    </row>
    <row r="52" spans="2:13" ht="24.75" thickBot="1">
      <c r="B52" s="425"/>
      <c r="C52" s="93"/>
      <c r="D52" s="41" t="s">
        <v>1046</v>
      </c>
      <c r="E52" s="7">
        <v>0</v>
      </c>
      <c r="F52" s="6"/>
      <c r="G52" s="6"/>
      <c r="H52" s="6"/>
      <c r="I52" s="6"/>
      <c r="J52" s="6"/>
      <c r="K52" s="6"/>
      <c r="M52" s="14"/>
    </row>
    <row r="53" spans="2:13" ht="15.75" thickBot="1">
      <c r="B53" s="425"/>
      <c r="C53" s="91"/>
      <c r="D53" s="1716" t="s">
        <v>1047</v>
      </c>
      <c r="E53" s="1717"/>
      <c r="F53" s="1717"/>
      <c r="G53" s="1717"/>
      <c r="H53" s="1717"/>
      <c r="I53" s="1717"/>
      <c r="J53" s="1717"/>
      <c r="K53" s="1717"/>
      <c r="L53" s="1853"/>
      <c r="M53" s="1736"/>
    </row>
    <row r="54" spans="2:13" ht="15.75" thickBot="1">
      <c r="B54" s="425"/>
      <c r="C54" s="97" t="s">
        <v>24</v>
      </c>
      <c r="D54" s="44" t="s">
        <v>1048</v>
      </c>
      <c r="E54" s="825">
        <v>0</v>
      </c>
      <c r="F54" s="424"/>
      <c r="G54" s="424"/>
      <c r="H54" s="424"/>
      <c r="I54" s="424"/>
      <c r="J54" s="424"/>
      <c r="K54" s="424"/>
      <c r="L54" s="452"/>
      <c r="M54" s="118"/>
    </row>
    <row r="55" spans="2:13" ht="15.75" thickBot="1">
      <c r="B55" s="425"/>
      <c r="C55" s="3" t="s">
        <v>158</v>
      </c>
      <c r="D55" s="41" t="s">
        <v>1049</v>
      </c>
      <c r="E55" s="824">
        <v>0</v>
      </c>
      <c r="F55" s="31"/>
      <c r="G55" s="31"/>
      <c r="H55" s="31"/>
      <c r="I55" s="31"/>
      <c r="J55" s="31"/>
      <c r="K55" s="31"/>
      <c r="L55" s="453"/>
      <c r="M55" s="12"/>
    </row>
    <row r="56" spans="2:13" ht="15.75" thickBot="1">
      <c r="B56" s="425"/>
      <c r="C56" s="3" t="s">
        <v>160</v>
      </c>
      <c r="D56" s="41" t="s">
        <v>1050</v>
      </c>
      <c r="E56" s="31"/>
      <c r="F56" s="31"/>
      <c r="G56" s="31"/>
      <c r="H56" s="31"/>
      <c r="I56" s="31"/>
      <c r="J56" s="31"/>
      <c r="K56" s="31"/>
      <c r="L56" s="453"/>
      <c r="M56" s="12"/>
    </row>
    <row r="57" spans="2:13" ht="24.75" thickBot="1">
      <c r="B57" s="425"/>
      <c r="C57" s="3" t="s">
        <v>162</v>
      </c>
      <c r="D57" s="41" t="s">
        <v>1051</v>
      </c>
      <c r="E57" s="454">
        <v>0</v>
      </c>
      <c r="F57" s="454"/>
      <c r="G57" s="454"/>
      <c r="H57" s="454"/>
      <c r="I57" s="454"/>
      <c r="J57" s="454"/>
      <c r="K57" s="454"/>
      <c r="L57" s="454"/>
      <c r="M57" s="12"/>
    </row>
    <row r="58" spans="2:13" ht="24.75" thickBot="1">
      <c r="B58" s="425"/>
      <c r="C58" s="3" t="s">
        <v>266</v>
      </c>
      <c r="D58" s="41" t="s">
        <v>1052</v>
      </c>
      <c r="E58" s="454">
        <v>0</v>
      </c>
      <c r="F58" s="454"/>
      <c r="G58" s="454"/>
      <c r="H58" s="454"/>
      <c r="I58" s="454"/>
      <c r="J58" s="454"/>
      <c r="K58" s="454"/>
      <c r="L58" s="454"/>
      <c r="M58" s="12"/>
    </row>
    <row r="59" spans="2:13" ht="24.75" thickBot="1">
      <c r="B59" s="425"/>
      <c r="C59" s="1758" t="s">
        <v>268</v>
      </c>
      <c r="D59" s="47" t="s">
        <v>1053</v>
      </c>
      <c r="E59" s="151" t="str">
        <f t="shared" ref="E59:L59" si="2">IFERROR(E58/E57,"N.A.")</f>
        <v>N.A.</v>
      </c>
      <c r="F59" s="151" t="str">
        <f t="shared" si="2"/>
        <v>N.A.</v>
      </c>
      <c r="G59" s="151" t="str">
        <f t="shared" si="2"/>
        <v>N.A.</v>
      </c>
      <c r="H59" s="151" t="str">
        <f t="shared" si="2"/>
        <v>N.A.</v>
      </c>
      <c r="I59" s="151" t="str">
        <f t="shared" si="2"/>
        <v>N.A.</v>
      </c>
      <c r="J59" s="151" t="str">
        <f t="shared" si="2"/>
        <v>N.A.</v>
      </c>
      <c r="K59" s="151" t="str">
        <f t="shared" si="2"/>
        <v>N.A.</v>
      </c>
      <c r="L59" s="151" t="str">
        <f t="shared" si="2"/>
        <v>N.A.</v>
      </c>
      <c r="M59" s="12"/>
    </row>
    <row r="60" spans="2:13" ht="24.75" thickBot="1">
      <c r="B60" s="425"/>
      <c r="C60" s="1759"/>
      <c r="D60" s="41" t="s">
        <v>1070</v>
      </c>
      <c r="E60" s="152" t="str">
        <f>+IF(E59="N.A.","N.A.",IF(E59&gt;=75%,1,0))</f>
        <v>N.A.</v>
      </c>
      <c r="F60" s="152" t="str">
        <f t="shared" ref="F60:L60" si="3">+IF(F59="N.A.","N.A.",IF(F59&gt;=75%,1,0))</f>
        <v>N.A.</v>
      </c>
      <c r="G60" s="152" t="str">
        <f t="shared" si="3"/>
        <v>N.A.</v>
      </c>
      <c r="H60" s="152" t="str">
        <f t="shared" si="3"/>
        <v>N.A.</v>
      </c>
      <c r="I60" s="152" t="str">
        <f t="shared" si="3"/>
        <v>N.A.</v>
      </c>
      <c r="J60" s="152" t="str">
        <f t="shared" si="3"/>
        <v>N.A.</v>
      </c>
      <c r="K60" s="152" t="str">
        <f t="shared" si="3"/>
        <v>N.A.</v>
      </c>
      <c r="L60" s="152" t="str">
        <f t="shared" si="3"/>
        <v>N.A.</v>
      </c>
      <c r="M60" s="12"/>
    </row>
    <row r="61" spans="2:13" ht="15.75" thickBot="1">
      <c r="B61" s="425"/>
      <c r="C61" s="3" t="s">
        <v>270</v>
      </c>
      <c r="D61" s="41" t="s">
        <v>1055</v>
      </c>
      <c r="E61" s="30"/>
      <c r="F61" s="31"/>
      <c r="G61" s="31"/>
      <c r="H61" s="31"/>
      <c r="I61" s="31"/>
      <c r="J61" s="31"/>
      <c r="K61" s="31"/>
      <c r="L61" s="453"/>
      <c r="M61" s="13"/>
    </row>
    <row r="62" spans="2:13">
      <c r="B62" s="425"/>
      <c r="C62" s="91"/>
      <c r="D62" s="1685"/>
      <c r="E62" s="1686"/>
      <c r="F62" s="1686"/>
      <c r="G62" s="1686"/>
      <c r="H62" s="1686"/>
      <c r="I62" s="1686"/>
      <c r="J62" s="1686"/>
      <c r="K62" s="1686"/>
      <c r="L62" s="1753"/>
      <c r="M62" s="1733"/>
    </row>
    <row r="63" spans="2:13" ht="15.75" thickBot="1">
      <c r="B63" s="425"/>
      <c r="C63" s="91"/>
      <c r="D63" s="1688" t="s">
        <v>1056</v>
      </c>
      <c r="E63" s="1689"/>
      <c r="F63" s="1689"/>
      <c r="G63" s="1689"/>
      <c r="H63" s="1689"/>
      <c r="I63" s="1689"/>
      <c r="J63" s="1689"/>
      <c r="K63" s="1689"/>
      <c r="L63" s="1754"/>
      <c r="M63" s="1734"/>
    </row>
    <row r="64" spans="2:13" ht="15.75" thickBot="1">
      <c r="B64" s="425"/>
      <c r="C64" s="97" t="s">
        <v>24</v>
      </c>
      <c r="D64" s="44" t="s">
        <v>1057</v>
      </c>
      <c r="E64" s="122">
        <v>1</v>
      </c>
      <c r="F64" s="122">
        <v>2</v>
      </c>
      <c r="G64" s="122">
        <v>3</v>
      </c>
      <c r="H64" s="122" t="s">
        <v>157</v>
      </c>
      <c r="I64" s="6"/>
      <c r="J64" s="6"/>
      <c r="K64" s="6"/>
      <c r="M64" s="14"/>
    </row>
    <row r="65" spans="2:13" ht="15.75" thickBot="1">
      <c r="B65" s="425"/>
      <c r="C65" s="3" t="s">
        <v>272</v>
      </c>
      <c r="D65" s="41" t="s">
        <v>1058</v>
      </c>
      <c r="E65" s="40" t="s">
        <v>1059</v>
      </c>
      <c r="F65" s="40" t="s">
        <v>1060</v>
      </c>
      <c r="G65" s="40" t="s">
        <v>1061</v>
      </c>
      <c r="H65" s="153">
        <f>MAX(E64:G64)</f>
        <v>3</v>
      </c>
      <c r="I65" s="6"/>
      <c r="J65" s="6"/>
      <c r="K65" s="6"/>
      <c r="M65" s="14"/>
    </row>
    <row r="66" spans="2:13" ht="15.75" thickBot="1">
      <c r="B66" s="425"/>
      <c r="C66" s="3" t="s">
        <v>274</v>
      </c>
      <c r="D66" s="41" t="s">
        <v>1062</v>
      </c>
      <c r="E66" s="7">
        <v>9</v>
      </c>
      <c r="F66" s="7"/>
      <c r="G66" s="7"/>
      <c r="H66" s="154">
        <f>SUM(E66:G66)</f>
        <v>9</v>
      </c>
      <c r="I66" s="6"/>
      <c r="J66" s="6"/>
      <c r="K66" s="6"/>
      <c r="M66" s="14"/>
    </row>
    <row r="67" spans="2:13" ht="36.75" thickBot="1">
      <c r="B67" s="425"/>
      <c r="C67" s="3" t="s">
        <v>276</v>
      </c>
      <c r="D67" s="41" t="s">
        <v>1071</v>
      </c>
      <c r="E67" s="7">
        <v>0</v>
      </c>
      <c r="F67" s="7"/>
      <c r="G67" s="7"/>
      <c r="H67" s="154">
        <f>SUM(E67:G67)</f>
        <v>0</v>
      </c>
      <c r="I67" s="6"/>
      <c r="J67" s="6"/>
      <c r="K67" s="6"/>
      <c r="M67" s="14"/>
    </row>
    <row r="68" spans="2:13" ht="24.75" thickBot="1">
      <c r="B68" s="425"/>
      <c r="C68" s="1758" t="s">
        <v>1064</v>
      </c>
      <c r="D68" s="47" t="s">
        <v>1065</v>
      </c>
      <c r="E68" s="151">
        <f>+E67/E66</f>
        <v>0</v>
      </c>
      <c r="F68" s="151" t="e">
        <f>+F67/F66</f>
        <v>#DIV/0!</v>
      </c>
      <c r="G68" s="151" t="e">
        <f>+G67/G66</f>
        <v>#DIV/0!</v>
      </c>
      <c r="H68" s="155"/>
      <c r="I68" s="6"/>
      <c r="J68" s="6"/>
      <c r="K68" s="6"/>
      <c r="M68" s="14"/>
    </row>
    <row r="69" spans="2:13" ht="24.75" thickBot="1">
      <c r="B69" s="425"/>
      <c r="C69" s="1759"/>
      <c r="D69" s="41" t="s">
        <v>1066</v>
      </c>
      <c r="E69" s="152">
        <f>+IF(E68&gt;=75%,1,0)</f>
        <v>0</v>
      </c>
      <c r="F69" s="152" t="e">
        <f>+IF(F68&gt;=75%,1,0)</f>
        <v>#DIV/0!</v>
      </c>
      <c r="G69" s="152" t="e">
        <f>+IF(G68&gt;=75%,1,0)</f>
        <v>#DIV/0!</v>
      </c>
      <c r="H69" s="154" t="e">
        <f>SUM(E69:G69)</f>
        <v>#DIV/0!</v>
      </c>
      <c r="I69" s="6"/>
      <c r="J69" s="6"/>
      <c r="K69" s="6"/>
      <c r="M69" s="14"/>
    </row>
    <row r="70" spans="2:13" ht="15.75" thickBot="1">
      <c r="B70" s="425"/>
      <c r="C70" s="3" t="s">
        <v>1067</v>
      </c>
      <c r="D70" s="1680" t="s">
        <v>1068</v>
      </c>
      <c r="E70" s="1681"/>
      <c r="F70" s="1681"/>
      <c r="G70" s="1682"/>
      <c r="H70" s="156" t="str">
        <f>IFERROR(H69/H65,"N.A.")</f>
        <v>N.A.</v>
      </c>
      <c r="I70" s="6"/>
      <c r="J70" s="6"/>
      <c r="K70" s="6"/>
      <c r="M70" s="14"/>
    </row>
    <row r="71" spans="2:13">
      <c r="B71" s="425"/>
      <c r="C71" s="91"/>
      <c r="D71" s="1688"/>
      <c r="E71" s="1689"/>
      <c r="F71" s="1689"/>
      <c r="G71" s="1689"/>
      <c r="H71" s="1689"/>
      <c r="I71" s="1689"/>
      <c r="J71" s="1689"/>
      <c r="K71" s="1689"/>
      <c r="L71" s="1754"/>
      <c r="M71" s="1734"/>
    </row>
    <row r="72" spans="2:13" ht="15.75" thickBot="1">
      <c r="B72" s="425"/>
      <c r="C72" s="91"/>
      <c r="D72" s="1674" t="s">
        <v>1072</v>
      </c>
      <c r="E72" s="1675"/>
      <c r="F72" s="1675"/>
      <c r="G72" s="1675"/>
      <c r="H72" s="1675"/>
      <c r="I72" s="1675"/>
      <c r="J72" s="1675"/>
      <c r="K72" s="1675"/>
      <c r="L72" s="1755"/>
      <c r="M72" s="1735"/>
    </row>
    <row r="73" spans="2:13" ht="15.75" thickBot="1">
      <c r="B73" s="425"/>
      <c r="C73" s="97" t="s">
        <v>1073</v>
      </c>
      <c r="D73" s="39" t="s">
        <v>1074</v>
      </c>
      <c r="E73" s="157">
        <f>+H48</f>
        <v>0</v>
      </c>
      <c r="F73" s="6"/>
      <c r="G73" s="6"/>
      <c r="H73" s="6"/>
      <c r="I73" s="6"/>
      <c r="J73" s="6"/>
      <c r="K73" s="6"/>
      <c r="M73" s="14"/>
    </row>
    <row r="74" spans="2:13" ht="15.75" thickBot="1">
      <c r="B74" s="425"/>
      <c r="C74" s="3" t="s">
        <v>1075</v>
      </c>
      <c r="D74" s="40" t="s">
        <v>1076</v>
      </c>
      <c r="E74" s="158" t="str">
        <f>+H70</f>
        <v>N.A.</v>
      </c>
      <c r="F74" s="6"/>
      <c r="G74" s="6"/>
      <c r="H74" s="6"/>
      <c r="I74" s="6"/>
      <c r="J74" s="6"/>
      <c r="K74" s="6"/>
      <c r="M74" s="14"/>
    </row>
    <row r="75" spans="2:13" ht="36.75" thickBot="1">
      <c r="B75" s="425"/>
      <c r="C75" s="3" t="s">
        <v>24</v>
      </c>
      <c r="D75" s="127" t="s">
        <v>1077</v>
      </c>
      <c r="E75" s="158">
        <f>AVERAGE(E73:E74)</f>
        <v>0</v>
      </c>
      <c r="F75" s="6"/>
      <c r="G75" s="6"/>
      <c r="H75" s="6"/>
      <c r="I75" s="6"/>
      <c r="J75" s="6"/>
      <c r="K75" s="6"/>
      <c r="M75" s="14"/>
    </row>
    <row r="76" spans="2:13">
      <c r="B76" s="425"/>
      <c r="C76" s="91"/>
      <c r="D76" s="1688"/>
      <c r="E76" s="1689"/>
      <c r="F76" s="1689"/>
      <c r="G76" s="1689"/>
      <c r="H76" s="1689"/>
      <c r="I76" s="1689"/>
      <c r="J76" s="1689"/>
      <c r="K76" s="1689"/>
      <c r="L76" s="1754"/>
      <c r="M76" s="1734"/>
    </row>
    <row r="77" spans="2:13" ht="15.75" thickBot="1">
      <c r="B77" s="425"/>
      <c r="C77" s="91"/>
      <c r="D77" s="1674" t="s">
        <v>1078</v>
      </c>
      <c r="E77" s="1675"/>
      <c r="F77" s="1675"/>
      <c r="G77" s="1675"/>
      <c r="H77" s="1675"/>
      <c r="I77" s="1675"/>
      <c r="J77" s="1675"/>
      <c r="K77" s="1675"/>
      <c r="L77" s="1755"/>
      <c r="M77" s="1735"/>
    </row>
    <row r="78" spans="2:13" ht="15.75" thickBot="1">
      <c r="B78" s="425"/>
      <c r="C78" s="93"/>
      <c r="D78" s="25"/>
      <c r="E78" s="39" t="s">
        <v>1079</v>
      </c>
      <c r="F78" s="39" t="s">
        <v>1080</v>
      </c>
      <c r="H78" s="6"/>
      <c r="I78" s="6"/>
      <c r="J78" s="6"/>
      <c r="K78" s="6"/>
      <c r="M78" s="14"/>
    </row>
    <row r="79" spans="2:13" ht="24.75" thickBot="1">
      <c r="B79" s="425"/>
      <c r="C79" s="93"/>
      <c r="D79" s="127" t="s">
        <v>1081</v>
      </c>
      <c r="E79" s="145">
        <f>+E25</f>
        <v>0.46</v>
      </c>
      <c r="F79" s="32">
        <v>0.75</v>
      </c>
      <c r="G79" s="6"/>
      <c r="H79" s="6"/>
      <c r="I79" s="6"/>
      <c r="J79" s="6"/>
      <c r="K79" s="6"/>
      <c r="M79" s="14"/>
    </row>
    <row r="80" spans="2:13" ht="24.75" thickBot="1">
      <c r="B80" s="425"/>
      <c r="C80" s="93"/>
      <c r="D80" s="127" t="s">
        <v>1082</v>
      </c>
      <c r="E80" s="145">
        <f>+E75</f>
        <v>0</v>
      </c>
      <c r="F80" s="32">
        <v>0.25</v>
      </c>
      <c r="G80" s="6"/>
      <c r="H80" s="6"/>
      <c r="I80" s="6"/>
      <c r="J80" s="6"/>
      <c r="K80" s="6"/>
      <c r="M80" s="14"/>
    </row>
    <row r="81" spans="2:13" ht="24.75" thickBot="1">
      <c r="B81" s="426"/>
      <c r="C81" s="3"/>
      <c r="D81" s="127" t="s">
        <v>1012</v>
      </c>
      <c r="E81" s="209" t="str">
        <f>Formulas!$D$29</f>
        <v/>
      </c>
      <c r="F81" s="1294">
        <f>IFERROR(Formulas!$E$29,0)</f>
        <v>0.35</v>
      </c>
      <c r="G81" s="23"/>
      <c r="H81" s="23"/>
      <c r="I81" s="23"/>
      <c r="J81" s="23"/>
      <c r="K81" s="23"/>
      <c r="L81" s="15"/>
      <c r="M81" s="11"/>
    </row>
    <row r="82" spans="2:13" ht="24" customHeight="1" thickBot="1">
      <c r="B82" s="48" t="s">
        <v>39</v>
      </c>
      <c r="C82" s="92"/>
      <c r="D82" s="1680" t="s">
        <v>1083</v>
      </c>
      <c r="E82" s="1681"/>
      <c r="F82" s="1681"/>
      <c r="G82" s="1681"/>
      <c r="H82" s="1681"/>
      <c r="I82" s="1681"/>
      <c r="J82" s="1681"/>
      <c r="K82" s="1681"/>
      <c r="L82" s="1752"/>
      <c r="M82" s="1720"/>
    </row>
    <row r="83" spans="2:13" ht="48.75" thickBot="1">
      <c r="B83" s="48" t="s">
        <v>41</v>
      </c>
      <c r="C83" s="92"/>
      <c r="D83" s="1680" t="s">
        <v>165</v>
      </c>
      <c r="E83" s="1681"/>
      <c r="F83" s="1681"/>
      <c r="G83" s="1681"/>
      <c r="H83" s="1681"/>
      <c r="I83" s="1681"/>
      <c r="J83" s="1681"/>
      <c r="K83" s="1681"/>
      <c r="L83" s="1752"/>
      <c r="M83" s="1720"/>
    </row>
    <row r="84" spans="2:13" ht="15.75" thickBot="1">
      <c r="B84" s="2"/>
      <c r="C84" s="75"/>
      <c r="D84" s="6"/>
      <c r="E84" s="6"/>
      <c r="F84" s="6"/>
      <c r="G84" s="6"/>
      <c r="H84" s="6"/>
      <c r="I84" s="6"/>
      <c r="J84" s="6"/>
      <c r="K84" s="6"/>
    </row>
    <row r="85" spans="2:13" ht="24" customHeight="1" thickBot="1">
      <c r="B85" s="1671" t="s">
        <v>43</v>
      </c>
      <c r="C85" s="1672"/>
      <c r="D85" s="1672"/>
      <c r="E85" s="1673"/>
      <c r="F85" s="6"/>
      <c r="G85" s="6"/>
      <c r="H85" s="6"/>
      <c r="I85" s="6"/>
      <c r="J85" s="6"/>
      <c r="K85" s="6"/>
    </row>
    <row r="86" spans="2:13" ht="15.75" thickBot="1">
      <c r="B86" s="1668">
        <v>1</v>
      </c>
      <c r="C86" s="93"/>
      <c r="D86" s="49" t="s">
        <v>44</v>
      </c>
      <c r="E86" s="163" t="s">
        <v>1616</v>
      </c>
      <c r="F86" s="6"/>
      <c r="G86" s="6"/>
      <c r="H86" s="6"/>
      <c r="I86" s="6"/>
      <c r="J86" s="6"/>
      <c r="K86" s="6"/>
    </row>
    <row r="87" spans="2:13" ht="15.75" thickBot="1">
      <c r="B87" s="1669"/>
      <c r="C87" s="93"/>
      <c r="D87" s="41" t="s">
        <v>45</v>
      </c>
      <c r="E87" s="163" t="s">
        <v>1828</v>
      </c>
      <c r="F87" s="6"/>
      <c r="G87" s="6"/>
      <c r="H87" s="6"/>
      <c r="I87" s="6"/>
      <c r="J87" s="6"/>
      <c r="K87" s="6"/>
    </row>
    <row r="88" spans="2:13" ht="15.75" thickBot="1">
      <c r="B88" s="1669"/>
      <c r="C88" s="93"/>
      <c r="D88" s="41" t="s">
        <v>46</v>
      </c>
      <c r="E88" s="163" t="s">
        <v>2025</v>
      </c>
      <c r="F88" s="6"/>
      <c r="G88" s="6"/>
      <c r="H88" s="6"/>
      <c r="I88" s="6"/>
      <c r="J88" s="6"/>
      <c r="K88" s="6"/>
    </row>
    <row r="89" spans="2:13" ht="15.75" thickBot="1">
      <c r="B89" s="1669"/>
      <c r="C89" s="93"/>
      <c r="D89" s="41" t="s">
        <v>47</v>
      </c>
      <c r="E89" s="163" t="s">
        <v>2012</v>
      </c>
      <c r="F89" s="6"/>
      <c r="G89" s="6"/>
      <c r="H89" s="6"/>
      <c r="I89" s="6"/>
      <c r="J89" s="6"/>
      <c r="K89" s="6"/>
    </row>
    <row r="90" spans="2:13" ht="15.75" thickBot="1">
      <c r="B90" s="1669"/>
      <c r="C90" s="93"/>
      <c r="D90" s="41" t="s">
        <v>48</v>
      </c>
      <c r="E90" s="163" t="s">
        <v>2026</v>
      </c>
      <c r="F90" s="6"/>
      <c r="G90" s="6"/>
      <c r="H90" s="6"/>
      <c r="I90" s="6"/>
      <c r="J90" s="6"/>
      <c r="K90" s="6"/>
    </row>
    <row r="91" spans="2:13" ht="15.75" thickBot="1">
      <c r="B91" s="1669"/>
      <c r="C91" s="93"/>
      <c r="D91" s="41" t="s">
        <v>49</v>
      </c>
      <c r="E91" s="163" t="s">
        <v>1769</v>
      </c>
      <c r="F91" s="6"/>
      <c r="G91" s="6"/>
      <c r="H91" s="6"/>
      <c r="I91" s="6"/>
      <c r="J91" s="6"/>
      <c r="K91" s="6"/>
    </row>
    <row r="92" spans="2:13" ht="15.75" thickBot="1">
      <c r="B92" s="1670"/>
      <c r="C92" s="3"/>
      <c r="D92" s="41" t="s">
        <v>50</v>
      </c>
      <c r="E92" s="163" t="s">
        <v>1682</v>
      </c>
      <c r="F92" s="6"/>
      <c r="G92" s="6"/>
      <c r="H92" s="6"/>
      <c r="I92" s="6"/>
      <c r="J92" s="6"/>
      <c r="K92" s="6"/>
    </row>
    <row r="93" spans="2:13" ht="15.75" thickBot="1">
      <c r="B93" s="2"/>
      <c r="C93" s="75"/>
      <c r="D93" s="6"/>
      <c r="E93" s="6"/>
      <c r="F93" s="6"/>
      <c r="G93" s="6"/>
      <c r="H93" s="6"/>
      <c r="I93" s="6"/>
      <c r="J93" s="6"/>
      <c r="K93" s="6"/>
    </row>
    <row r="94" spans="2:13" ht="15.75" thickBot="1">
      <c r="B94" s="1671" t="s">
        <v>51</v>
      </c>
      <c r="C94" s="1672"/>
      <c r="D94" s="1672"/>
      <c r="E94" s="1673"/>
      <c r="F94" s="6"/>
      <c r="G94" s="6"/>
      <c r="H94" s="6"/>
      <c r="I94" s="6"/>
      <c r="J94" s="6"/>
      <c r="K94" s="6"/>
    </row>
    <row r="95" spans="2:13" ht="15.75" thickBot="1">
      <c r="B95" s="1668">
        <v>1</v>
      </c>
      <c r="C95" s="93"/>
      <c r="D95" s="49" t="s">
        <v>44</v>
      </c>
      <c r="E95" s="432" t="s">
        <v>52</v>
      </c>
      <c r="F95" s="6"/>
      <c r="G95" s="6"/>
      <c r="H95" s="6"/>
      <c r="I95" s="6"/>
      <c r="J95" s="6"/>
      <c r="K95" s="6"/>
    </row>
    <row r="96" spans="2:13" ht="15.75" thickBot="1">
      <c r="B96" s="1669"/>
      <c r="C96" s="93"/>
      <c r="D96" s="41" t="s">
        <v>45</v>
      </c>
      <c r="E96" s="432" t="s">
        <v>166</v>
      </c>
      <c r="F96" s="6"/>
      <c r="G96" s="6"/>
      <c r="H96" s="6"/>
      <c r="I96" s="6"/>
      <c r="J96" s="6"/>
      <c r="K96" s="6"/>
    </row>
    <row r="97" spans="2:11" ht="15.75" thickBot="1">
      <c r="B97" s="1669"/>
      <c r="C97" s="93"/>
      <c r="D97" s="41" t="s">
        <v>46</v>
      </c>
      <c r="E97" s="168"/>
      <c r="F97" s="6"/>
      <c r="G97" s="6"/>
      <c r="H97" s="6"/>
      <c r="I97" s="6"/>
      <c r="J97" s="6"/>
      <c r="K97" s="6"/>
    </row>
    <row r="98" spans="2:11" ht="15.75" thickBot="1">
      <c r="B98" s="1669"/>
      <c r="C98" s="93"/>
      <c r="D98" s="41" t="s">
        <v>47</v>
      </c>
      <c r="E98" s="168"/>
      <c r="F98" s="6"/>
      <c r="G98" s="6"/>
      <c r="H98" s="6"/>
      <c r="I98" s="6"/>
      <c r="J98" s="6"/>
      <c r="K98" s="6"/>
    </row>
    <row r="99" spans="2:11" ht="15.75" thickBot="1">
      <c r="B99" s="1669"/>
      <c r="C99" s="93"/>
      <c r="D99" s="41" t="s">
        <v>48</v>
      </c>
      <c r="E99" s="168"/>
      <c r="F99" s="6"/>
      <c r="G99" s="6"/>
      <c r="H99" s="6"/>
      <c r="I99" s="6"/>
      <c r="J99" s="6"/>
      <c r="K99" s="6"/>
    </row>
    <row r="100" spans="2:11" ht="15.75" thickBot="1">
      <c r="B100" s="1669"/>
      <c r="C100" s="93"/>
      <c r="D100" s="41" t="s">
        <v>49</v>
      </c>
      <c r="E100" s="168"/>
      <c r="F100" s="6"/>
      <c r="G100" s="6"/>
      <c r="H100" s="6"/>
      <c r="I100" s="6"/>
      <c r="J100" s="6"/>
      <c r="K100" s="6"/>
    </row>
    <row r="101" spans="2:11" ht="15.75" thickBot="1">
      <c r="B101" s="1670"/>
      <c r="C101" s="3"/>
      <c r="D101" s="41" t="s">
        <v>50</v>
      </c>
      <c r="E101" s="168"/>
      <c r="F101" s="6"/>
      <c r="G101" s="6"/>
      <c r="H101" s="6"/>
      <c r="I101" s="6"/>
      <c r="J101" s="6"/>
      <c r="K101" s="6"/>
    </row>
    <row r="102" spans="2:11" ht="15.75" thickBot="1">
      <c r="B102" s="2"/>
      <c r="C102" s="75"/>
      <c r="D102" s="6"/>
      <c r="E102" s="6"/>
      <c r="F102" s="6"/>
      <c r="G102" s="6"/>
      <c r="H102" s="6"/>
      <c r="I102" s="6"/>
      <c r="J102" s="6"/>
      <c r="K102" s="6"/>
    </row>
    <row r="103" spans="2:11" ht="15" customHeight="1" thickBot="1">
      <c r="B103" s="123" t="s">
        <v>54</v>
      </c>
      <c r="C103" s="124"/>
      <c r="D103" s="124"/>
      <c r="E103" s="125"/>
      <c r="G103" s="6"/>
      <c r="H103" s="6"/>
      <c r="I103" s="6"/>
      <c r="J103" s="6"/>
      <c r="K103" s="6"/>
    </row>
    <row r="104" spans="2:11" ht="24.75" thickBot="1">
      <c r="B104" s="48" t="s">
        <v>55</v>
      </c>
      <c r="C104" s="41" t="s">
        <v>56</v>
      </c>
      <c r="D104" s="41" t="s">
        <v>57</v>
      </c>
      <c r="E104" s="41" t="s">
        <v>58</v>
      </c>
      <c r="F104" s="6"/>
      <c r="G104" s="6"/>
      <c r="H104" s="6"/>
      <c r="I104" s="6"/>
      <c r="J104" s="6"/>
    </row>
    <row r="105" spans="2:11" ht="72.75" thickBot="1">
      <c r="B105" s="50">
        <v>42401</v>
      </c>
      <c r="C105" s="41">
        <v>1</v>
      </c>
      <c r="D105" s="51" t="s">
        <v>1084</v>
      </c>
      <c r="E105" s="41"/>
      <c r="F105" s="6"/>
      <c r="G105" s="6"/>
      <c r="H105" s="6"/>
      <c r="I105" s="6"/>
      <c r="J105" s="6"/>
    </row>
    <row r="106" spans="2:11" ht="15.75" thickBot="1">
      <c r="B106" s="4"/>
      <c r="C106" s="94"/>
      <c r="D106" s="6"/>
      <c r="E106" s="6"/>
      <c r="F106" s="6"/>
      <c r="G106" s="6"/>
      <c r="H106" s="6"/>
      <c r="I106" s="6"/>
      <c r="J106" s="6"/>
      <c r="K106" s="6"/>
    </row>
    <row r="107" spans="2:11" ht="24.75" thickBot="1">
      <c r="B107" s="134" t="s">
        <v>60</v>
      </c>
      <c r="C107" s="95"/>
      <c r="D107" s="6"/>
      <c r="E107" s="6"/>
      <c r="F107" s="6"/>
      <c r="G107" s="6"/>
      <c r="H107" s="6"/>
      <c r="I107" s="6"/>
      <c r="J107" s="6"/>
      <c r="K107" s="6"/>
    </row>
    <row r="108" spans="2:11">
      <c r="B108" s="1830"/>
      <c r="C108" s="1831"/>
      <c r="D108" s="1831"/>
      <c r="E108" s="1831"/>
      <c r="F108" s="1831"/>
      <c r="G108" s="1831"/>
      <c r="H108" s="1831"/>
      <c r="I108" s="1832"/>
      <c r="J108" s="6"/>
      <c r="K108" s="6"/>
    </row>
    <row r="109" spans="2:11" ht="15.75" thickBot="1">
      <c r="B109" s="1833"/>
      <c r="C109" s="1834"/>
      <c r="D109" s="1834"/>
      <c r="E109" s="1834"/>
      <c r="F109" s="1834"/>
      <c r="G109" s="1834"/>
      <c r="H109" s="1834"/>
      <c r="I109" s="1835"/>
      <c r="J109" s="6"/>
      <c r="K109" s="6"/>
    </row>
    <row r="110" spans="2:11" ht="15.75" thickBot="1">
      <c r="B110" s="6"/>
      <c r="D110" s="6"/>
      <c r="E110" s="6"/>
      <c r="F110" s="6"/>
      <c r="G110" s="6"/>
      <c r="H110" s="6"/>
      <c r="I110" s="6"/>
      <c r="J110" s="6"/>
      <c r="K110" s="6"/>
    </row>
    <row r="111" spans="2:11" ht="24.75" thickBot="1">
      <c r="B111" s="52" t="s">
        <v>61</v>
      </c>
      <c r="C111" s="96"/>
      <c r="D111" s="6"/>
      <c r="E111" s="6"/>
      <c r="F111" s="6"/>
      <c r="G111" s="6"/>
      <c r="H111" s="6"/>
      <c r="I111" s="6"/>
      <c r="J111" s="6"/>
      <c r="K111" s="6"/>
    </row>
    <row r="112" spans="2:11" ht="15.75" thickBot="1">
      <c r="B112" s="2"/>
      <c r="C112" s="75"/>
      <c r="D112" s="6"/>
      <c r="E112" s="6"/>
      <c r="F112" s="6"/>
      <c r="G112" s="6"/>
      <c r="H112" s="6"/>
      <c r="I112" s="6"/>
      <c r="J112" s="6"/>
      <c r="K112" s="6"/>
    </row>
    <row r="113" spans="2:11" ht="72.75" thickBot="1">
      <c r="B113" s="53" t="s">
        <v>62</v>
      </c>
      <c r="C113" s="97"/>
      <c r="D113" s="44" t="s">
        <v>1013</v>
      </c>
      <c r="E113" s="6"/>
      <c r="F113" s="6"/>
      <c r="G113" s="6"/>
      <c r="H113" s="6"/>
      <c r="I113" s="6"/>
      <c r="J113" s="6"/>
      <c r="K113" s="6"/>
    </row>
    <row r="114" spans="2:11">
      <c r="B114" s="1668" t="s">
        <v>64</v>
      </c>
      <c r="C114" s="93"/>
      <c r="D114" s="54" t="s">
        <v>65</v>
      </c>
      <c r="E114" s="6"/>
      <c r="F114" s="6"/>
      <c r="G114" s="6"/>
      <c r="H114" s="6"/>
      <c r="I114" s="6"/>
      <c r="J114" s="6"/>
      <c r="K114" s="6"/>
    </row>
    <row r="115" spans="2:11" ht="108">
      <c r="B115" s="1669"/>
      <c r="C115" s="93"/>
      <c r="D115" s="47" t="s">
        <v>1014</v>
      </c>
      <c r="E115" s="6"/>
      <c r="F115" s="6"/>
      <c r="G115" s="6"/>
      <c r="H115" s="6"/>
      <c r="I115" s="6"/>
      <c r="J115" s="6"/>
      <c r="K115" s="6"/>
    </row>
    <row r="116" spans="2:11">
      <c r="B116" s="1669"/>
      <c r="C116" s="93"/>
      <c r="D116" s="54" t="s">
        <v>139</v>
      </c>
      <c r="E116" s="6"/>
      <c r="F116" s="6"/>
      <c r="G116" s="6"/>
      <c r="H116" s="6"/>
      <c r="I116" s="6"/>
      <c r="J116" s="6"/>
      <c r="K116" s="6"/>
    </row>
    <row r="117" spans="2:11">
      <c r="B117" s="1669"/>
      <c r="C117" s="93"/>
      <c r="D117" s="47" t="s">
        <v>1015</v>
      </c>
      <c r="E117" s="6"/>
      <c r="F117" s="6"/>
      <c r="G117" s="6"/>
      <c r="H117" s="6"/>
      <c r="I117" s="6"/>
      <c r="J117" s="6"/>
      <c r="K117" s="6"/>
    </row>
    <row r="118" spans="2:11" ht="48">
      <c r="B118" s="1669"/>
      <c r="C118" s="93"/>
      <c r="D118" s="47" t="s">
        <v>1016</v>
      </c>
      <c r="E118" s="6"/>
      <c r="F118" s="6"/>
      <c r="G118" s="6"/>
      <c r="H118" s="6"/>
      <c r="I118" s="6"/>
      <c r="J118" s="6"/>
      <c r="K118" s="6"/>
    </row>
    <row r="119" spans="2:11">
      <c r="B119" s="1669"/>
      <c r="C119" s="93"/>
      <c r="D119" s="56" t="s">
        <v>1017</v>
      </c>
      <c r="E119" s="6"/>
      <c r="F119" s="6"/>
      <c r="G119" s="6"/>
      <c r="H119" s="6"/>
      <c r="I119" s="6"/>
      <c r="J119" s="6"/>
      <c r="K119" s="6"/>
    </row>
    <row r="120" spans="2:11" ht="15.75" thickBot="1">
      <c r="B120" s="1670"/>
      <c r="C120" s="3"/>
      <c r="D120" s="57" t="s">
        <v>1018</v>
      </c>
      <c r="E120" s="6"/>
      <c r="F120" s="6"/>
      <c r="G120" s="6"/>
      <c r="H120" s="6"/>
      <c r="I120" s="6"/>
      <c r="J120" s="6"/>
      <c r="K120" s="6"/>
    </row>
    <row r="121" spans="2:11" ht="24.75" thickBot="1">
      <c r="B121" s="48" t="s">
        <v>77</v>
      </c>
      <c r="C121" s="3"/>
      <c r="D121" s="41"/>
      <c r="E121" s="6"/>
      <c r="F121" s="6"/>
      <c r="G121" s="6"/>
      <c r="H121" s="6"/>
      <c r="I121" s="6"/>
      <c r="J121" s="6"/>
      <c r="K121" s="6"/>
    </row>
    <row r="122" spans="2:11" ht="72">
      <c r="B122" s="1668" t="s">
        <v>78</v>
      </c>
      <c r="C122" s="93"/>
      <c r="D122" s="47" t="s">
        <v>1019</v>
      </c>
      <c r="E122" s="6"/>
      <c r="F122" s="6"/>
      <c r="G122" s="6"/>
      <c r="H122" s="6"/>
      <c r="I122" s="6"/>
      <c r="J122" s="6"/>
      <c r="K122" s="6"/>
    </row>
    <row r="123" spans="2:11" ht="228">
      <c r="B123" s="1669"/>
      <c r="C123" s="93"/>
      <c r="D123" s="47" t="s">
        <v>1020</v>
      </c>
      <c r="E123" s="6"/>
      <c r="F123" s="6"/>
      <c r="G123" s="6"/>
      <c r="H123" s="6"/>
      <c r="I123" s="6"/>
      <c r="J123" s="6"/>
      <c r="K123" s="6"/>
    </row>
    <row r="124" spans="2:11" ht="84">
      <c r="B124" s="1669"/>
      <c r="C124" s="93"/>
      <c r="D124" s="47" t="s">
        <v>1021</v>
      </c>
      <c r="E124" s="6"/>
      <c r="F124" s="6"/>
      <c r="G124" s="6"/>
      <c r="H124" s="6"/>
      <c r="I124" s="6"/>
      <c r="J124" s="6"/>
      <c r="K124" s="6"/>
    </row>
    <row r="125" spans="2:11" ht="216.75" thickBot="1">
      <c r="B125" s="1670"/>
      <c r="C125" s="3"/>
      <c r="D125" s="41" t="s">
        <v>1022</v>
      </c>
      <c r="E125" s="6"/>
      <c r="F125" s="6"/>
      <c r="G125" s="6"/>
      <c r="H125" s="6"/>
      <c r="I125" s="6"/>
      <c r="J125" s="6"/>
      <c r="K125" s="6"/>
    </row>
    <row r="126" spans="2:11">
      <c r="B126" s="1668" t="s">
        <v>95</v>
      </c>
      <c r="C126" s="93"/>
      <c r="D126" s="47"/>
      <c r="E126" s="6"/>
      <c r="F126" s="6"/>
      <c r="G126" s="6"/>
      <c r="H126" s="6"/>
      <c r="I126" s="6"/>
      <c r="J126" s="6"/>
      <c r="K126" s="6"/>
    </row>
    <row r="127" spans="2:11">
      <c r="B127" s="1669"/>
      <c r="C127" s="93"/>
      <c r="D127" s="17"/>
      <c r="E127" s="6"/>
      <c r="F127" s="6"/>
      <c r="G127" s="6"/>
      <c r="H127" s="6"/>
      <c r="I127" s="6"/>
      <c r="J127" s="6"/>
      <c r="K127" s="6"/>
    </row>
    <row r="128" spans="2:11">
      <c r="B128" s="1669"/>
      <c r="C128" s="93"/>
      <c r="D128" s="47" t="s">
        <v>96</v>
      </c>
      <c r="E128" s="6"/>
      <c r="F128" s="6"/>
      <c r="G128" s="6"/>
      <c r="H128" s="6"/>
      <c r="I128" s="6"/>
      <c r="J128" s="6"/>
      <c r="K128" s="6"/>
    </row>
    <row r="129" spans="2:11" ht="37.5">
      <c r="B129" s="1669"/>
      <c r="C129" s="93"/>
      <c r="D129" s="47" t="s">
        <v>1023</v>
      </c>
      <c r="E129" s="6"/>
      <c r="F129" s="6"/>
      <c r="G129" s="6"/>
      <c r="H129" s="6"/>
      <c r="I129" s="6"/>
      <c r="J129" s="6"/>
      <c r="K129" s="6"/>
    </row>
    <row r="130" spans="2:11" ht="37.5">
      <c r="B130" s="1669"/>
      <c r="C130" s="93"/>
      <c r="D130" s="47" t="s">
        <v>1024</v>
      </c>
      <c r="E130" s="6"/>
      <c r="F130" s="6"/>
      <c r="G130" s="6"/>
      <c r="H130" s="6"/>
      <c r="I130" s="6"/>
      <c r="J130" s="6"/>
      <c r="K130" s="6"/>
    </row>
    <row r="131" spans="2:11" ht="37.5">
      <c r="B131" s="1669"/>
      <c r="C131" s="93"/>
      <c r="D131" s="47" t="s">
        <v>1025</v>
      </c>
      <c r="E131" s="6"/>
      <c r="F131" s="6"/>
      <c r="G131" s="6"/>
      <c r="H131" s="6"/>
      <c r="I131" s="6"/>
      <c r="J131" s="6"/>
      <c r="K131" s="6"/>
    </row>
    <row r="132" spans="2:11" ht="37.5">
      <c r="B132" s="1669"/>
      <c r="C132" s="93"/>
      <c r="D132" s="47" t="s">
        <v>1026</v>
      </c>
      <c r="E132" s="6"/>
      <c r="F132" s="6"/>
      <c r="G132" s="6"/>
      <c r="H132" s="6"/>
      <c r="I132" s="6"/>
      <c r="J132" s="6"/>
      <c r="K132" s="6"/>
    </row>
    <row r="133" spans="2:11">
      <c r="B133" s="1669"/>
      <c r="C133" s="93"/>
      <c r="D133" s="47" t="s">
        <v>1027</v>
      </c>
      <c r="E133" s="6"/>
      <c r="F133" s="6"/>
      <c r="G133" s="6"/>
      <c r="H133" s="6"/>
      <c r="I133" s="6"/>
      <c r="J133" s="6"/>
      <c r="K133" s="6"/>
    </row>
    <row r="134" spans="2:11">
      <c r="B134" s="1669"/>
      <c r="C134" s="93"/>
      <c r="D134" s="47" t="s">
        <v>1028</v>
      </c>
      <c r="E134" s="6"/>
      <c r="F134" s="6"/>
      <c r="G134" s="6"/>
      <c r="H134" s="6"/>
      <c r="I134" s="6"/>
      <c r="J134" s="6"/>
      <c r="K134" s="6"/>
    </row>
    <row r="135" spans="2:11">
      <c r="B135" s="1669"/>
      <c r="C135" s="93"/>
      <c r="D135" s="47" t="s">
        <v>1029</v>
      </c>
      <c r="E135" s="6"/>
      <c r="F135" s="6"/>
      <c r="G135" s="6"/>
      <c r="H135" s="6"/>
      <c r="I135" s="6"/>
      <c r="J135" s="6"/>
      <c r="K135" s="6"/>
    </row>
    <row r="136" spans="2:11">
      <c r="B136" s="1669"/>
      <c r="C136" s="93"/>
      <c r="D136" s="47" t="s">
        <v>104</v>
      </c>
      <c r="E136" s="6"/>
      <c r="F136" s="6"/>
      <c r="G136" s="6"/>
      <c r="H136" s="6"/>
      <c r="I136" s="6"/>
      <c r="J136" s="6"/>
      <c r="K136" s="6"/>
    </row>
    <row r="137" spans="2:11" ht="60.75" thickBot="1">
      <c r="B137" s="1670"/>
      <c r="C137" s="3"/>
      <c r="D137" s="41" t="s">
        <v>1030</v>
      </c>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sheetData>
  <sheetProtection sheet="1" objects="1" scenarios="1" insertColumns="0" insertRows="0"/>
  <mergeCells count="48">
    <mergeCell ref="A1:P1"/>
    <mergeCell ref="A2:P2"/>
    <mergeCell ref="A3:P3"/>
    <mergeCell ref="A4:D4"/>
    <mergeCell ref="A5:P5"/>
    <mergeCell ref="B10:D10"/>
    <mergeCell ref="F10:S10"/>
    <mergeCell ref="F11:S11"/>
    <mergeCell ref="E12:R12"/>
    <mergeCell ref="E13:R13"/>
    <mergeCell ref="D76:M76"/>
    <mergeCell ref="D70:G70"/>
    <mergeCell ref="C68:C69"/>
    <mergeCell ref="D63:M63"/>
    <mergeCell ref="D71:M71"/>
    <mergeCell ref="D72:M72"/>
    <mergeCell ref="D77:M77"/>
    <mergeCell ref="B114:B120"/>
    <mergeCell ref="B122:B125"/>
    <mergeCell ref="B126:B137"/>
    <mergeCell ref="D82:M82"/>
    <mergeCell ref="E18:F18"/>
    <mergeCell ref="D62:M62"/>
    <mergeCell ref="D48:G48"/>
    <mergeCell ref="C59:C60"/>
    <mergeCell ref="D49:M49"/>
    <mergeCell ref="D53:M53"/>
    <mergeCell ref="I18:J18"/>
    <mergeCell ref="C37:C38"/>
    <mergeCell ref="G18:H18"/>
    <mergeCell ref="D21:M21"/>
    <mergeCell ref="C46:C47"/>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44:G45 E28:E30 E66:G67 E50:E52 E35:L36">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showGridLines="0" topLeftCell="C4" zoomScale="120" zoomScaleNormal="120" workbookViewId="0">
      <selection activeCell="G20" sqref="G20"/>
    </sheetView>
  </sheetViews>
  <sheetFormatPr baseColWidth="10" defaultRowHeight="15"/>
  <cols>
    <col min="1" max="1" width="1.85546875" customWidth="1"/>
    <col min="2" max="2" width="12.85546875" customWidth="1"/>
    <col min="3" max="3" width="5.140625" style="86" bestFit="1" customWidth="1"/>
    <col min="4" max="4" width="34.85546875" customWidth="1"/>
    <col min="5" max="5" width="12.140625" customWidth="1"/>
    <col min="11" max="11" width="22"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1085</v>
      </c>
      <c r="B5" s="1556"/>
      <c r="C5" s="1556"/>
      <c r="D5" s="1556"/>
      <c r="E5" s="1556"/>
      <c r="F5" s="1556"/>
      <c r="G5" s="1556"/>
      <c r="H5" s="1556"/>
      <c r="I5" s="1556"/>
      <c r="J5" s="1556"/>
      <c r="K5" s="1556"/>
      <c r="L5" s="1556"/>
      <c r="M5" s="1556"/>
      <c r="N5" s="1556"/>
      <c r="O5" s="1556"/>
      <c r="P5" s="1557"/>
    </row>
    <row r="6" spans="1:21">
      <c r="B6" s="2" t="s">
        <v>1</v>
      </c>
      <c r="C6" s="75"/>
      <c r="D6" s="6"/>
      <c r="E6" s="73"/>
      <c r="F6" s="6" t="s">
        <v>133</v>
      </c>
      <c r="G6" s="6"/>
      <c r="H6" s="6"/>
      <c r="I6" s="6"/>
      <c r="J6" s="6"/>
      <c r="K6" s="6"/>
    </row>
    <row r="7" spans="1:21" ht="15.75" thickBot="1">
      <c r="B7" s="74"/>
      <c r="C7" s="76"/>
      <c r="D7" s="6"/>
      <c r="E7" s="18"/>
      <c r="F7" s="6" t="s">
        <v>134</v>
      </c>
      <c r="G7" s="6"/>
      <c r="H7" s="6"/>
      <c r="I7" s="6"/>
      <c r="J7" s="6"/>
      <c r="K7" s="6"/>
    </row>
    <row r="8" spans="1:21" ht="15.75" thickBot="1">
      <c r="B8" s="174" t="s">
        <v>1203</v>
      </c>
      <c r="C8" s="214">
        <v>2018</v>
      </c>
      <c r="D8" s="218">
        <f>IF(E10="NO APLICA","NO APLICA",IF(E11="NO SE REPORTA","SIN INFORMACION",+E30))</f>
        <v>0.46</v>
      </c>
      <c r="E8" s="215"/>
      <c r="F8" s="6" t="s">
        <v>135</v>
      </c>
      <c r="G8" s="6"/>
      <c r="H8" s="6"/>
      <c r="I8" s="6"/>
      <c r="J8" s="6"/>
      <c r="K8" s="6"/>
    </row>
    <row r="9" spans="1:21">
      <c r="B9" s="483" t="s">
        <v>1204</v>
      </c>
      <c r="D9" s="6"/>
      <c r="E9" s="6"/>
      <c r="F9" s="6"/>
      <c r="G9" s="6"/>
      <c r="H9" s="6"/>
      <c r="I9" s="6"/>
      <c r="J9" s="6"/>
      <c r="K9" s="6"/>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Gestión'!E9:H9</f>
        <v>Proyecto No 1.1.Planificación, Ordenamiento e Información Ambiental Territorial (1)</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1826</v>
      </c>
      <c r="F13" s="1593"/>
      <c r="G13" s="1593"/>
      <c r="H13" s="1593"/>
      <c r="I13" s="1593"/>
      <c r="J13" s="1593"/>
      <c r="K13" s="1593"/>
      <c r="L13" s="1593"/>
      <c r="M13" s="1593"/>
      <c r="N13" s="1593"/>
      <c r="O13" s="1593"/>
      <c r="P13" s="1593"/>
      <c r="Q13" s="1593"/>
      <c r="R13" s="1594"/>
    </row>
    <row r="14" spans="1:21" s="403" customFormat="1" ht="6.95" customHeight="1" thickBot="1">
      <c r="B14" s="483"/>
      <c r="C14" s="86"/>
      <c r="D14" s="6"/>
      <c r="E14" s="6"/>
      <c r="F14" s="6"/>
      <c r="G14" s="6"/>
      <c r="H14" s="6"/>
      <c r="I14" s="6"/>
      <c r="J14" s="6"/>
      <c r="K14" s="6"/>
    </row>
    <row r="15" spans="1:21">
      <c r="B15" s="1668" t="s">
        <v>2</v>
      </c>
      <c r="C15" s="88"/>
      <c r="D15" s="1856" t="s">
        <v>1099</v>
      </c>
      <c r="E15" s="1857"/>
      <c r="F15" s="1857"/>
      <c r="G15" s="1857"/>
      <c r="H15" s="1810"/>
      <c r="I15" s="6"/>
      <c r="J15" s="6"/>
      <c r="K15" s="6"/>
      <c r="L15" s="6"/>
      <c r="M15" s="6"/>
      <c r="N15" s="6"/>
      <c r="O15" s="6"/>
    </row>
    <row r="16" spans="1:21">
      <c r="B16" s="1669"/>
      <c r="C16" s="91"/>
      <c r="D16" s="1674" t="s">
        <v>1117</v>
      </c>
      <c r="E16" s="1675"/>
      <c r="F16" s="1675"/>
      <c r="G16" s="1675"/>
      <c r="H16" s="1676"/>
      <c r="I16" s="6"/>
      <c r="J16" s="6"/>
      <c r="K16" s="6"/>
      <c r="L16" s="6"/>
      <c r="M16" s="6"/>
      <c r="N16" s="6"/>
      <c r="O16" s="6"/>
    </row>
    <row r="17" spans="1:15" ht="15.75" thickBot="1">
      <c r="B17" s="1669"/>
      <c r="C17" s="91"/>
      <c r="D17" s="1716" t="s">
        <v>3</v>
      </c>
      <c r="E17" s="1717"/>
      <c r="F17" s="1717"/>
      <c r="G17" s="1717"/>
      <c r="H17" s="1718"/>
      <c r="I17" s="6"/>
      <c r="J17" s="6"/>
      <c r="K17" s="6"/>
      <c r="L17" s="6"/>
      <c r="M17" s="6"/>
      <c r="N17" s="6"/>
      <c r="O17" s="6"/>
    </row>
    <row r="18" spans="1:15" ht="15.75" thickBot="1">
      <c r="B18" s="1669"/>
      <c r="C18" s="97" t="s">
        <v>24</v>
      </c>
      <c r="D18" s="39" t="s">
        <v>1118</v>
      </c>
      <c r="E18" s="39" t="s">
        <v>1119</v>
      </c>
      <c r="F18" s="39" t="s">
        <v>1120</v>
      </c>
      <c r="G18" s="39" t="s">
        <v>1121</v>
      </c>
      <c r="H18" s="115"/>
      <c r="I18" s="6"/>
      <c r="J18" s="6"/>
      <c r="K18" s="6"/>
      <c r="L18" s="6"/>
      <c r="M18" s="6"/>
      <c r="N18" s="6"/>
      <c r="O18" s="6"/>
    </row>
    <row r="19" spans="1:15" ht="24.75" thickBot="1">
      <c r="B19" s="1669"/>
      <c r="C19" s="3" t="s">
        <v>158</v>
      </c>
      <c r="D19" s="127" t="s">
        <v>1122</v>
      </c>
      <c r="E19" s="149">
        <v>2722</v>
      </c>
      <c r="F19" s="149">
        <v>222</v>
      </c>
      <c r="G19" s="149">
        <v>2</v>
      </c>
      <c r="H19" s="116"/>
      <c r="I19" s="6"/>
      <c r="J19" s="6"/>
      <c r="K19" s="6"/>
      <c r="L19" s="6"/>
      <c r="M19" s="6"/>
      <c r="N19" s="6"/>
      <c r="O19" s="6"/>
    </row>
    <row r="20" spans="1:15" ht="24.75" thickBot="1">
      <c r="B20" s="1669"/>
      <c r="C20" s="3" t="s">
        <v>160</v>
      </c>
      <c r="D20" s="127" t="s">
        <v>1123</v>
      </c>
      <c r="E20" s="149">
        <v>3800</v>
      </c>
      <c r="F20" s="149">
        <v>1080</v>
      </c>
      <c r="G20" s="149">
        <v>4</v>
      </c>
      <c r="H20" s="116"/>
      <c r="I20" s="6"/>
      <c r="J20" s="6"/>
      <c r="K20" s="6"/>
      <c r="L20" s="6"/>
      <c r="M20" s="6"/>
      <c r="N20" s="6"/>
      <c r="O20" s="6"/>
    </row>
    <row r="21" spans="1:15" ht="24.75" thickBot="1">
      <c r="B21" s="1669"/>
      <c r="C21" s="3" t="s">
        <v>162</v>
      </c>
      <c r="D21" s="127" t="s">
        <v>1124</v>
      </c>
      <c r="E21" s="150">
        <f>IFERROR(E19/E20,"N.A")</f>
        <v>0.72</v>
      </c>
      <c r="F21" s="150">
        <f>IFERROR(F19/F20,"N.A")</f>
        <v>0.21</v>
      </c>
      <c r="G21" s="150">
        <f>IFERROR(G19/G20,"N.A")</f>
        <v>0.5</v>
      </c>
      <c r="H21" s="117"/>
      <c r="I21" s="6"/>
      <c r="J21" s="6"/>
      <c r="K21" s="6"/>
      <c r="L21" s="6"/>
      <c r="M21" s="6"/>
      <c r="N21" s="6"/>
      <c r="O21" s="6"/>
    </row>
    <row r="22" spans="1:15">
      <c r="B22" s="1669"/>
      <c r="C22" s="91"/>
      <c r="D22" s="1685"/>
      <c r="E22" s="1686"/>
      <c r="F22" s="1686"/>
      <c r="G22" s="1686"/>
      <c r="H22" s="1687"/>
      <c r="I22" s="6"/>
      <c r="J22" s="6"/>
      <c r="K22" s="6"/>
      <c r="L22" s="6"/>
      <c r="M22" s="6"/>
      <c r="N22" s="6"/>
      <c r="O22" s="6"/>
    </row>
    <row r="23" spans="1:15" ht="24" customHeight="1" thickBot="1">
      <c r="B23" s="1669"/>
      <c r="C23" s="91"/>
      <c r="D23" s="1674" t="s">
        <v>1112</v>
      </c>
      <c r="E23" s="1675"/>
      <c r="F23" s="1675"/>
      <c r="G23" s="1675"/>
      <c r="H23" s="1676"/>
      <c r="I23" s="6"/>
      <c r="J23" s="6"/>
      <c r="K23" s="6"/>
      <c r="L23" s="6"/>
      <c r="M23" s="6"/>
      <c r="N23" s="6"/>
      <c r="O23" s="6"/>
    </row>
    <row r="24" spans="1:15" ht="15.75" thickBot="1">
      <c r="B24" s="1669"/>
      <c r="C24" s="97" t="s">
        <v>24</v>
      </c>
      <c r="D24" s="39" t="s">
        <v>1118</v>
      </c>
      <c r="E24" s="39" t="s">
        <v>1125</v>
      </c>
      <c r="F24" s="39" t="s">
        <v>1126</v>
      </c>
      <c r="H24" s="22"/>
      <c r="I24" s="6"/>
      <c r="J24" s="6"/>
      <c r="K24" s="6"/>
      <c r="L24" s="6"/>
      <c r="M24" s="6"/>
      <c r="N24" s="6"/>
      <c r="O24" s="6"/>
    </row>
    <row r="25" spans="1:15" ht="24.75" thickBot="1">
      <c r="B25" s="1669"/>
      <c r="C25" s="3" t="s">
        <v>158</v>
      </c>
      <c r="D25" s="127" t="s">
        <v>1127</v>
      </c>
      <c r="E25" s="149">
        <v>185</v>
      </c>
      <c r="F25" s="149">
        <v>10</v>
      </c>
      <c r="H25" s="22"/>
      <c r="I25" s="6"/>
      <c r="J25" s="6"/>
      <c r="K25" s="6"/>
      <c r="L25" s="6"/>
      <c r="M25" s="6"/>
      <c r="N25" s="6"/>
      <c r="O25" s="6"/>
    </row>
    <row r="26" spans="1:15" ht="24.75" thickBot="1">
      <c r="B26" s="1669"/>
      <c r="C26" s="3" t="s">
        <v>160</v>
      </c>
      <c r="D26" s="127" t="s">
        <v>1128</v>
      </c>
      <c r="E26" s="149">
        <v>301</v>
      </c>
      <c r="F26" s="149">
        <v>41</v>
      </c>
      <c r="H26" s="22"/>
      <c r="I26" s="6"/>
      <c r="J26" s="6"/>
      <c r="K26" s="6"/>
      <c r="L26" s="6"/>
      <c r="M26" s="6"/>
      <c r="N26" s="6"/>
      <c r="O26" s="6"/>
    </row>
    <row r="27" spans="1:15" ht="24.75" thickBot="1">
      <c r="B27" s="1669"/>
      <c r="C27" s="128" t="s">
        <v>162</v>
      </c>
      <c r="D27" s="127" t="s">
        <v>1198</v>
      </c>
      <c r="E27" s="150">
        <f>IFERROR(E25/E26,"N.A.")</f>
        <v>0.61</v>
      </c>
      <c r="F27" s="150">
        <f>IFERROR(F25/F26,"N.A.")</f>
        <v>0.24</v>
      </c>
      <c r="H27" s="22"/>
      <c r="I27" s="6"/>
      <c r="J27" s="6"/>
      <c r="K27" s="6"/>
    </row>
    <row r="28" spans="1:15" ht="15.75" thickBot="1">
      <c r="B28" s="1670"/>
      <c r="C28" s="128"/>
      <c r="D28" s="126"/>
      <c r="E28" s="126"/>
      <c r="F28" s="126"/>
      <c r="G28" s="126"/>
      <c r="H28" s="24"/>
      <c r="I28" s="6"/>
      <c r="J28" s="6"/>
      <c r="K28" s="6"/>
    </row>
    <row r="29" spans="1:15" s="403" customFormat="1" ht="15.75" thickBot="1">
      <c r="A29" s="6"/>
      <c r="B29" s="6"/>
      <c r="C29" s="6"/>
      <c r="D29" s="6"/>
      <c r="E29" s="6"/>
      <c r="F29" s="6"/>
      <c r="G29" s="6"/>
      <c r="H29" s="6"/>
      <c r="I29" s="6"/>
      <c r="J29" s="6"/>
      <c r="K29" s="6"/>
    </row>
    <row r="30" spans="1:15" s="403" customFormat="1" ht="25.7" customHeight="1" thickBot="1">
      <c r="A30" s="6"/>
      <c r="B30" s="6"/>
      <c r="C30" s="6"/>
      <c r="D30" s="53" t="s">
        <v>1258</v>
      </c>
      <c r="E30" s="150">
        <f>AVERAGE(E21:G21,E27:F27)</f>
        <v>0.46</v>
      </c>
      <c r="F30" s="421"/>
      <c r="G30" s="421"/>
      <c r="H30" s="419"/>
      <c r="I30" s="6"/>
      <c r="J30" s="6"/>
      <c r="K30" s="6"/>
    </row>
    <row r="31" spans="1:15" s="403" customFormat="1">
      <c r="A31" s="6"/>
      <c r="B31" s="6"/>
      <c r="C31" s="6"/>
      <c r="D31" s="6"/>
      <c r="E31" s="6"/>
      <c r="F31" s="6"/>
      <c r="G31" s="6"/>
      <c r="H31" s="6"/>
      <c r="I31" s="6"/>
      <c r="J31" s="6"/>
      <c r="K31" s="6"/>
    </row>
    <row r="32" spans="1:15" s="403" customFormat="1" ht="15.75" thickBot="1">
      <c r="A32" s="6"/>
      <c r="B32" s="6"/>
      <c r="C32" s="6"/>
      <c r="D32" s="6"/>
      <c r="E32" s="6"/>
      <c r="F32" s="6"/>
      <c r="G32" s="6"/>
      <c r="H32" s="6"/>
      <c r="I32" s="6"/>
      <c r="J32" s="6"/>
      <c r="K32" s="6"/>
    </row>
    <row r="33" spans="2:11" ht="36" customHeight="1" thickBot="1">
      <c r="B33" s="53" t="s">
        <v>39</v>
      </c>
      <c r="C33" s="420"/>
      <c r="D33" s="1680" t="s">
        <v>1129</v>
      </c>
      <c r="E33" s="1681"/>
      <c r="F33" s="1681"/>
      <c r="G33" s="1681"/>
      <c r="H33" s="1682"/>
      <c r="I33" s="6"/>
      <c r="J33" s="6"/>
      <c r="K33" s="6"/>
    </row>
    <row r="34" spans="2:11" ht="48" customHeight="1" thickBot="1">
      <c r="B34" s="48" t="s">
        <v>41</v>
      </c>
      <c r="C34" s="92"/>
      <c r="D34" s="1680" t="s">
        <v>1130</v>
      </c>
      <c r="E34" s="1681"/>
      <c r="F34" s="1681"/>
      <c r="G34" s="1681"/>
      <c r="H34" s="1682"/>
      <c r="I34" s="6"/>
      <c r="J34" s="6"/>
      <c r="K34" s="6"/>
    </row>
    <row r="35" spans="2:11" ht="15.75" thickBot="1">
      <c r="B35" s="2"/>
      <c r="C35" s="75"/>
      <c r="D35" s="6"/>
      <c r="E35" s="6"/>
      <c r="F35" s="6"/>
      <c r="G35" s="6"/>
      <c r="H35" s="6"/>
      <c r="I35" s="6"/>
      <c r="J35" s="6"/>
      <c r="K35" s="6"/>
    </row>
    <row r="36" spans="2:11" ht="24" customHeight="1" thickBot="1">
      <c r="B36" s="1671" t="s">
        <v>43</v>
      </c>
      <c r="C36" s="1672"/>
      <c r="D36" s="1672"/>
      <c r="E36" s="1673"/>
      <c r="F36" s="6"/>
      <c r="G36" s="6"/>
      <c r="H36" s="6"/>
      <c r="I36" s="6"/>
      <c r="J36" s="6"/>
      <c r="K36" s="6"/>
    </row>
    <row r="37" spans="2:11" ht="15.75" thickBot="1">
      <c r="B37" s="1668">
        <v>1</v>
      </c>
      <c r="C37" s="93"/>
      <c r="D37" s="49" t="s">
        <v>44</v>
      </c>
      <c r="E37" s="163" t="s">
        <v>1616</v>
      </c>
      <c r="F37" s="6"/>
      <c r="G37" s="6"/>
      <c r="H37" s="6"/>
      <c r="I37" s="6"/>
      <c r="J37" s="6"/>
      <c r="K37" s="6"/>
    </row>
    <row r="38" spans="2:11" ht="15.75" thickBot="1">
      <c r="B38" s="1669"/>
      <c r="C38" s="93"/>
      <c r="D38" s="41" t="s">
        <v>45</v>
      </c>
      <c r="E38" s="163" t="s">
        <v>1829</v>
      </c>
      <c r="F38" s="6"/>
      <c r="G38" s="6"/>
      <c r="H38" s="6"/>
      <c r="I38" s="6"/>
      <c r="J38" s="6"/>
      <c r="K38" s="6"/>
    </row>
    <row r="39" spans="2:11" ht="15.75" thickBot="1">
      <c r="B39" s="1669"/>
      <c r="C39" s="93"/>
      <c r="D39" s="41" t="s">
        <v>46</v>
      </c>
      <c r="E39" s="163" t="s">
        <v>2023</v>
      </c>
      <c r="F39" s="6"/>
      <c r="G39" s="6"/>
      <c r="H39" s="6"/>
      <c r="I39" s="6"/>
      <c r="J39" s="6"/>
      <c r="K39" s="6"/>
    </row>
    <row r="40" spans="2:11" ht="15.75" thickBot="1">
      <c r="B40" s="1669"/>
      <c r="C40" s="93"/>
      <c r="D40" s="41" t="s">
        <v>47</v>
      </c>
      <c r="E40" s="163" t="s">
        <v>1619</v>
      </c>
      <c r="F40" s="6"/>
      <c r="G40" s="6"/>
      <c r="H40" s="6"/>
      <c r="I40" s="6"/>
      <c r="J40" s="6"/>
      <c r="K40" s="6"/>
    </row>
    <row r="41" spans="2:11" ht="15.75" thickBot="1">
      <c r="B41" s="1669"/>
      <c r="C41" s="93"/>
      <c r="D41" s="41" t="s">
        <v>48</v>
      </c>
      <c r="E41" s="163" t="s">
        <v>2024</v>
      </c>
      <c r="F41" s="6"/>
      <c r="G41" s="6"/>
      <c r="H41" s="6"/>
      <c r="I41" s="6"/>
      <c r="J41" s="6"/>
      <c r="K41" s="6"/>
    </row>
    <row r="42" spans="2:11" ht="15.75" thickBot="1">
      <c r="B42" s="1669"/>
      <c r="C42" s="93"/>
      <c r="D42" s="41" t="s">
        <v>49</v>
      </c>
      <c r="E42" s="163" t="s">
        <v>1830</v>
      </c>
      <c r="F42" s="6"/>
      <c r="G42" s="6"/>
      <c r="H42" s="6"/>
      <c r="I42" s="6"/>
      <c r="J42" s="6"/>
      <c r="K42" s="6"/>
    </row>
    <row r="43" spans="2:11" ht="15.75" thickBot="1">
      <c r="B43" s="1670"/>
      <c r="C43" s="3"/>
      <c r="D43" s="41" t="s">
        <v>50</v>
      </c>
      <c r="E43" s="163" t="s">
        <v>1607</v>
      </c>
      <c r="F43" s="6"/>
      <c r="G43" s="6"/>
      <c r="H43" s="6"/>
      <c r="I43" s="6"/>
      <c r="J43" s="6"/>
      <c r="K43" s="6"/>
    </row>
    <row r="44" spans="2:11" ht="15.75" thickBot="1">
      <c r="B44" s="2"/>
      <c r="C44" s="75"/>
      <c r="D44" s="6"/>
      <c r="E44" s="6"/>
      <c r="F44" s="6"/>
      <c r="G44" s="6"/>
      <c r="H44" s="6"/>
      <c r="I44" s="6"/>
      <c r="J44" s="6"/>
      <c r="K44" s="6"/>
    </row>
    <row r="45" spans="2:11" ht="15.75" thickBot="1">
      <c r="B45" s="1671" t="s">
        <v>51</v>
      </c>
      <c r="C45" s="1672"/>
      <c r="D45" s="1672"/>
      <c r="E45" s="1673"/>
      <c r="F45" s="6"/>
      <c r="G45" s="6"/>
      <c r="H45" s="6"/>
      <c r="I45" s="6"/>
      <c r="J45" s="6"/>
      <c r="K45" s="6"/>
    </row>
    <row r="46" spans="2:11" ht="15.75" thickBot="1">
      <c r="B46" s="1668">
        <v>1</v>
      </c>
      <c r="C46" s="93"/>
      <c r="D46" s="49" t="s">
        <v>44</v>
      </c>
      <c r="E46" s="19" t="s">
        <v>52</v>
      </c>
      <c r="F46" s="6"/>
      <c r="G46" s="6"/>
      <c r="H46" s="6"/>
      <c r="I46" s="6"/>
      <c r="J46" s="6"/>
      <c r="K46" s="6"/>
    </row>
    <row r="47" spans="2:11" ht="15.75" thickBot="1">
      <c r="B47" s="1669"/>
      <c r="C47" s="93"/>
      <c r="D47" s="41" t="s">
        <v>45</v>
      </c>
      <c r="E47" s="19" t="s">
        <v>166</v>
      </c>
      <c r="F47" s="6"/>
      <c r="G47" s="6"/>
      <c r="H47" s="6"/>
      <c r="I47" s="6"/>
      <c r="J47" s="6"/>
      <c r="K47" s="6"/>
    </row>
    <row r="48" spans="2:11" ht="15.75" thickBot="1">
      <c r="B48" s="1669"/>
      <c r="C48" s="93"/>
      <c r="D48" s="41" t="s">
        <v>46</v>
      </c>
      <c r="E48" s="168"/>
      <c r="F48" s="6"/>
      <c r="G48" s="6"/>
      <c r="H48" s="6"/>
      <c r="I48" s="6"/>
      <c r="J48" s="6"/>
      <c r="K48" s="6"/>
    </row>
    <row r="49" spans="2:11" ht="15.75" thickBot="1">
      <c r="B49" s="1669"/>
      <c r="C49" s="93"/>
      <c r="D49" s="41" t="s">
        <v>47</v>
      </c>
      <c r="E49" s="168"/>
      <c r="F49" s="6"/>
      <c r="G49" s="6"/>
      <c r="H49" s="6"/>
      <c r="I49" s="6"/>
      <c r="J49" s="6"/>
      <c r="K49" s="6"/>
    </row>
    <row r="50" spans="2:11" ht="15.75" thickBot="1">
      <c r="B50" s="1669"/>
      <c r="C50" s="93"/>
      <c r="D50" s="41" t="s">
        <v>48</v>
      </c>
      <c r="E50" s="168"/>
      <c r="F50" s="6"/>
      <c r="G50" s="6"/>
      <c r="H50" s="6"/>
      <c r="I50" s="6"/>
      <c r="J50" s="6"/>
      <c r="K50" s="6"/>
    </row>
    <row r="51" spans="2:11" ht="15.75" thickBot="1">
      <c r="B51" s="1669"/>
      <c r="C51" s="93"/>
      <c r="D51" s="41" t="s">
        <v>49</v>
      </c>
      <c r="E51" s="168"/>
      <c r="F51" s="6"/>
      <c r="G51" s="6"/>
      <c r="H51" s="6"/>
      <c r="I51" s="6"/>
      <c r="J51" s="6"/>
      <c r="K51" s="6"/>
    </row>
    <row r="52" spans="2:11" ht="15.75" thickBot="1">
      <c r="B52" s="1670"/>
      <c r="C52" s="3"/>
      <c r="D52" s="41" t="s">
        <v>50</v>
      </c>
      <c r="E52" s="168"/>
      <c r="F52" s="6"/>
      <c r="G52" s="6"/>
      <c r="H52" s="6"/>
      <c r="I52" s="6"/>
      <c r="J52" s="6"/>
      <c r="K52" s="6"/>
    </row>
    <row r="53" spans="2:11" ht="15.75" thickBot="1">
      <c r="B53" s="2"/>
      <c r="C53" s="75"/>
      <c r="D53" s="6"/>
      <c r="E53" s="6"/>
      <c r="F53" s="6"/>
      <c r="G53" s="6"/>
      <c r="H53" s="6"/>
      <c r="I53" s="6"/>
      <c r="J53" s="6"/>
      <c r="K53" s="6"/>
    </row>
    <row r="54" spans="2:11" ht="15" customHeight="1" thickBot="1">
      <c r="B54" s="123" t="s">
        <v>54</v>
      </c>
      <c r="C54" s="124"/>
      <c r="D54" s="124"/>
      <c r="E54" s="125"/>
      <c r="G54" s="6"/>
      <c r="H54" s="6"/>
      <c r="I54" s="6"/>
      <c r="J54" s="6"/>
      <c r="K54" s="6"/>
    </row>
    <row r="55" spans="2:11" ht="24.75" thickBot="1">
      <c r="B55" s="48" t="s">
        <v>55</v>
      </c>
      <c r="C55" s="41" t="s">
        <v>56</v>
      </c>
      <c r="D55" s="41" t="s">
        <v>57</v>
      </c>
      <c r="E55" s="41" t="s">
        <v>58</v>
      </c>
      <c r="F55" s="6"/>
      <c r="G55" s="6"/>
      <c r="H55" s="6"/>
      <c r="I55" s="6"/>
      <c r="J55" s="6"/>
    </row>
    <row r="56" spans="2:11" ht="60.75" thickBot="1">
      <c r="B56" s="50">
        <v>42401</v>
      </c>
      <c r="C56" s="41">
        <v>0.01</v>
      </c>
      <c r="D56" s="51" t="s">
        <v>1131</v>
      </c>
      <c r="E56" s="41"/>
      <c r="F56" s="6"/>
      <c r="G56" s="6"/>
      <c r="H56" s="6"/>
      <c r="I56" s="6"/>
      <c r="J56" s="6"/>
    </row>
    <row r="57" spans="2:11" ht="15.75" thickBot="1">
      <c r="B57" s="4"/>
      <c r="C57" s="94"/>
      <c r="D57" s="6"/>
      <c r="E57" s="6"/>
      <c r="F57" s="6"/>
      <c r="G57" s="6"/>
      <c r="H57" s="6"/>
      <c r="I57" s="6"/>
      <c r="J57" s="6"/>
      <c r="K57" s="6"/>
    </row>
    <row r="58" spans="2:11" ht="15.75" thickBot="1">
      <c r="B58" s="134" t="s">
        <v>60</v>
      </c>
      <c r="C58" s="95"/>
      <c r="D58" s="6"/>
      <c r="E58" s="6"/>
      <c r="F58" s="6"/>
      <c r="G58" s="6"/>
      <c r="H58" s="6"/>
      <c r="I58" s="6"/>
      <c r="J58" s="6"/>
      <c r="K58" s="6"/>
    </row>
    <row r="59" spans="2:11">
      <c r="B59" s="1778"/>
      <c r="C59" s="1779"/>
      <c r="D59" s="1779"/>
      <c r="E59" s="1780"/>
      <c r="F59" s="6"/>
      <c r="G59" s="6"/>
      <c r="H59" s="6"/>
      <c r="I59" s="6"/>
      <c r="J59" s="6"/>
      <c r="K59" s="6"/>
    </row>
    <row r="60" spans="2:11" ht="15.75" thickBot="1">
      <c r="B60" s="1781"/>
      <c r="C60" s="1782"/>
      <c r="D60" s="1782"/>
      <c r="E60" s="1783"/>
      <c r="F60" s="6"/>
      <c r="G60" s="6"/>
      <c r="H60" s="6"/>
      <c r="I60" s="6"/>
      <c r="J60" s="6"/>
      <c r="K60" s="6"/>
    </row>
    <row r="61" spans="2:11" ht="15.75" thickBot="1">
      <c r="B61" s="6"/>
      <c r="D61" s="6"/>
      <c r="E61" s="6"/>
      <c r="F61" s="6"/>
      <c r="G61" s="6"/>
      <c r="H61" s="6"/>
      <c r="I61" s="6"/>
      <c r="J61" s="6"/>
      <c r="K61" s="6"/>
    </row>
    <row r="62" spans="2:11" ht="24.75" thickBot="1">
      <c r="B62" s="52" t="s">
        <v>61</v>
      </c>
      <c r="C62" s="96"/>
      <c r="D62" s="6"/>
      <c r="E62" s="6"/>
      <c r="F62" s="6"/>
      <c r="G62" s="6"/>
      <c r="H62" s="6"/>
      <c r="I62" s="6"/>
      <c r="J62" s="6"/>
      <c r="K62" s="6"/>
    </row>
    <row r="63" spans="2:11" ht="15.75" thickBot="1">
      <c r="B63" s="2"/>
      <c r="C63" s="75"/>
      <c r="D63" s="6"/>
      <c r="E63" s="6"/>
      <c r="F63" s="6"/>
      <c r="G63" s="6"/>
      <c r="H63" s="6"/>
      <c r="I63" s="6"/>
      <c r="J63" s="6"/>
      <c r="K63" s="6"/>
    </row>
    <row r="64" spans="2:11" ht="60.75" thickBot="1">
      <c r="B64" s="53" t="s">
        <v>62</v>
      </c>
      <c r="C64" s="97"/>
      <c r="D64" s="44" t="s">
        <v>1086</v>
      </c>
      <c r="E64" s="6"/>
      <c r="F64" s="6"/>
      <c r="G64" s="6"/>
      <c r="H64" s="6"/>
      <c r="I64" s="6"/>
      <c r="J64" s="6"/>
      <c r="K64" s="6"/>
    </row>
    <row r="65" spans="2:11">
      <c r="B65" s="1668" t="s">
        <v>64</v>
      </c>
      <c r="C65" s="93"/>
      <c r="D65" s="54" t="s">
        <v>65</v>
      </c>
      <c r="E65" s="6"/>
      <c r="F65" s="6"/>
      <c r="G65" s="6"/>
      <c r="H65" s="6"/>
      <c r="I65" s="6"/>
      <c r="J65" s="6"/>
      <c r="K65" s="6"/>
    </row>
    <row r="66" spans="2:11" ht="48">
      <c r="B66" s="1669"/>
      <c r="C66" s="93"/>
      <c r="D66" s="47" t="s">
        <v>1087</v>
      </c>
      <c r="E66" s="6"/>
      <c r="F66" s="6"/>
      <c r="G66" s="6"/>
      <c r="H66" s="6"/>
      <c r="I66" s="6"/>
      <c r="J66" s="6"/>
      <c r="K66" s="6"/>
    </row>
    <row r="67" spans="2:11">
      <c r="B67" s="1669"/>
      <c r="C67" s="93"/>
      <c r="D67" s="54" t="s">
        <v>139</v>
      </c>
      <c r="E67" s="6"/>
      <c r="F67" s="6"/>
      <c r="G67" s="6"/>
      <c r="H67" s="6"/>
      <c r="I67" s="6"/>
      <c r="J67" s="6"/>
      <c r="K67" s="6"/>
    </row>
    <row r="68" spans="2:11">
      <c r="B68" s="1669"/>
      <c r="C68" s="93"/>
      <c r="D68" s="47" t="s">
        <v>70</v>
      </c>
      <c r="E68" s="6"/>
      <c r="F68" s="6"/>
      <c r="G68" s="6"/>
      <c r="H68" s="6"/>
      <c r="I68" s="6"/>
      <c r="J68" s="6"/>
      <c r="K68" s="6"/>
    </row>
    <row r="69" spans="2:11">
      <c r="B69" s="1669"/>
      <c r="C69" s="93"/>
      <c r="D69" s="47" t="s">
        <v>1015</v>
      </c>
      <c r="E69" s="6"/>
      <c r="F69" s="6"/>
      <c r="G69" s="6"/>
      <c r="H69" s="6"/>
      <c r="I69" s="6"/>
      <c r="J69" s="6"/>
      <c r="K69" s="6"/>
    </row>
    <row r="70" spans="2:11" ht="48">
      <c r="B70" s="1669"/>
      <c r="C70" s="93"/>
      <c r="D70" s="47" t="s">
        <v>1016</v>
      </c>
      <c r="E70" s="6"/>
      <c r="F70" s="6"/>
      <c r="G70" s="6"/>
      <c r="H70" s="6"/>
      <c r="I70" s="6"/>
      <c r="J70" s="6"/>
      <c r="K70" s="6"/>
    </row>
    <row r="71" spans="2:11" ht="24">
      <c r="B71" s="1669"/>
      <c r="C71" s="93"/>
      <c r="D71" s="47" t="s">
        <v>1088</v>
      </c>
      <c r="E71" s="6"/>
      <c r="F71" s="6"/>
      <c r="G71" s="6"/>
      <c r="H71" s="6"/>
      <c r="I71" s="6"/>
      <c r="J71" s="6"/>
      <c r="K71" s="6"/>
    </row>
    <row r="72" spans="2:11">
      <c r="B72" s="1669"/>
      <c r="C72" s="93"/>
      <c r="D72" s="47" t="s">
        <v>1089</v>
      </c>
      <c r="E72" s="6"/>
      <c r="F72" s="6"/>
      <c r="G72" s="6"/>
      <c r="H72" s="6"/>
      <c r="I72" s="6"/>
      <c r="J72" s="6"/>
      <c r="K72" s="6"/>
    </row>
    <row r="73" spans="2:11">
      <c r="B73" s="1669"/>
      <c r="C73" s="93"/>
      <c r="D73" s="54" t="s">
        <v>1090</v>
      </c>
      <c r="E73" s="6"/>
      <c r="F73" s="6"/>
      <c r="G73" s="6"/>
      <c r="H73" s="6"/>
      <c r="I73" s="6"/>
      <c r="J73" s="6"/>
      <c r="K73" s="6"/>
    </row>
    <row r="74" spans="2:11" ht="60">
      <c r="B74" s="1669"/>
      <c r="C74" s="93"/>
      <c r="D74" s="47" t="s">
        <v>1091</v>
      </c>
      <c r="E74" s="6"/>
      <c r="F74" s="6"/>
      <c r="G74" s="6"/>
      <c r="H74" s="6"/>
      <c r="I74" s="6"/>
      <c r="J74" s="6"/>
      <c r="K74" s="6"/>
    </row>
    <row r="75" spans="2:11">
      <c r="B75" s="1669"/>
      <c r="C75" s="93"/>
      <c r="D75" s="56" t="s">
        <v>1017</v>
      </c>
      <c r="E75" s="6"/>
      <c r="F75" s="6"/>
      <c r="G75" s="6"/>
      <c r="H75" s="6"/>
      <c r="I75" s="6"/>
      <c r="J75" s="6"/>
      <c r="K75" s="6"/>
    </row>
    <row r="76" spans="2:11" ht="15.75" thickBot="1">
      <c r="B76" s="1670"/>
      <c r="C76" s="3"/>
      <c r="D76" s="57" t="s">
        <v>1018</v>
      </c>
      <c r="E76" s="6"/>
      <c r="F76" s="6"/>
      <c r="G76" s="6"/>
      <c r="H76" s="6"/>
      <c r="I76" s="6"/>
      <c r="J76" s="6"/>
      <c r="K76" s="6"/>
    </row>
    <row r="77" spans="2:11" ht="24.75" thickBot="1">
      <c r="B77" s="48" t="s">
        <v>77</v>
      </c>
      <c r="C77" s="3"/>
      <c r="D77" s="41" t="s">
        <v>1092</v>
      </c>
      <c r="E77" s="6"/>
      <c r="F77" s="6"/>
      <c r="G77" s="6"/>
      <c r="H77" s="6"/>
      <c r="I77" s="6"/>
      <c r="J77" s="6"/>
      <c r="K77" s="6"/>
    </row>
    <row r="78" spans="2:11" ht="108">
      <c r="B78" s="1668" t="s">
        <v>78</v>
      </c>
      <c r="C78" s="93"/>
      <c r="D78" s="47" t="s">
        <v>1093</v>
      </c>
      <c r="E78" s="6"/>
      <c r="F78" s="6"/>
      <c r="G78" s="6"/>
      <c r="H78" s="6"/>
      <c r="I78" s="6"/>
      <c r="J78" s="6"/>
      <c r="K78" s="6"/>
    </row>
    <row r="79" spans="2:11" ht="204">
      <c r="B79" s="1669"/>
      <c r="C79" s="93"/>
      <c r="D79" s="47" t="s">
        <v>1094</v>
      </c>
      <c r="E79" s="6"/>
      <c r="F79" s="6"/>
      <c r="G79" s="6"/>
      <c r="H79" s="6"/>
      <c r="I79" s="6"/>
      <c r="J79" s="6"/>
      <c r="K79" s="6"/>
    </row>
    <row r="80" spans="2:11" ht="240">
      <c r="B80" s="1669"/>
      <c r="C80" s="93"/>
      <c r="D80" s="47" t="s">
        <v>1095</v>
      </c>
      <c r="E80" s="6"/>
      <c r="F80" s="6"/>
      <c r="G80" s="6"/>
      <c r="H80" s="6"/>
      <c r="I80" s="6"/>
      <c r="J80" s="6"/>
      <c r="K80" s="6"/>
    </row>
    <row r="81" spans="2:11" ht="84">
      <c r="B81" s="1669"/>
      <c r="C81" s="93"/>
      <c r="D81" s="47" t="s">
        <v>1096</v>
      </c>
      <c r="E81" s="6"/>
      <c r="F81" s="6"/>
      <c r="G81" s="6"/>
      <c r="H81" s="6"/>
      <c r="I81" s="6"/>
      <c r="J81" s="6"/>
      <c r="K81" s="6"/>
    </row>
    <row r="82" spans="2:11" ht="216">
      <c r="B82" s="1669"/>
      <c r="C82" s="93"/>
      <c r="D82" s="47" t="s">
        <v>1022</v>
      </c>
      <c r="E82" s="6"/>
      <c r="F82" s="6"/>
      <c r="G82" s="6"/>
      <c r="H82" s="6"/>
      <c r="I82" s="6"/>
      <c r="J82" s="6"/>
      <c r="K82" s="6"/>
    </row>
    <row r="83" spans="2:11" ht="180">
      <c r="B83" s="1669"/>
      <c r="C83" s="93"/>
      <c r="D83" s="47" t="s">
        <v>1097</v>
      </c>
      <c r="E83" s="6"/>
      <c r="F83" s="6"/>
      <c r="G83" s="6"/>
      <c r="H83" s="6"/>
      <c r="I83" s="6"/>
      <c r="J83" s="6"/>
      <c r="K83" s="6"/>
    </row>
    <row r="84" spans="2:11" ht="132.75" thickBot="1">
      <c r="B84" s="1670"/>
      <c r="C84" s="3"/>
      <c r="D84" s="41" t="s">
        <v>1098</v>
      </c>
      <c r="E84" s="6"/>
      <c r="F84" s="6"/>
      <c r="G84" s="6"/>
      <c r="H84" s="6"/>
      <c r="I84" s="6"/>
      <c r="J84" s="6"/>
      <c r="K84" s="6"/>
    </row>
    <row r="85" spans="2:11" ht="24">
      <c r="B85" s="1668" t="s">
        <v>95</v>
      </c>
      <c r="C85" s="93"/>
      <c r="D85" s="58" t="s">
        <v>1099</v>
      </c>
      <c r="E85" s="6"/>
      <c r="F85" s="6"/>
      <c r="G85" s="6"/>
      <c r="H85" s="6"/>
      <c r="I85" s="6"/>
      <c r="J85" s="6"/>
      <c r="K85" s="6"/>
    </row>
    <row r="86" spans="2:11">
      <c r="B86" s="1669"/>
      <c r="C86" s="93"/>
      <c r="D86" s="17"/>
      <c r="E86" s="6"/>
      <c r="F86" s="6"/>
      <c r="G86" s="6"/>
      <c r="H86" s="6"/>
      <c r="I86" s="6"/>
      <c r="J86" s="6"/>
      <c r="K86" s="6"/>
    </row>
    <row r="87" spans="2:11">
      <c r="B87" s="1669"/>
      <c r="C87" s="93"/>
      <c r="D87" s="47" t="s">
        <v>96</v>
      </c>
      <c r="E87" s="6"/>
      <c r="F87" s="6"/>
      <c r="G87" s="6"/>
      <c r="H87" s="6"/>
      <c r="I87" s="6"/>
      <c r="J87" s="6"/>
      <c r="K87" s="6"/>
    </row>
    <row r="88" spans="2:11" ht="37.5">
      <c r="B88" s="1669"/>
      <c r="C88" s="93"/>
      <c r="D88" s="47" t="s">
        <v>1100</v>
      </c>
      <c r="E88" s="6"/>
      <c r="F88" s="6"/>
      <c r="G88" s="6"/>
      <c r="H88" s="6"/>
      <c r="I88" s="6"/>
      <c r="J88" s="6"/>
      <c r="K88" s="6"/>
    </row>
    <row r="89" spans="2:11" ht="37.5">
      <c r="B89" s="1669"/>
      <c r="C89" s="93"/>
      <c r="D89" s="47" t="s">
        <v>1101</v>
      </c>
      <c r="E89" s="6"/>
      <c r="F89" s="6"/>
      <c r="G89" s="6"/>
      <c r="H89" s="6"/>
      <c r="I89" s="6"/>
      <c r="J89" s="6"/>
      <c r="K89" s="6"/>
    </row>
    <row r="90" spans="2:11">
      <c r="B90" s="1669"/>
      <c r="C90" s="93"/>
      <c r="D90" s="47" t="s">
        <v>1102</v>
      </c>
      <c r="E90" s="6"/>
      <c r="F90" s="6"/>
      <c r="G90" s="6"/>
      <c r="H90" s="6"/>
      <c r="I90" s="6"/>
      <c r="J90" s="6"/>
      <c r="K90" s="6"/>
    </row>
    <row r="91" spans="2:11" ht="49.5">
      <c r="B91" s="1669"/>
      <c r="C91" s="93"/>
      <c r="D91" s="47" t="s">
        <v>1103</v>
      </c>
      <c r="E91" s="6"/>
      <c r="F91" s="6"/>
      <c r="G91" s="6"/>
      <c r="H91" s="6"/>
      <c r="I91" s="6"/>
      <c r="J91" s="6"/>
      <c r="K91" s="6"/>
    </row>
    <row r="92" spans="2:11" ht="60">
      <c r="B92" s="1669"/>
      <c r="C92" s="93"/>
      <c r="D92" s="47" t="s">
        <v>1104</v>
      </c>
      <c r="E92" s="6"/>
      <c r="F92" s="6"/>
      <c r="G92" s="6"/>
      <c r="H92" s="6"/>
      <c r="I92" s="6"/>
      <c r="J92" s="6"/>
      <c r="K92" s="6"/>
    </row>
    <row r="93" spans="2:11" ht="48">
      <c r="B93" s="1669"/>
      <c r="C93" s="93"/>
      <c r="D93" s="47" t="s">
        <v>1105</v>
      </c>
      <c r="E93" s="6"/>
      <c r="F93" s="6"/>
      <c r="G93" s="6"/>
      <c r="H93" s="6"/>
      <c r="I93" s="6"/>
      <c r="J93" s="6"/>
      <c r="K93" s="6"/>
    </row>
    <row r="94" spans="2:11" ht="24">
      <c r="B94" s="1669"/>
      <c r="C94" s="93"/>
      <c r="D94" s="54" t="s">
        <v>1106</v>
      </c>
      <c r="E94" s="6"/>
      <c r="F94" s="6"/>
      <c r="G94" s="6"/>
      <c r="H94" s="6"/>
      <c r="I94" s="6"/>
      <c r="J94" s="6"/>
      <c r="K94" s="6"/>
    </row>
    <row r="95" spans="2:11">
      <c r="B95" s="1669"/>
      <c r="C95" s="93"/>
      <c r="D95" s="17"/>
      <c r="E95" s="6"/>
      <c r="F95" s="6"/>
      <c r="G95" s="6"/>
      <c r="H95" s="6"/>
      <c r="I95" s="6"/>
      <c r="J95" s="6"/>
      <c r="K95" s="6"/>
    </row>
    <row r="96" spans="2:11">
      <c r="B96" s="1669"/>
      <c r="C96" s="93"/>
      <c r="D96" s="47" t="s">
        <v>96</v>
      </c>
      <c r="E96" s="6"/>
      <c r="F96" s="6"/>
      <c r="G96" s="6"/>
      <c r="H96" s="6"/>
      <c r="I96" s="6"/>
      <c r="J96" s="6"/>
      <c r="K96" s="6"/>
    </row>
    <row r="97" spans="2:11" ht="37.5">
      <c r="B97" s="1669"/>
      <c r="C97" s="93"/>
      <c r="D97" s="47" t="s">
        <v>1107</v>
      </c>
      <c r="E97" s="6"/>
      <c r="F97" s="6"/>
      <c r="G97" s="6"/>
      <c r="H97" s="6"/>
      <c r="I97" s="6"/>
      <c r="J97" s="6"/>
      <c r="K97" s="6"/>
    </row>
    <row r="98" spans="2:11" ht="25.5">
      <c r="B98" s="1669"/>
      <c r="C98" s="93"/>
      <c r="D98" s="47" t="s">
        <v>1108</v>
      </c>
      <c r="E98" s="6"/>
      <c r="F98" s="6"/>
      <c r="G98" s="6"/>
      <c r="H98" s="6"/>
      <c r="I98" s="6"/>
      <c r="J98" s="6"/>
      <c r="K98" s="6"/>
    </row>
    <row r="99" spans="2:11" ht="37.5">
      <c r="B99" s="1669"/>
      <c r="C99" s="93"/>
      <c r="D99" s="47" t="s">
        <v>1109</v>
      </c>
      <c r="E99" s="6"/>
      <c r="F99" s="6"/>
      <c r="G99" s="6"/>
      <c r="H99" s="6"/>
      <c r="I99" s="6"/>
      <c r="J99" s="6"/>
      <c r="K99" s="6"/>
    </row>
    <row r="100" spans="2:11">
      <c r="B100" s="1669"/>
      <c r="C100" s="93"/>
      <c r="D100" s="59" t="s">
        <v>1110</v>
      </c>
      <c r="E100" s="6"/>
      <c r="F100" s="6"/>
      <c r="G100" s="6"/>
      <c r="H100" s="6"/>
      <c r="I100" s="6"/>
      <c r="J100" s="6"/>
      <c r="K100" s="6"/>
    </row>
    <row r="101" spans="2:11" ht="72">
      <c r="B101" s="1669"/>
      <c r="C101" s="93"/>
      <c r="D101" s="47" t="s">
        <v>1111</v>
      </c>
      <c r="E101" s="6"/>
      <c r="F101" s="6"/>
      <c r="G101" s="6"/>
      <c r="H101" s="6"/>
      <c r="I101" s="6"/>
      <c r="J101" s="6"/>
      <c r="K101" s="6"/>
    </row>
    <row r="102" spans="2:11" ht="36">
      <c r="B102" s="1669"/>
      <c r="C102" s="93"/>
      <c r="D102" s="54" t="s">
        <v>1112</v>
      </c>
      <c r="E102" s="6"/>
      <c r="F102" s="6"/>
      <c r="G102" s="6"/>
      <c r="H102" s="6"/>
      <c r="I102" s="6"/>
      <c r="J102" s="6"/>
      <c r="K102" s="6"/>
    </row>
    <row r="103" spans="2:11">
      <c r="B103" s="1669"/>
      <c r="C103" s="93"/>
      <c r="D103" s="17"/>
      <c r="E103" s="6"/>
      <c r="F103" s="6"/>
      <c r="G103" s="6"/>
      <c r="H103" s="6"/>
      <c r="I103" s="6"/>
      <c r="J103" s="6"/>
      <c r="K103" s="6"/>
    </row>
    <row r="104" spans="2:11">
      <c r="B104" s="1669"/>
      <c r="C104" s="93"/>
      <c r="D104" s="47" t="s">
        <v>96</v>
      </c>
      <c r="E104" s="6"/>
      <c r="F104" s="6"/>
      <c r="G104" s="6"/>
      <c r="H104" s="6"/>
      <c r="I104" s="6"/>
      <c r="J104" s="6"/>
      <c r="K104" s="6"/>
    </row>
    <row r="105" spans="2:11" ht="49.5">
      <c r="B105" s="1669"/>
      <c r="C105" s="93"/>
      <c r="D105" s="47" t="s">
        <v>1113</v>
      </c>
      <c r="E105" s="6"/>
      <c r="F105" s="6"/>
      <c r="G105" s="6"/>
      <c r="H105" s="6"/>
      <c r="I105" s="6"/>
      <c r="J105" s="6"/>
      <c r="K105" s="6"/>
    </row>
    <row r="106" spans="2:11" ht="49.5">
      <c r="B106" s="1669"/>
      <c r="C106" s="93"/>
      <c r="D106" s="47" t="s">
        <v>1114</v>
      </c>
      <c r="E106" s="6"/>
      <c r="F106" s="6"/>
      <c r="G106" s="6"/>
      <c r="H106" s="6"/>
      <c r="I106" s="6"/>
      <c r="J106" s="6"/>
      <c r="K106" s="6"/>
    </row>
    <row r="107" spans="2:11" ht="37.5">
      <c r="B107" s="1669"/>
      <c r="C107" s="93"/>
      <c r="D107" s="47" t="s">
        <v>1115</v>
      </c>
      <c r="E107" s="6"/>
      <c r="F107" s="6"/>
      <c r="G107" s="6"/>
      <c r="H107" s="6"/>
      <c r="I107" s="6"/>
      <c r="J107" s="6"/>
      <c r="K107" s="6"/>
    </row>
    <row r="108" spans="2:11" ht="15.75" thickBot="1">
      <c r="B108" s="1670"/>
      <c r="C108" s="3"/>
      <c r="D108" s="41" t="s">
        <v>1116</v>
      </c>
      <c r="E108" s="6"/>
      <c r="F108" s="6"/>
      <c r="G108" s="6"/>
      <c r="H108" s="6"/>
      <c r="I108" s="6"/>
      <c r="J108" s="6"/>
      <c r="K108" s="6"/>
    </row>
    <row r="109" spans="2:11">
      <c r="B109" s="6"/>
      <c r="D109" s="6"/>
      <c r="E109" s="6"/>
      <c r="F109" s="6"/>
      <c r="G109" s="6"/>
      <c r="H109" s="6"/>
      <c r="I109" s="6"/>
      <c r="J109" s="6"/>
      <c r="K109" s="6"/>
    </row>
    <row r="110" spans="2:11">
      <c r="B110" s="6"/>
      <c r="D110" s="6"/>
      <c r="E110" s="6"/>
      <c r="F110" s="6"/>
      <c r="G110" s="6"/>
      <c r="H110" s="6"/>
      <c r="I110" s="6"/>
      <c r="J110" s="6"/>
      <c r="K110" s="6"/>
    </row>
    <row r="111" spans="2:11">
      <c r="B111" s="6"/>
      <c r="D111" s="6"/>
      <c r="E111" s="6"/>
      <c r="F111" s="6"/>
      <c r="G111" s="6"/>
      <c r="H111" s="6"/>
      <c r="I111" s="6"/>
      <c r="J111" s="6"/>
      <c r="K111" s="6"/>
    </row>
    <row r="112" spans="2:11">
      <c r="B112" s="6"/>
      <c r="D112" s="6"/>
      <c r="E112" s="6"/>
      <c r="F112" s="6"/>
      <c r="G112" s="6"/>
      <c r="H112" s="6"/>
      <c r="I112" s="6"/>
      <c r="J112" s="6"/>
      <c r="K112" s="6"/>
    </row>
    <row r="113" spans="2:11">
      <c r="B113" s="6"/>
      <c r="D113" s="6"/>
      <c r="E113" s="6"/>
      <c r="F113" s="6"/>
      <c r="G113" s="6"/>
      <c r="H113" s="6"/>
      <c r="I113" s="6"/>
      <c r="J113" s="6"/>
      <c r="K113" s="6"/>
    </row>
    <row r="114" spans="2:11">
      <c r="B114" s="6"/>
      <c r="D114" s="6"/>
      <c r="E114" s="6"/>
      <c r="F114" s="6"/>
      <c r="G114" s="6"/>
      <c r="H114" s="6"/>
      <c r="I114" s="6"/>
      <c r="J114" s="6"/>
      <c r="K114" s="6"/>
    </row>
    <row r="115" spans="2:11">
      <c r="B115" s="6"/>
      <c r="D115" s="6"/>
      <c r="E115" s="6"/>
      <c r="F115" s="6"/>
      <c r="G115" s="6"/>
      <c r="H115" s="6"/>
      <c r="I115" s="6"/>
      <c r="J115" s="6"/>
      <c r="K115" s="6"/>
    </row>
    <row r="116" spans="2:11">
      <c r="B116" s="6"/>
      <c r="D116" s="6"/>
      <c r="E116" s="6"/>
      <c r="F116" s="6"/>
      <c r="G116" s="6"/>
      <c r="H116" s="6"/>
      <c r="I116" s="6"/>
      <c r="J116" s="6"/>
      <c r="K116" s="6"/>
    </row>
    <row r="117" spans="2:11">
      <c r="B117" s="6"/>
      <c r="D117" s="6"/>
      <c r="E117" s="6"/>
      <c r="F117" s="6"/>
      <c r="G117" s="6"/>
      <c r="H117" s="6"/>
      <c r="I117" s="6"/>
      <c r="J117" s="6"/>
      <c r="K117" s="6"/>
    </row>
    <row r="118" spans="2:11">
      <c r="B118" s="6"/>
      <c r="D118" s="6"/>
      <c r="E118" s="6"/>
      <c r="F118" s="6"/>
      <c r="G118" s="6"/>
      <c r="H118" s="6"/>
      <c r="I118" s="6"/>
      <c r="J118" s="6"/>
      <c r="K118" s="6"/>
    </row>
    <row r="119" spans="2:11">
      <c r="B119" s="6"/>
      <c r="D119" s="6"/>
      <c r="E119" s="6"/>
      <c r="F119" s="6"/>
      <c r="G119" s="6"/>
      <c r="H119" s="6"/>
      <c r="I119" s="6"/>
      <c r="J119" s="6"/>
      <c r="K119" s="6"/>
    </row>
    <row r="120" spans="2:11">
      <c r="B120" s="6"/>
      <c r="D120" s="6"/>
      <c r="E120" s="6"/>
      <c r="F120" s="6"/>
      <c r="G120" s="6"/>
      <c r="H120" s="6"/>
      <c r="I120" s="6"/>
      <c r="J120" s="6"/>
      <c r="K120" s="6"/>
    </row>
    <row r="121" spans="2:11">
      <c r="B121" s="6"/>
      <c r="D121" s="6"/>
      <c r="E121" s="6"/>
      <c r="F121" s="6"/>
      <c r="G121" s="6"/>
      <c r="H121" s="6"/>
      <c r="I121" s="6"/>
      <c r="J121" s="6"/>
      <c r="K121" s="6"/>
    </row>
    <row r="122" spans="2:11">
      <c r="B122" s="6"/>
      <c r="D122" s="6"/>
      <c r="E122" s="6"/>
      <c r="F122" s="6"/>
      <c r="G122" s="6"/>
      <c r="H122" s="6"/>
      <c r="I122" s="6"/>
      <c r="J122" s="6"/>
      <c r="K122" s="6"/>
    </row>
    <row r="123" spans="2:11">
      <c r="B123" s="6"/>
      <c r="D123" s="6"/>
      <c r="E123" s="6"/>
      <c r="F123" s="6"/>
      <c r="G123" s="6"/>
      <c r="H123" s="6"/>
      <c r="I123" s="6"/>
      <c r="J123" s="6"/>
      <c r="K123" s="6"/>
    </row>
    <row r="124" spans="2:11">
      <c r="B124" s="6"/>
      <c r="D124" s="6"/>
      <c r="E124" s="6"/>
      <c r="F124" s="6"/>
      <c r="G124" s="6"/>
      <c r="H124" s="6"/>
      <c r="I124" s="6"/>
      <c r="J124" s="6"/>
      <c r="K124" s="6"/>
    </row>
    <row r="125" spans="2:11">
      <c r="B125" s="6"/>
      <c r="D125" s="6"/>
      <c r="E125" s="6"/>
      <c r="F125" s="6"/>
      <c r="G125" s="6"/>
      <c r="H125" s="6"/>
      <c r="I125" s="6"/>
      <c r="J125" s="6"/>
      <c r="K125" s="6"/>
    </row>
    <row r="126" spans="2:11">
      <c r="B126" s="6"/>
      <c r="D126" s="6"/>
      <c r="E126" s="6"/>
      <c r="F126" s="6"/>
      <c r="G126" s="6"/>
      <c r="H126" s="6"/>
      <c r="I126" s="6"/>
      <c r="J126" s="6"/>
      <c r="K126" s="6"/>
    </row>
    <row r="127" spans="2:11">
      <c r="B127" s="6"/>
      <c r="D127" s="6"/>
      <c r="E127" s="6"/>
      <c r="F127" s="6"/>
      <c r="G127" s="6"/>
      <c r="H127" s="6"/>
      <c r="I127" s="6"/>
      <c r="J127" s="6"/>
      <c r="K127" s="6"/>
    </row>
    <row r="128" spans="2:11">
      <c r="B128" s="6"/>
      <c r="D128" s="6"/>
      <c r="E128" s="6"/>
      <c r="F128" s="6"/>
      <c r="G128" s="6"/>
      <c r="H128" s="6"/>
      <c r="I128" s="6"/>
      <c r="J128" s="6"/>
      <c r="K128" s="6"/>
    </row>
    <row r="129" spans="2:11">
      <c r="B129" s="6"/>
      <c r="D129" s="6"/>
      <c r="E129" s="6"/>
      <c r="F129" s="6"/>
      <c r="G129" s="6"/>
      <c r="H129" s="6"/>
      <c r="I129" s="6"/>
      <c r="J129" s="6"/>
      <c r="K129" s="6"/>
    </row>
    <row r="130" spans="2:11">
      <c r="B130" s="6"/>
      <c r="D130" s="6"/>
      <c r="E130" s="6"/>
      <c r="F130" s="6"/>
      <c r="G130" s="6"/>
      <c r="H130" s="6"/>
      <c r="I130" s="6"/>
      <c r="J130" s="6"/>
      <c r="K130" s="6"/>
    </row>
    <row r="131" spans="2:11">
      <c r="B131" s="6"/>
      <c r="D131" s="6"/>
      <c r="E131" s="6"/>
      <c r="F131" s="6"/>
      <c r="G131" s="6"/>
      <c r="H131" s="6"/>
      <c r="I131" s="6"/>
      <c r="J131" s="6"/>
      <c r="K131" s="6"/>
    </row>
    <row r="132" spans="2:11">
      <c r="B132" s="6"/>
      <c r="D132" s="6"/>
      <c r="E132" s="6"/>
      <c r="F132" s="6"/>
      <c r="G132" s="6"/>
      <c r="H132" s="6"/>
      <c r="I132" s="6"/>
      <c r="J132" s="6"/>
      <c r="K132" s="6"/>
    </row>
    <row r="133" spans="2:11">
      <c r="B133" s="6"/>
      <c r="D133" s="6"/>
      <c r="E133" s="6"/>
      <c r="F133" s="6"/>
      <c r="G133" s="6"/>
      <c r="H133" s="6"/>
      <c r="I133" s="6"/>
      <c r="J133" s="6"/>
      <c r="K133" s="6"/>
    </row>
    <row r="134" spans="2:11">
      <c r="B134" s="6"/>
      <c r="D134" s="6"/>
      <c r="E134" s="6"/>
      <c r="F134" s="6"/>
      <c r="G134" s="6"/>
      <c r="H134" s="6"/>
      <c r="I134" s="6"/>
      <c r="J134" s="6"/>
      <c r="K134" s="6"/>
    </row>
    <row r="135" spans="2:11">
      <c r="B135" s="6"/>
      <c r="D135" s="6"/>
      <c r="E135" s="6"/>
      <c r="F135" s="6"/>
      <c r="G135" s="6"/>
      <c r="H135" s="6"/>
      <c r="I135" s="6"/>
      <c r="J135" s="6"/>
      <c r="K135" s="6"/>
    </row>
    <row r="136" spans="2:11">
      <c r="B136" s="6"/>
      <c r="D136" s="6"/>
      <c r="E136" s="6"/>
      <c r="F136" s="6"/>
      <c r="G136" s="6"/>
      <c r="H136" s="6"/>
      <c r="I136" s="6"/>
      <c r="J136" s="6"/>
      <c r="K136" s="6"/>
    </row>
    <row r="137" spans="2:11">
      <c r="B137" s="6"/>
      <c r="D137" s="6"/>
      <c r="E137" s="6"/>
      <c r="F137" s="6"/>
      <c r="G137" s="6"/>
      <c r="H137" s="6"/>
      <c r="I137" s="6"/>
      <c r="J137" s="6"/>
      <c r="K137" s="6"/>
    </row>
    <row r="138" spans="2:11">
      <c r="B138" s="6"/>
      <c r="D138" s="6"/>
      <c r="E138" s="6"/>
      <c r="F138" s="6"/>
      <c r="G138" s="6"/>
      <c r="H138" s="6"/>
      <c r="I138" s="6"/>
      <c r="J138" s="6"/>
      <c r="K138" s="6"/>
    </row>
    <row r="139" spans="2:11">
      <c r="B139" s="6"/>
      <c r="D139" s="6"/>
      <c r="E139" s="6"/>
      <c r="F139" s="6"/>
      <c r="G139" s="6"/>
      <c r="H139" s="6"/>
      <c r="I139" s="6"/>
      <c r="J139" s="6"/>
      <c r="K139" s="6"/>
    </row>
    <row r="140" spans="2:11">
      <c r="B140" s="6"/>
      <c r="D140" s="6"/>
      <c r="E140" s="6"/>
      <c r="F140" s="6"/>
      <c r="G140" s="6"/>
      <c r="H140" s="6"/>
      <c r="I140" s="6"/>
      <c r="J140" s="6"/>
      <c r="K140" s="6"/>
    </row>
    <row r="141" spans="2:11">
      <c r="B141" s="6"/>
      <c r="D141" s="6"/>
      <c r="E141" s="6"/>
      <c r="F141" s="6"/>
      <c r="G141" s="6"/>
      <c r="H141" s="6"/>
      <c r="I141" s="6"/>
      <c r="J141" s="6"/>
      <c r="K141" s="6"/>
    </row>
    <row r="142" spans="2:11">
      <c r="B142" s="6"/>
      <c r="D142" s="6"/>
      <c r="E142" s="6"/>
      <c r="F142" s="6"/>
      <c r="G142" s="6"/>
      <c r="H142" s="6"/>
      <c r="I142" s="6"/>
      <c r="J142" s="6"/>
      <c r="K142" s="6"/>
    </row>
    <row r="143" spans="2:11">
      <c r="B143" s="6"/>
      <c r="D143" s="6"/>
      <c r="E143" s="6"/>
      <c r="F143" s="6"/>
      <c r="G143" s="6"/>
      <c r="H143" s="6"/>
      <c r="I143" s="6"/>
      <c r="J143" s="6"/>
      <c r="K143" s="6"/>
    </row>
    <row r="144" spans="2:11">
      <c r="B144" s="6"/>
      <c r="D144" s="6"/>
      <c r="E144" s="6"/>
      <c r="F144" s="6"/>
      <c r="G144" s="6"/>
      <c r="H144" s="6"/>
      <c r="I144" s="6"/>
      <c r="J144" s="6"/>
      <c r="K144" s="6"/>
    </row>
    <row r="145" spans="2:11">
      <c r="B145" s="6"/>
      <c r="D145" s="6"/>
      <c r="E145" s="6"/>
      <c r="F145" s="6"/>
      <c r="G145" s="6"/>
      <c r="H145" s="6"/>
      <c r="I145" s="6"/>
      <c r="J145" s="6"/>
      <c r="K145" s="6"/>
    </row>
    <row r="146" spans="2:11">
      <c r="B146" s="6"/>
      <c r="D146" s="6"/>
      <c r="E146" s="6"/>
      <c r="F146" s="6"/>
      <c r="G146" s="6"/>
      <c r="H146" s="6"/>
      <c r="I146" s="6"/>
      <c r="J146" s="6"/>
      <c r="K146" s="6"/>
    </row>
    <row r="147" spans="2:11">
      <c r="B147" s="6"/>
      <c r="D147" s="6"/>
      <c r="E147" s="6"/>
      <c r="F147" s="6"/>
      <c r="G147" s="6"/>
      <c r="H147" s="6"/>
      <c r="I147" s="6"/>
      <c r="J147" s="6"/>
      <c r="K147" s="6"/>
    </row>
    <row r="148" spans="2:11">
      <c r="B148" s="6"/>
      <c r="D148" s="6"/>
      <c r="E148" s="6"/>
      <c r="F148" s="6"/>
      <c r="G148" s="6"/>
      <c r="H148" s="6"/>
      <c r="I148" s="6"/>
      <c r="J148" s="6"/>
      <c r="K148" s="6"/>
    </row>
    <row r="149" spans="2:11">
      <c r="B149" s="6"/>
      <c r="D149" s="6"/>
      <c r="E149" s="6"/>
      <c r="F149" s="6"/>
      <c r="G149" s="6"/>
      <c r="H149" s="6"/>
      <c r="I149" s="6"/>
      <c r="J149" s="6"/>
      <c r="K149" s="6"/>
    </row>
    <row r="150" spans="2:11">
      <c r="B150" s="6"/>
      <c r="D150" s="6"/>
      <c r="E150" s="6"/>
      <c r="F150" s="6"/>
      <c r="G150" s="6"/>
      <c r="H150" s="6"/>
      <c r="I150" s="6"/>
      <c r="J150" s="6"/>
      <c r="K150" s="6"/>
    </row>
    <row r="151" spans="2:11">
      <c r="B151" s="6"/>
      <c r="D151" s="6"/>
      <c r="E151" s="6"/>
      <c r="F151" s="6"/>
      <c r="G151" s="6"/>
      <c r="H151" s="6"/>
      <c r="I151" s="6"/>
      <c r="J151" s="6"/>
      <c r="K151" s="6"/>
    </row>
    <row r="152" spans="2:11">
      <c r="B152" s="6"/>
      <c r="D152" s="6"/>
      <c r="E152" s="6"/>
      <c r="F152" s="6"/>
      <c r="G152" s="6"/>
      <c r="H152" s="6"/>
      <c r="I152" s="6"/>
      <c r="J152" s="6"/>
      <c r="K152" s="6"/>
    </row>
    <row r="153" spans="2:11">
      <c r="B153" s="6"/>
      <c r="D153" s="6"/>
      <c r="E153" s="6"/>
      <c r="F153" s="6"/>
      <c r="G153" s="6"/>
      <c r="H153" s="6"/>
      <c r="I153" s="6"/>
      <c r="J153" s="6"/>
      <c r="K153" s="6"/>
    </row>
    <row r="154" spans="2:11">
      <c r="B154" s="6"/>
      <c r="D154" s="6"/>
      <c r="E154" s="6"/>
      <c r="F154" s="6"/>
      <c r="G154" s="6"/>
      <c r="H154" s="6"/>
      <c r="I154" s="6"/>
      <c r="J154" s="6"/>
      <c r="K154" s="6"/>
    </row>
    <row r="155" spans="2:11">
      <c r="B155" s="6"/>
      <c r="D155" s="6"/>
      <c r="E155" s="6"/>
      <c r="F155" s="6"/>
      <c r="G155" s="6"/>
      <c r="H155" s="6"/>
      <c r="I155" s="6"/>
      <c r="J155" s="6"/>
      <c r="K155" s="6"/>
    </row>
    <row r="156" spans="2:11">
      <c r="B156" s="6"/>
      <c r="D156" s="6"/>
      <c r="E156" s="6"/>
      <c r="F156" s="6"/>
      <c r="G156" s="6"/>
      <c r="H156" s="6"/>
      <c r="I156" s="6"/>
      <c r="J156" s="6"/>
      <c r="K156" s="6"/>
    </row>
    <row r="157" spans="2:11">
      <c r="B157" s="6"/>
      <c r="D157" s="6"/>
      <c r="E157" s="6"/>
      <c r="F157" s="6"/>
      <c r="G157" s="6"/>
      <c r="H157" s="6"/>
      <c r="I157" s="6"/>
      <c r="J157" s="6"/>
      <c r="K157" s="6"/>
    </row>
    <row r="158" spans="2:11">
      <c r="B158" s="6"/>
      <c r="D158" s="6"/>
      <c r="E158" s="6"/>
      <c r="F158" s="6"/>
      <c r="G158" s="6"/>
      <c r="H158" s="6"/>
      <c r="I158" s="6"/>
      <c r="J158" s="6"/>
      <c r="K158" s="6"/>
    </row>
    <row r="159" spans="2:11">
      <c r="B159" s="6"/>
      <c r="D159" s="6"/>
      <c r="E159" s="6"/>
      <c r="F159" s="6"/>
      <c r="G159" s="6"/>
      <c r="H159" s="6"/>
      <c r="I159" s="6"/>
      <c r="J159" s="6"/>
      <c r="K159" s="6"/>
    </row>
    <row r="160" spans="2:11">
      <c r="B160" s="6"/>
      <c r="D160" s="6"/>
      <c r="E160" s="6"/>
      <c r="F160" s="6"/>
      <c r="G160" s="6"/>
      <c r="H160" s="6"/>
      <c r="I160" s="6"/>
      <c r="J160" s="6"/>
      <c r="K160" s="6"/>
    </row>
    <row r="161" spans="2:11">
      <c r="B161" s="6"/>
      <c r="D161" s="6"/>
      <c r="E161" s="6"/>
      <c r="F161" s="6"/>
      <c r="G161" s="6"/>
      <c r="H161" s="6"/>
      <c r="I161" s="6"/>
      <c r="J161" s="6"/>
      <c r="K161" s="6"/>
    </row>
    <row r="162" spans="2:11">
      <c r="B162" s="6"/>
      <c r="D162" s="6"/>
      <c r="E162" s="6"/>
      <c r="F162" s="6"/>
      <c r="G162" s="6"/>
      <c r="H162" s="6"/>
      <c r="I162" s="6"/>
      <c r="J162" s="6"/>
      <c r="K162" s="6"/>
    </row>
    <row r="163" spans="2:11">
      <c r="B163" s="6"/>
      <c r="D163" s="6"/>
      <c r="E163" s="6"/>
      <c r="F163" s="6"/>
      <c r="G163" s="6"/>
      <c r="H163" s="6"/>
      <c r="I163" s="6"/>
      <c r="J163" s="6"/>
      <c r="K163" s="6"/>
    </row>
    <row r="164" spans="2:11">
      <c r="B164" s="6"/>
      <c r="D164" s="6"/>
      <c r="E164" s="6"/>
      <c r="F164" s="6"/>
      <c r="G164" s="6"/>
      <c r="H164" s="6"/>
      <c r="I164" s="6"/>
      <c r="J164" s="6"/>
      <c r="K164" s="6"/>
    </row>
    <row r="165" spans="2:11">
      <c r="B165" s="6"/>
      <c r="D165" s="6"/>
      <c r="E165" s="6"/>
      <c r="F165" s="6"/>
      <c r="G165" s="6"/>
      <c r="H165" s="6"/>
      <c r="I165" s="6"/>
      <c r="J165" s="6"/>
      <c r="K165" s="6"/>
    </row>
    <row r="166" spans="2:11">
      <c r="B166" s="6"/>
      <c r="D166" s="6"/>
      <c r="E166" s="6"/>
      <c r="F166" s="6"/>
      <c r="G166" s="6"/>
      <c r="H166" s="6"/>
      <c r="I166" s="6"/>
      <c r="J166" s="6"/>
      <c r="K166" s="6"/>
    </row>
    <row r="167" spans="2:11">
      <c r="B167" s="6"/>
      <c r="D167" s="6"/>
      <c r="E167" s="6"/>
      <c r="F167" s="6"/>
      <c r="G167" s="6"/>
      <c r="H167" s="6"/>
      <c r="I167" s="6"/>
      <c r="J167" s="6"/>
      <c r="K167" s="6"/>
    </row>
    <row r="168" spans="2:11">
      <c r="B168" s="6"/>
      <c r="D168" s="6"/>
      <c r="E168" s="6"/>
      <c r="F168" s="6"/>
      <c r="G168" s="6"/>
      <c r="H168" s="6"/>
      <c r="I168" s="6"/>
      <c r="J168" s="6"/>
      <c r="K168" s="6"/>
    </row>
    <row r="169" spans="2:11">
      <c r="B169" s="6"/>
      <c r="D169" s="6"/>
      <c r="E169" s="6"/>
      <c r="F169" s="6"/>
      <c r="G169" s="6"/>
      <c r="H169" s="6"/>
      <c r="I169" s="6"/>
      <c r="J169" s="6"/>
      <c r="K169" s="6"/>
    </row>
    <row r="170" spans="2:11">
      <c r="B170" s="6"/>
      <c r="D170" s="6"/>
      <c r="E170" s="6"/>
      <c r="F170" s="6"/>
      <c r="G170" s="6"/>
      <c r="H170" s="6"/>
      <c r="I170" s="6"/>
      <c r="J170" s="6"/>
      <c r="K170" s="6"/>
    </row>
    <row r="171" spans="2:11">
      <c r="B171" s="6"/>
      <c r="D171" s="6"/>
      <c r="E171" s="6"/>
      <c r="F171" s="6"/>
      <c r="G171" s="6"/>
      <c r="H171" s="6"/>
      <c r="I171" s="6"/>
      <c r="J171" s="6"/>
      <c r="K171" s="6"/>
    </row>
    <row r="172" spans="2:11">
      <c r="B172" s="6"/>
      <c r="D172" s="6"/>
      <c r="E172" s="6"/>
      <c r="F172" s="6"/>
      <c r="G172" s="6"/>
      <c r="H172" s="6"/>
      <c r="I172" s="6"/>
      <c r="J172" s="6"/>
      <c r="K172" s="6"/>
    </row>
    <row r="173" spans="2:11">
      <c r="B173" s="6"/>
      <c r="D173" s="6"/>
      <c r="E173" s="6"/>
      <c r="F173" s="6"/>
      <c r="G173" s="6"/>
      <c r="H173" s="6"/>
      <c r="I173" s="6"/>
      <c r="J173" s="6"/>
      <c r="K173" s="6"/>
    </row>
    <row r="174" spans="2:11">
      <c r="B174" s="6"/>
      <c r="D174" s="6"/>
      <c r="E174" s="6"/>
      <c r="F174" s="6"/>
      <c r="G174" s="6"/>
      <c r="H174" s="6"/>
      <c r="I174" s="6"/>
      <c r="J174" s="6"/>
      <c r="K174" s="6"/>
    </row>
    <row r="175" spans="2:11">
      <c r="B175" s="6"/>
      <c r="D175" s="6"/>
      <c r="E175" s="6"/>
      <c r="F175" s="6"/>
      <c r="G175" s="6"/>
      <c r="H175" s="6"/>
      <c r="I175" s="6"/>
      <c r="J175" s="6"/>
      <c r="K175" s="6"/>
    </row>
    <row r="176" spans="2:11">
      <c r="B176" s="6"/>
      <c r="D176" s="6"/>
      <c r="E176" s="6"/>
      <c r="F176" s="6"/>
      <c r="G176" s="6"/>
      <c r="H176" s="6"/>
      <c r="I176" s="6"/>
      <c r="J176" s="6"/>
      <c r="K176" s="6"/>
    </row>
    <row r="177" spans="2:11">
      <c r="B177" s="6"/>
      <c r="D177" s="6"/>
      <c r="E177" s="6"/>
      <c r="F177" s="6"/>
      <c r="G177" s="6"/>
      <c r="H177" s="6"/>
      <c r="I177" s="6"/>
      <c r="J177" s="6"/>
      <c r="K177" s="6"/>
    </row>
    <row r="178" spans="2:11">
      <c r="B178" s="6"/>
      <c r="D178" s="6"/>
      <c r="E178" s="6"/>
      <c r="F178" s="6"/>
      <c r="G178" s="6"/>
      <c r="H178" s="6"/>
      <c r="I178" s="6"/>
      <c r="J178" s="6"/>
      <c r="K178" s="6"/>
    </row>
    <row r="179" spans="2:11">
      <c r="B179" s="6"/>
      <c r="D179" s="6"/>
      <c r="E179" s="6"/>
      <c r="F179" s="6"/>
      <c r="G179" s="6"/>
      <c r="H179" s="6"/>
      <c r="I179" s="6"/>
      <c r="J179" s="6"/>
      <c r="K179" s="6"/>
    </row>
    <row r="180" spans="2:11">
      <c r="B180" s="6"/>
      <c r="D180" s="6"/>
      <c r="E180" s="6"/>
      <c r="F180" s="6"/>
      <c r="G180" s="6"/>
      <c r="H180" s="6"/>
      <c r="I180" s="6"/>
      <c r="J180" s="6"/>
      <c r="K180" s="6"/>
    </row>
    <row r="181" spans="2:11">
      <c r="B181" s="6"/>
      <c r="D181" s="6"/>
      <c r="E181" s="6"/>
      <c r="F181" s="6"/>
      <c r="G181" s="6"/>
      <c r="H181" s="6"/>
      <c r="I181" s="6"/>
      <c r="J181" s="6"/>
      <c r="K181" s="6"/>
    </row>
    <row r="182" spans="2:11">
      <c r="B182" s="6"/>
      <c r="D182" s="6"/>
      <c r="E182" s="6"/>
      <c r="F182" s="6"/>
      <c r="G182" s="6"/>
      <c r="H182" s="6"/>
      <c r="I182" s="6"/>
      <c r="J182" s="6"/>
      <c r="K182" s="6"/>
    </row>
    <row r="183" spans="2:11">
      <c r="B183" s="6"/>
      <c r="D183" s="6"/>
      <c r="E183" s="6"/>
      <c r="F183" s="6"/>
      <c r="G183" s="6"/>
      <c r="H183" s="6"/>
      <c r="I183" s="6"/>
      <c r="J183" s="6"/>
      <c r="K183" s="6"/>
    </row>
  </sheetData>
  <sheetProtection sheet="1" objects="1" scenarios="1"/>
  <mergeCells count="26">
    <mergeCell ref="A1:P1"/>
    <mergeCell ref="A2:P2"/>
    <mergeCell ref="A3:P3"/>
    <mergeCell ref="A4:D4"/>
    <mergeCell ref="A5:P5"/>
    <mergeCell ref="B10:D10"/>
    <mergeCell ref="F10:S10"/>
    <mergeCell ref="F11:S11"/>
    <mergeCell ref="E12:R12"/>
    <mergeCell ref="E13:R13"/>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zoomScale="120" zoomScaleNormal="120" workbookViewId="0">
      <selection activeCell="J25" sqref="J25"/>
    </sheetView>
  </sheetViews>
  <sheetFormatPr baseColWidth="10" defaultRowHeight="15"/>
  <cols>
    <col min="1" max="1" width="1.85546875" customWidth="1"/>
    <col min="2" max="2" width="11.140625" customWidth="1"/>
    <col min="3" max="3" width="5" style="86" bestFit="1" customWidth="1"/>
    <col min="4" max="4" width="34.85546875" customWidth="1"/>
    <col min="5" max="5" width="12.140625" customWidth="1"/>
    <col min="6" max="6" width="11.85546875" customWidth="1"/>
    <col min="7" max="7" width="12.85546875" bestFit="1" customWidth="1"/>
    <col min="8" max="8" width="13.85546875" customWidth="1"/>
    <col min="9" max="9" width="13.42578125" customWidth="1"/>
    <col min="10" max="10" width="12.5703125" customWidth="1"/>
    <col min="11" max="11" width="13.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1132</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c r="L6" s="237"/>
      <c r="M6" s="237"/>
      <c r="N6" s="237"/>
      <c r="O6" s="237"/>
      <c r="P6" s="237"/>
      <c r="Q6" s="237"/>
      <c r="R6" s="237"/>
      <c r="S6" s="237"/>
    </row>
    <row r="7" spans="1:21" ht="15.75" thickBot="1">
      <c r="A7" s="237"/>
      <c r="B7" s="243"/>
      <c r="C7" s="244"/>
      <c r="D7" s="240"/>
      <c r="E7" s="245"/>
      <c r="F7" s="240" t="s">
        <v>134</v>
      </c>
      <c r="G7" s="240"/>
      <c r="H7" s="240"/>
      <c r="I7" s="240"/>
      <c r="J7" s="240"/>
      <c r="K7" s="240"/>
      <c r="L7" s="237"/>
      <c r="M7" s="237"/>
      <c r="N7" s="237"/>
      <c r="O7" s="237"/>
      <c r="P7" s="237"/>
      <c r="Q7" s="237"/>
      <c r="R7" s="237"/>
      <c r="S7" s="237"/>
    </row>
    <row r="8" spans="1:21" ht="15.75" thickBot="1">
      <c r="A8" s="237"/>
      <c r="B8" s="247" t="s">
        <v>1203</v>
      </c>
      <c r="C8" s="254">
        <v>2018</v>
      </c>
      <c r="D8" s="249">
        <f>IF(E10="NO APLICA","NO APLICA",IF(E11="NO SE REPORTA","SIN INFORMACION",+E42))</f>
        <v>0.48</v>
      </c>
      <c r="E8" s="256"/>
      <c r="F8" s="240" t="s">
        <v>135</v>
      </c>
      <c r="G8" s="240"/>
      <c r="H8" s="240"/>
      <c r="I8" s="240"/>
      <c r="J8" s="240"/>
      <c r="K8" s="240"/>
      <c r="L8" s="237"/>
      <c r="M8" s="237"/>
      <c r="N8" s="237"/>
      <c r="O8" s="237"/>
      <c r="P8" s="237"/>
      <c r="Q8" s="237"/>
      <c r="R8" s="237"/>
      <c r="S8" s="237"/>
    </row>
    <row r="9" spans="1:21">
      <c r="A9" s="237"/>
      <c r="B9" s="502" t="s">
        <v>1204</v>
      </c>
      <c r="C9" s="296"/>
      <c r="D9" s="240"/>
      <c r="E9" s="240"/>
      <c r="F9" s="240"/>
      <c r="G9" s="240"/>
      <c r="H9" s="240"/>
      <c r="I9" s="240"/>
      <c r="J9" s="240"/>
      <c r="K9" s="240"/>
      <c r="L9" s="237"/>
      <c r="M9" s="237"/>
      <c r="N9" s="237"/>
      <c r="O9" s="237"/>
      <c r="P9" s="237"/>
      <c r="Q9" s="237"/>
      <c r="R9" s="237"/>
      <c r="S9" s="237"/>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503"/>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18.75" customHeight="1">
      <c r="A12" s="237"/>
      <c r="B12" s="502"/>
      <c r="C12" s="296"/>
      <c r="D12" s="488" t="str">
        <f>IF(E11="SI SE REPORTA","¿Qué programas o proyectos del Plan de Acción están asociados al indicador? ","")</f>
        <v xml:space="preserve">¿Qué programas o proyectos del Plan de Acción están asociados al indicador? </v>
      </c>
      <c r="E12" s="1591" t="str">
        <f>'Anexo 1 Matriz Inf Gestión'!E74:H74</f>
        <v>Programa No. 5. Educacion Ambiental</v>
      </c>
      <c r="F12" s="1591"/>
      <c r="G12" s="1591"/>
      <c r="H12" s="1591"/>
      <c r="I12" s="1591"/>
      <c r="J12" s="1591"/>
      <c r="K12" s="1591"/>
      <c r="L12" s="1591"/>
      <c r="M12" s="1591"/>
      <c r="N12" s="1591"/>
      <c r="O12" s="1591"/>
      <c r="P12" s="1591"/>
      <c r="Q12" s="1591"/>
      <c r="R12" s="1591"/>
      <c r="S12" s="237"/>
    </row>
    <row r="13" spans="1:21" s="403" customFormat="1" ht="13.5" customHeight="1">
      <c r="A13" s="237"/>
      <c r="B13" s="502"/>
      <c r="C13" s="296"/>
      <c r="D13" s="488" t="s">
        <v>1265</v>
      </c>
      <c r="E13" s="1592" t="s">
        <v>1826</v>
      </c>
      <c r="F13" s="1593"/>
      <c r="G13" s="1593"/>
      <c r="H13" s="1593"/>
      <c r="I13" s="1593"/>
      <c r="J13" s="1593"/>
      <c r="K13" s="1593"/>
      <c r="L13" s="1593"/>
      <c r="M13" s="1593"/>
      <c r="N13" s="1593"/>
      <c r="O13" s="1593"/>
      <c r="P13" s="1593"/>
      <c r="Q13" s="1593"/>
      <c r="R13" s="1594"/>
      <c r="S13" s="237"/>
    </row>
    <row r="14" spans="1:21" s="403" customFormat="1" ht="15.75" customHeight="1" thickBot="1">
      <c r="A14" s="237"/>
      <c r="B14" s="502"/>
      <c r="C14" s="296"/>
      <c r="D14" s="240"/>
      <c r="E14" s="240"/>
      <c r="F14" s="240"/>
      <c r="G14" s="240"/>
      <c r="H14" s="240"/>
      <c r="I14" s="240"/>
      <c r="J14" s="240"/>
      <c r="K14" s="240"/>
      <c r="L14" s="237"/>
      <c r="M14" s="237"/>
      <c r="N14" s="237"/>
      <c r="O14" s="237"/>
      <c r="P14" s="237"/>
      <c r="Q14" s="237"/>
      <c r="R14" s="237"/>
      <c r="S14" s="237"/>
    </row>
    <row r="15" spans="1:21" ht="15.75" thickBot="1">
      <c r="A15" s="237"/>
      <c r="B15" s="1618" t="s">
        <v>2</v>
      </c>
      <c r="C15" s="260"/>
      <c r="D15" s="1609" t="s">
        <v>344</v>
      </c>
      <c r="E15" s="1610"/>
      <c r="F15" s="1610"/>
      <c r="G15" s="1610"/>
      <c r="H15" s="1610"/>
      <c r="I15" s="1610"/>
      <c r="J15" s="1610"/>
      <c r="K15" s="1611"/>
      <c r="L15" s="195"/>
      <c r="M15" s="195"/>
      <c r="N15" s="195"/>
      <c r="O15" s="195"/>
      <c r="P15" s="195"/>
      <c r="Q15" s="195"/>
      <c r="R15" s="195"/>
      <c r="S15" s="237"/>
    </row>
    <row r="16" spans="1:21" ht="15.75" thickBot="1">
      <c r="A16" s="237"/>
      <c r="B16" s="1619"/>
      <c r="C16" s="309" t="s">
        <v>24</v>
      </c>
      <c r="D16" s="272" t="s">
        <v>261</v>
      </c>
      <c r="E16" s="272" t="s">
        <v>25</v>
      </c>
      <c r="F16" s="272" t="s">
        <v>26</v>
      </c>
      <c r="G16" s="272" t="s">
        <v>27</v>
      </c>
      <c r="H16" s="272" t="s">
        <v>28</v>
      </c>
      <c r="I16" s="272" t="s">
        <v>262</v>
      </c>
      <c r="J16" s="237"/>
      <c r="K16" s="266"/>
      <c r="L16" s="195"/>
      <c r="M16" s="195"/>
      <c r="N16" s="195"/>
      <c r="O16" s="195"/>
      <c r="P16" s="195"/>
      <c r="Q16" s="195"/>
      <c r="R16" s="195"/>
      <c r="S16" s="237"/>
    </row>
    <row r="17" spans="1:19" ht="24.75" thickBot="1">
      <c r="A17" s="237"/>
      <c r="B17" s="1619"/>
      <c r="C17" s="504" t="s">
        <v>158</v>
      </c>
      <c r="D17" s="496" t="s">
        <v>1160</v>
      </c>
      <c r="E17" s="816">
        <v>2</v>
      </c>
      <c r="F17" s="816">
        <v>4</v>
      </c>
      <c r="G17" s="816">
        <v>5</v>
      </c>
      <c r="H17" s="816">
        <v>2</v>
      </c>
      <c r="I17" s="1071">
        <f>SUM(E17:H17)</f>
        <v>13</v>
      </c>
      <c r="J17" s="237"/>
      <c r="K17" s="266"/>
      <c r="L17" s="195"/>
      <c r="M17" s="195"/>
      <c r="N17" s="195"/>
      <c r="O17" s="195"/>
      <c r="P17" s="195"/>
      <c r="Q17" s="195"/>
      <c r="R17" s="195"/>
      <c r="S17" s="237"/>
    </row>
    <row r="18" spans="1:19" ht="15.75" thickBot="1">
      <c r="A18" s="237"/>
      <c r="B18" s="1619"/>
      <c r="C18" s="504" t="s">
        <v>160</v>
      </c>
      <c r="D18" s="496" t="s">
        <v>784</v>
      </c>
      <c r="E18" s="1333">
        <f>413999764+247240306</f>
        <v>661240070</v>
      </c>
      <c r="F18" s="1067">
        <f>411544536+238476412</f>
        <v>650020948</v>
      </c>
      <c r="G18" s="1067">
        <f>416789977+228520690</f>
        <v>645310667</v>
      </c>
      <c r="H18" s="1067">
        <f>472214308+278367454</f>
        <v>750581762</v>
      </c>
      <c r="I18" s="1072">
        <f>SUM(E18:H18)</f>
        <v>2707153447</v>
      </c>
      <c r="J18" s="237"/>
      <c r="K18" s="266"/>
      <c r="L18" s="195"/>
      <c r="M18" s="195"/>
      <c r="N18" s="195"/>
      <c r="O18" s="195"/>
      <c r="P18" s="195"/>
      <c r="Q18" s="195"/>
      <c r="R18" s="195"/>
      <c r="S18" s="237"/>
    </row>
    <row r="19" spans="1:19" ht="15.75" thickBot="1">
      <c r="A19" s="237"/>
      <c r="B19" s="1619"/>
      <c r="C19" s="504" t="s">
        <v>162</v>
      </c>
      <c r="D19" s="496" t="s">
        <v>841</v>
      </c>
      <c r="E19" s="1334">
        <v>678581070</v>
      </c>
      <c r="F19" s="1067">
        <v>659020948</v>
      </c>
      <c r="G19" s="1067">
        <f>416789977+228520690-40000000+335760771</f>
        <v>941071438</v>
      </c>
      <c r="H19" s="1067">
        <f>'Anexo 5-2 Gastos'!K44+'Anexo 5-2 Gastos'!K45</f>
        <v>1046547705</v>
      </c>
      <c r="I19" s="1072">
        <f>SUM(E19:H19)</f>
        <v>3325221161</v>
      </c>
      <c r="J19" s="237"/>
      <c r="K19" s="266"/>
      <c r="L19" s="195"/>
      <c r="M19" s="195"/>
      <c r="N19" s="195"/>
      <c r="O19" s="195"/>
      <c r="P19" s="195"/>
      <c r="Q19" s="195"/>
      <c r="R19" s="195"/>
      <c r="S19" s="237"/>
    </row>
    <row r="20" spans="1:19">
      <c r="A20" s="237"/>
      <c r="B20" s="1619"/>
      <c r="C20" s="268"/>
      <c r="D20" s="1600"/>
      <c r="E20" s="1643"/>
      <c r="F20" s="1643"/>
      <c r="G20" s="1643"/>
      <c r="H20" s="1643"/>
      <c r="I20" s="1643"/>
      <c r="J20" s="1643"/>
      <c r="K20" s="1602"/>
      <c r="L20" s="195"/>
      <c r="M20" s="195"/>
      <c r="N20" s="195"/>
      <c r="O20" s="195"/>
      <c r="P20" s="195"/>
      <c r="Q20" s="195"/>
      <c r="R20" s="195"/>
      <c r="S20" s="237"/>
    </row>
    <row r="21" spans="1:19" ht="15.75" thickBot="1">
      <c r="A21" s="237"/>
      <c r="B21" s="1619"/>
      <c r="C21" s="268"/>
      <c r="D21" s="1624" t="s">
        <v>1161</v>
      </c>
      <c r="E21" s="1625"/>
      <c r="F21" s="1625"/>
      <c r="G21" s="1625"/>
      <c r="H21" s="1625"/>
      <c r="I21" s="1625"/>
      <c r="J21" s="1625"/>
      <c r="K21" s="1626"/>
      <c r="L21" s="195"/>
      <c r="N21" s="195"/>
      <c r="O21" s="195"/>
      <c r="P21" s="195"/>
      <c r="Q21" s="195"/>
      <c r="R21" s="195"/>
      <c r="S21" s="237"/>
    </row>
    <row r="22" spans="1:19" ht="15.75" thickBot="1">
      <c r="A22" s="237"/>
      <c r="B22" s="1619"/>
      <c r="C22" s="1696" t="s">
        <v>24</v>
      </c>
      <c r="D22" s="1618" t="s">
        <v>278</v>
      </c>
      <c r="E22" s="1621" t="s">
        <v>628</v>
      </c>
      <c r="F22" s="1623"/>
      <c r="G22" s="1621" t="s">
        <v>701</v>
      </c>
      <c r="H22" s="1622"/>
      <c r="I22" s="1622"/>
      <c r="J22" s="1623"/>
      <c r="K22" s="273"/>
      <c r="L22" s="195"/>
      <c r="M22" s="195"/>
      <c r="N22" s="195"/>
      <c r="O22" s="195"/>
      <c r="P22" s="195"/>
      <c r="Q22" s="195"/>
      <c r="R22" s="195"/>
      <c r="S22" s="237"/>
    </row>
    <row r="23" spans="1:19" ht="36.75" thickBot="1">
      <c r="A23" s="237"/>
      <c r="B23" s="1619"/>
      <c r="C23" s="1697"/>
      <c r="D23" s="1620"/>
      <c r="E23" s="922" t="s">
        <v>629</v>
      </c>
      <c r="F23" s="923" t="s">
        <v>630</v>
      </c>
      <c r="G23" s="922" t="s">
        <v>784</v>
      </c>
      <c r="H23" s="922" t="s">
        <v>352</v>
      </c>
      <c r="I23" s="922" t="s">
        <v>282</v>
      </c>
      <c r="J23" s="922" t="s">
        <v>283</v>
      </c>
      <c r="K23" s="922" t="s">
        <v>60</v>
      </c>
      <c r="L23" s="195"/>
      <c r="M23" s="195"/>
      <c r="N23" s="195"/>
      <c r="O23" s="195"/>
      <c r="P23" s="195"/>
      <c r="Q23" s="195"/>
      <c r="R23" s="195"/>
      <c r="S23" s="237"/>
    </row>
    <row r="24" spans="1:19" ht="15.75" thickBot="1">
      <c r="A24" s="237"/>
      <c r="B24" s="1619"/>
      <c r="C24" s="504">
        <v>1</v>
      </c>
      <c r="D24" s="163" t="s">
        <v>1628</v>
      </c>
      <c r="E24" s="32">
        <v>1</v>
      </c>
      <c r="F24" s="32">
        <v>0.69</v>
      </c>
      <c r="G24" s="1067">
        <v>472214308</v>
      </c>
      <c r="H24" s="1067">
        <f>789162678</f>
        <v>789162678</v>
      </c>
      <c r="I24" s="1067">
        <f>'Anexo 5-2 Gastos'!L44</f>
        <v>486690804</v>
      </c>
      <c r="J24" s="1067">
        <f>'Anexo 5-2 Gastos'!M44</f>
        <v>141210273</v>
      </c>
      <c r="K24" s="193"/>
      <c r="L24" s="994"/>
      <c r="M24" s="195"/>
      <c r="N24" s="195"/>
      <c r="O24" s="195"/>
      <c r="P24" s="195"/>
      <c r="Q24" s="195"/>
      <c r="R24" s="195"/>
      <c r="S24" s="237"/>
    </row>
    <row r="25" spans="1:19" ht="15.75" thickBot="1">
      <c r="A25" s="237"/>
      <c r="B25" s="1619"/>
      <c r="C25" s="504">
        <v>2</v>
      </c>
      <c r="D25" s="163" t="s">
        <v>1629</v>
      </c>
      <c r="E25" s="32">
        <v>1</v>
      </c>
      <c r="F25" s="32">
        <v>0.27</v>
      </c>
      <c r="G25" s="1067">
        <v>278367454</v>
      </c>
      <c r="H25" s="1067">
        <v>257385027</v>
      </c>
      <c r="I25" s="1067">
        <f>'Anexo 5-2 Gastos'!L45</f>
        <v>71809825</v>
      </c>
      <c r="J25" s="1067">
        <f>'Anexo 5-2 Gastos'!M45</f>
        <v>64481861</v>
      </c>
      <c r="K25" s="193"/>
      <c r="L25" s="994"/>
      <c r="M25" s="195"/>
      <c r="N25" s="195"/>
      <c r="O25" s="195"/>
      <c r="P25" s="195"/>
      <c r="Q25" s="195"/>
      <c r="R25" s="195"/>
      <c r="S25" s="237"/>
    </row>
    <row r="26" spans="1:19" ht="15.75" thickBot="1">
      <c r="A26" s="237"/>
      <c r="B26" s="1619"/>
      <c r="C26" s="504">
        <v>3</v>
      </c>
      <c r="D26" s="163"/>
      <c r="E26" s="32"/>
      <c r="F26" s="32"/>
      <c r="G26" s="1067"/>
      <c r="H26" s="1067"/>
      <c r="I26" s="1067"/>
      <c r="J26" s="1067"/>
      <c r="K26" s="193"/>
      <c r="L26" s="195"/>
      <c r="M26" s="195"/>
      <c r="N26" s="195"/>
      <c r="O26" s="195"/>
      <c r="P26" s="195"/>
      <c r="Q26" s="195"/>
      <c r="R26" s="195"/>
      <c r="S26" s="237"/>
    </row>
    <row r="27" spans="1:19" ht="15.75" thickBot="1">
      <c r="A27" s="237"/>
      <c r="B27" s="1619"/>
      <c r="C27" s="504">
        <v>4</v>
      </c>
      <c r="D27" s="163"/>
      <c r="E27" s="32"/>
      <c r="F27" s="32"/>
      <c r="G27" s="1067"/>
      <c r="H27" s="1067"/>
      <c r="I27" s="1067"/>
      <c r="J27" s="1067"/>
      <c r="K27" s="193"/>
      <c r="L27" s="195"/>
      <c r="M27" s="195"/>
      <c r="N27" s="195"/>
      <c r="O27" s="195"/>
      <c r="P27" s="195"/>
      <c r="Q27" s="195"/>
      <c r="R27" s="195"/>
      <c r="S27" s="237"/>
    </row>
    <row r="28" spans="1:19" ht="15.75" thickBot="1">
      <c r="A28" s="237"/>
      <c r="B28" s="1619"/>
      <c r="C28" s="504">
        <v>5</v>
      </c>
      <c r="D28" s="163"/>
      <c r="E28" s="32"/>
      <c r="F28" s="32"/>
      <c r="G28" s="1067"/>
      <c r="H28" s="1067"/>
      <c r="I28" s="1067"/>
      <c r="J28" s="1067"/>
      <c r="K28" s="193"/>
      <c r="L28" s="195"/>
      <c r="M28" s="195"/>
      <c r="N28" s="195"/>
      <c r="O28" s="195"/>
      <c r="P28" s="195"/>
      <c r="Q28" s="195"/>
      <c r="R28" s="195"/>
      <c r="S28" s="237"/>
    </row>
    <row r="29" spans="1:19" ht="15.75" thickBot="1">
      <c r="A29" s="237"/>
      <c r="B29" s="1619"/>
      <c r="C29" s="504">
        <v>6</v>
      </c>
      <c r="D29" s="163"/>
      <c r="E29" s="32"/>
      <c r="F29" s="32"/>
      <c r="G29" s="1067"/>
      <c r="H29" s="1067"/>
      <c r="I29" s="1067"/>
      <c r="J29" s="1067"/>
      <c r="K29" s="193"/>
      <c r="L29" s="195"/>
      <c r="M29" s="195"/>
      <c r="N29" s="195"/>
      <c r="O29" s="195"/>
      <c r="P29" s="195"/>
      <c r="Q29" s="195"/>
      <c r="R29" s="195"/>
      <c r="S29" s="237"/>
    </row>
    <row r="30" spans="1:19" ht="15.75" thickBot="1">
      <c r="A30" s="237"/>
      <c r="B30" s="1619"/>
      <c r="C30" s="242"/>
      <c r="D30" s="505" t="s">
        <v>157</v>
      </c>
      <c r="E30" s="241"/>
      <c r="F30" s="241"/>
      <c r="G30" s="1070">
        <f>SUM(G24:G29)</f>
        <v>750581762</v>
      </c>
      <c r="H30" s="1070">
        <f>SUM(H24:H29)</f>
        <v>1046547705</v>
      </c>
      <c r="I30" s="1070">
        <f>SUM(I24:I29)</f>
        <v>558500629</v>
      </c>
      <c r="J30" s="1070">
        <f>SUM(J24:J29)</f>
        <v>205692134</v>
      </c>
      <c r="K30" s="193"/>
      <c r="L30" s="195"/>
      <c r="M30" s="195"/>
      <c r="N30" s="195"/>
      <c r="O30" s="195"/>
      <c r="P30" s="195"/>
      <c r="Q30" s="195"/>
      <c r="R30" s="195"/>
      <c r="S30" s="237"/>
    </row>
    <row r="31" spans="1:19">
      <c r="A31" s="237"/>
      <c r="B31" s="1619"/>
      <c r="C31" s="268"/>
      <c r="D31" s="1600" t="s">
        <v>848</v>
      </c>
      <c r="E31" s="1643"/>
      <c r="F31" s="1643"/>
      <c r="G31" s="1643"/>
      <c r="H31" s="1643"/>
      <c r="I31" s="1643"/>
      <c r="J31" s="1643"/>
      <c r="K31" s="1602"/>
      <c r="L31" s="195"/>
      <c r="M31" s="195"/>
      <c r="N31" s="195"/>
      <c r="O31" s="195"/>
      <c r="P31" s="195"/>
      <c r="Q31" s="195"/>
      <c r="R31" s="195"/>
      <c r="S31" s="237"/>
    </row>
    <row r="32" spans="1:19" ht="15.75" thickBot="1">
      <c r="A32" s="237"/>
      <c r="B32" s="1619"/>
      <c r="C32" s="268"/>
      <c r="D32" s="1600" t="s">
        <v>1162</v>
      </c>
      <c r="E32" s="1643"/>
      <c r="F32" s="1643"/>
      <c r="G32" s="1643"/>
      <c r="H32" s="1643"/>
      <c r="I32" s="1643"/>
      <c r="J32" s="1643"/>
      <c r="K32" s="1602"/>
      <c r="L32" s="195"/>
      <c r="M32" s="195"/>
      <c r="N32" s="195"/>
      <c r="O32" s="195"/>
      <c r="P32" s="195"/>
      <c r="Q32" s="195"/>
      <c r="R32" s="195"/>
      <c r="S32" s="237"/>
    </row>
    <row r="33" spans="1:19" ht="15.75" thickBot="1">
      <c r="A33" s="237"/>
      <c r="B33" s="1619"/>
      <c r="C33" s="1696" t="s">
        <v>24</v>
      </c>
      <c r="D33" s="1862" t="s">
        <v>710</v>
      </c>
      <c r="E33" s="272" t="s">
        <v>850</v>
      </c>
      <c r="F33" s="1868" t="s">
        <v>711</v>
      </c>
      <c r="G33" s="1869"/>
      <c r="H33" s="495"/>
      <c r="I33" s="240"/>
      <c r="J33" s="237"/>
      <c r="K33" s="266"/>
      <c r="L33" s="195"/>
      <c r="M33" s="195"/>
      <c r="N33" s="195"/>
      <c r="O33" s="195"/>
      <c r="P33" s="195"/>
      <c r="Q33" s="195"/>
      <c r="R33" s="195"/>
      <c r="S33" s="237"/>
    </row>
    <row r="34" spans="1:19">
      <c r="A34" s="237"/>
      <c r="B34" s="1619"/>
      <c r="C34" s="1861"/>
      <c r="D34" s="1863"/>
      <c r="E34" s="1694" t="s">
        <v>1163</v>
      </c>
      <c r="F34" s="1694" t="s">
        <v>712</v>
      </c>
      <c r="G34" s="924" t="s">
        <v>713</v>
      </c>
      <c r="H34" s="1694" t="s">
        <v>60</v>
      </c>
      <c r="I34" s="240"/>
      <c r="J34" s="237"/>
      <c r="K34" s="266"/>
      <c r="L34" s="195"/>
      <c r="M34" s="195"/>
      <c r="N34" s="195"/>
      <c r="O34" s="195"/>
      <c r="P34" s="195"/>
      <c r="Q34" s="195"/>
      <c r="R34" s="195"/>
      <c r="S34" s="237"/>
    </row>
    <row r="35" spans="1:19" ht="15.75" thickBot="1">
      <c r="A35" s="237"/>
      <c r="B35" s="1619"/>
      <c r="C35" s="1697"/>
      <c r="D35" s="1864"/>
      <c r="E35" s="1695"/>
      <c r="F35" s="1695"/>
      <c r="G35" s="922" t="s">
        <v>282</v>
      </c>
      <c r="H35" s="1695"/>
      <c r="I35" s="240"/>
      <c r="J35" s="237"/>
      <c r="K35" s="266"/>
      <c r="L35" s="195"/>
      <c r="M35" s="195"/>
      <c r="N35" s="195"/>
      <c r="O35" s="195"/>
      <c r="P35" s="195"/>
      <c r="Q35" s="195"/>
      <c r="R35" s="195"/>
      <c r="S35" s="237"/>
    </row>
    <row r="36" spans="1:19" ht="15.75" thickBot="1">
      <c r="A36" s="237"/>
      <c r="B36" s="1619"/>
      <c r="C36" s="497">
        <v>1</v>
      </c>
      <c r="D36" s="160">
        <v>0.5</v>
      </c>
      <c r="E36" s="359">
        <f>+F24</f>
        <v>0.69</v>
      </c>
      <c r="F36" s="506">
        <f>IFERROR(I24/H24,0)</f>
        <v>0.62</v>
      </c>
      <c r="G36" s="506">
        <f>IFERROR(J24/I24,0)</f>
        <v>0.28999999999999998</v>
      </c>
      <c r="H36" s="31"/>
      <c r="I36" s="240"/>
      <c r="J36" s="507"/>
      <c r="K36" s="266"/>
      <c r="L36" s="195"/>
      <c r="M36" s="195"/>
      <c r="N36" s="195"/>
      <c r="O36" s="195"/>
      <c r="P36" s="195"/>
      <c r="Q36" s="195"/>
      <c r="R36" s="195"/>
      <c r="S36" s="237"/>
    </row>
    <row r="37" spans="1:19" ht="15.75" thickBot="1">
      <c r="A37" s="237"/>
      <c r="B37" s="1619"/>
      <c r="C37" s="497">
        <v>2</v>
      </c>
      <c r="D37" s="160">
        <v>0.5</v>
      </c>
      <c r="E37" s="359">
        <f>+F25</f>
        <v>0.27</v>
      </c>
      <c r="F37" s="506">
        <f>IFERROR(I25/H25,0)</f>
        <v>0.28000000000000003</v>
      </c>
      <c r="G37" s="506">
        <f t="shared" ref="G37:G42" si="0">IFERROR(J25/I25,0)</f>
        <v>0.9</v>
      </c>
      <c r="H37" s="31"/>
      <c r="I37" s="240"/>
      <c r="J37" s="237"/>
      <c r="K37" s="266"/>
      <c r="L37" s="195"/>
      <c r="M37" s="195"/>
      <c r="N37" s="195"/>
      <c r="O37" s="195"/>
      <c r="P37" s="195"/>
      <c r="Q37" s="195"/>
      <c r="R37" s="195"/>
      <c r="S37" s="237"/>
    </row>
    <row r="38" spans="1:19" ht="15.75" thickBot="1">
      <c r="A38" s="237"/>
      <c r="B38" s="1619"/>
      <c r="C38" s="497">
        <v>3</v>
      </c>
      <c r="D38" s="160"/>
      <c r="E38" s="359">
        <v>0</v>
      </c>
      <c r="F38" s="506">
        <v>0</v>
      </c>
      <c r="G38" s="506">
        <f t="shared" si="0"/>
        <v>0</v>
      </c>
      <c r="H38" s="31"/>
      <c r="I38" s="240"/>
      <c r="J38" s="237"/>
      <c r="K38" s="266"/>
      <c r="L38" s="195"/>
      <c r="M38" s="195"/>
      <c r="N38" s="195"/>
      <c r="O38" s="195"/>
      <c r="P38" s="195"/>
      <c r="Q38" s="195"/>
      <c r="R38" s="195"/>
      <c r="S38" s="237"/>
    </row>
    <row r="39" spans="1:19" ht="15.75" thickBot="1">
      <c r="A39" s="237"/>
      <c r="B39" s="1619"/>
      <c r="C39" s="497">
        <v>4</v>
      </c>
      <c r="D39" s="160"/>
      <c r="E39" s="359">
        <f>+F27</f>
        <v>0</v>
      </c>
      <c r="F39" s="506">
        <f>IFERROR(I27/H27,0)</f>
        <v>0</v>
      </c>
      <c r="G39" s="506">
        <f t="shared" si="0"/>
        <v>0</v>
      </c>
      <c r="H39" s="31"/>
      <c r="I39" s="240"/>
      <c r="J39" s="237"/>
      <c r="K39" s="266"/>
      <c r="L39" s="195"/>
      <c r="M39" s="195"/>
      <c r="N39" s="195"/>
      <c r="O39" s="195"/>
      <c r="P39" s="195"/>
      <c r="Q39" s="195"/>
      <c r="R39" s="195"/>
      <c r="S39" s="237"/>
    </row>
    <row r="40" spans="1:19" ht="15.75" thickBot="1">
      <c r="A40" s="237"/>
      <c r="B40" s="1619"/>
      <c r="C40" s="497">
        <v>5</v>
      </c>
      <c r="D40" s="160"/>
      <c r="E40" s="359">
        <f>+F28</f>
        <v>0</v>
      </c>
      <c r="F40" s="506">
        <f>IFERROR(I28/H28,0)</f>
        <v>0</v>
      </c>
      <c r="G40" s="506">
        <f t="shared" si="0"/>
        <v>0</v>
      </c>
      <c r="H40" s="31"/>
      <c r="I40" s="240"/>
      <c r="J40" s="237"/>
      <c r="K40" s="266"/>
      <c r="L40" s="195"/>
      <c r="M40" s="195"/>
      <c r="N40" s="195"/>
      <c r="O40" s="195"/>
      <c r="P40" s="195"/>
      <c r="Q40" s="195"/>
      <c r="R40" s="195"/>
      <c r="S40" s="237"/>
    </row>
    <row r="41" spans="1:19" ht="15.75" thickBot="1">
      <c r="A41" s="237"/>
      <c r="B41" s="1619"/>
      <c r="C41" s="497">
        <v>6</v>
      </c>
      <c r="D41" s="160"/>
      <c r="E41" s="359">
        <f>+F29</f>
        <v>0</v>
      </c>
      <c r="F41" s="506">
        <f>IFERROR(I29/H29,0)</f>
        <v>0</v>
      </c>
      <c r="G41" s="506">
        <f t="shared" si="0"/>
        <v>0</v>
      </c>
      <c r="H41" s="31"/>
      <c r="I41" s="240"/>
      <c r="J41" s="237"/>
      <c r="K41" s="266"/>
      <c r="L41" s="195"/>
      <c r="M41" s="195"/>
      <c r="N41" s="195"/>
      <c r="O41" s="195"/>
      <c r="P41" s="195"/>
      <c r="Q41" s="195"/>
      <c r="R41" s="195"/>
      <c r="S41" s="237"/>
    </row>
    <row r="42" spans="1:19" ht="15.75" thickBot="1">
      <c r="A42" s="237"/>
      <c r="B42" s="1620"/>
      <c r="C42" s="497"/>
      <c r="D42" s="161">
        <f>+Formulas!D31</f>
        <v>1</v>
      </c>
      <c r="E42" s="508">
        <f>+D36*E36+D37*E37+D38*E38+D39*E39+D40*E40+D41*E41</f>
        <v>0.48</v>
      </c>
      <c r="F42" s="508">
        <f>+D36*F36+D37*F37+D38*F38+D39*F39+D40*F40+D41*F41</f>
        <v>0.45</v>
      </c>
      <c r="G42" s="506">
        <f t="shared" si="0"/>
        <v>0.37</v>
      </c>
      <c r="H42" s="31"/>
      <c r="I42" s="509"/>
      <c r="J42" s="237"/>
      <c r="K42" s="318"/>
      <c r="L42" s="195"/>
      <c r="M42" s="195"/>
      <c r="N42" s="195"/>
      <c r="O42" s="195"/>
      <c r="P42" s="195"/>
      <c r="Q42" s="195"/>
      <c r="R42" s="195"/>
      <c r="S42" s="237"/>
    </row>
    <row r="43" spans="1:19" ht="24" customHeight="1" thickBot="1">
      <c r="B43" s="184" t="s">
        <v>39</v>
      </c>
      <c r="C43" s="85"/>
      <c r="D43" s="1870" t="s">
        <v>1164</v>
      </c>
      <c r="E43" s="1871"/>
      <c r="F43" s="1871"/>
      <c r="G43" s="1871"/>
      <c r="H43" s="1871"/>
      <c r="I43" s="1871"/>
      <c r="J43" s="1871"/>
      <c r="K43" s="1872"/>
      <c r="L43" s="195"/>
      <c r="M43" s="195"/>
      <c r="N43" s="195"/>
      <c r="O43" s="195"/>
      <c r="P43" s="195"/>
      <c r="Q43" s="195"/>
      <c r="R43" s="195"/>
    </row>
    <row r="44" spans="1:19" ht="36.75" thickBot="1">
      <c r="B44" s="184" t="s">
        <v>41</v>
      </c>
      <c r="C44" s="85"/>
      <c r="D44" s="1870" t="s">
        <v>354</v>
      </c>
      <c r="E44" s="1871"/>
      <c r="F44" s="1871"/>
      <c r="G44" s="1871"/>
      <c r="H44" s="1871"/>
      <c r="I44" s="1871"/>
      <c r="J44" s="1871"/>
      <c r="K44" s="1872"/>
      <c r="L44" s="195"/>
      <c r="M44" s="195"/>
      <c r="N44" s="195"/>
      <c r="O44" s="195"/>
      <c r="P44" s="195"/>
      <c r="Q44" s="195"/>
      <c r="R44" s="195"/>
    </row>
    <row r="45" spans="1:19" ht="15.75" thickBot="1">
      <c r="B45" s="8"/>
      <c r="C45" s="80"/>
      <c r="D45" s="19"/>
      <c r="E45" s="19"/>
      <c r="F45" s="19"/>
      <c r="G45" s="19"/>
      <c r="H45" s="19"/>
      <c r="I45" s="19"/>
      <c r="J45" s="19"/>
      <c r="K45" s="19"/>
      <c r="L45" s="195"/>
      <c r="M45" s="195"/>
      <c r="N45" s="195"/>
      <c r="O45" s="195"/>
      <c r="P45" s="195"/>
      <c r="Q45" s="195"/>
      <c r="R45" s="195"/>
    </row>
    <row r="46" spans="1:19" ht="24" customHeight="1" thickBot="1">
      <c r="B46" s="1865" t="s">
        <v>43</v>
      </c>
      <c r="C46" s="1866"/>
      <c r="D46" s="1866"/>
      <c r="E46" s="1867"/>
      <c r="F46" s="19"/>
      <c r="G46" s="19"/>
      <c r="H46" s="19"/>
      <c r="I46" s="19"/>
      <c r="J46" s="19"/>
      <c r="K46" s="19"/>
      <c r="L46" s="195"/>
      <c r="M46" s="195"/>
      <c r="N46" s="195"/>
      <c r="O46" s="195"/>
      <c r="P46" s="195"/>
      <c r="Q46" s="195"/>
      <c r="R46" s="195"/>
    </row>
    <row r="47" spans="1:19" ht="15.75" thickBot="1">
      <c r="B47" s="1858">
        <v>1</v>
      </c>
      <c r="C47" s="81"/>
      <c r="D47" s="34" t="s">
        <v>44</v>
      </c>
      <c r="E47" s="163"/>
      <c r="F47" s="19"/>
      <c r="G47" s="19"/>
      <c r="H47" s="19"/>
      <c r="I47" s="19"/>
      <c r="J47" s="19"/>
      <c r="K47" s="19"/>
      <c r="L47" s="195"/>
      <c r="M47" s="195"/>
      <c r="N47" s="195"/>
      <c r="O47" s="195"/>
      <c r="P47" s="195"/>
      <c r="Q47" s="195"/>
      <c r="R47" s="195"/>
    </row>
    <row r="48" spans="1:19" ht="15.75" thickBot="1">
      <c r="B48" s="1859"/>
      <c r="C48" s="81"/>
      <c r="D48" s="186" t="s">
        <v>45</v>
      </c>
      <c r="E48" s="163" t="s">
        <v>1756</v>
      </c>
      <c r="F48" s="19"/>
      <c r="G48" s="19"/>
      <c r="H48" s="19"/>
      <c r="I48" s="19"/>
      <c r="J48" s="19"/>
      <c r="K48" s="19"/>
      <c r="L48" s="195"/>
      <c r="M48" s="195"/>
      <c r="N48" s="195"/>
      <c r="O48" s="195"/>
      <c r="P48" s="195"/>
      <c r="Q48" s="195"/>
      <c r="R48" s="195"/>
    </row>
    <row r="49" spans="2:18" ht="15.75" thickBot="1">
      <c r="B49" s="1859"/>
      <c r="C49" s="81"/>
      <c r="D49" s="186" t="s">
        <v>46</v>
      </c>
      <c r="E49" s="163" t="s">
        <v>2021</v>
      </c>
      <c r="F49" s="19"/>
      <c r="G49" s="19"/>
      <c r="H49" s="19"/>
      <c r="I49" s="19"/>
      <c r="J49" s="19"/>
      <c r="K49" s="19"/>
      <c r="L49" s="195"/>
      <c r="M49" s="195"/>
      <c r="N49" s="195"/>
      <c r="O49" s="195"/>
      <c r="P49" s="195"/>
      <c r="Q49" s="195"/>
      <c r="R49" s="195"/>
    </row>
    <row r="50" spans="2:18" ht="15.75" thickBot="1">
      <c r="B50" s="1859"/>
      <c r="C50" s="81"/>
      <c r="D50" s="186" t="s">
        <v>47</v>
      </c>
      <c r="E50" s="163" t="s">
        <v>1626</v>
      </c>
      <c r="F50" s="19"/>
      <c r="G50" s="19"/>
      <c r="H50" s="19"/>
      <c r="I50" s="19"/>
      <c r="J50" s="19"/>
      <c r="K50" s="19"/>
      <c r="L50" s="195"/>
      <c r="M50" s="195"/>
      <c r="N50" s="195"/>
      <c r="O50" s="195"/>
      <c r="P50" s="195"/>
      <c r="Q50" s="195"/>
      <c r="R50" s="195"/>
    </row>
    <row r="51" spans="2:18" ht="15.75" thickBot="1">
      <c r="B51" s="1859"/>
      <c r="C51" s="81"/>
      <c r="D51" s="186" t="s">
        <v>48</v>
      </c>
      <c r="E51" s="1340" t="s">
        <v>2022</v>
      </c>
      <c r="F51" s="19"/>
      <c r="G51" s="19"/>
      <c r="H51" s="19"/>
      <c r="I51" s="19"/>
      <c r="J51" s="19"/>
      <c r="K51" s="19"/>
      <c r="L51" s="195"/>
      <c r="M51" s="195"/>
      <c r="N51" s="195"/>
      <c r="O51" s="195"/>
      <c r="P51" s="195"/>
      <c r="Q51" s="195"/>
      <c r="R51" s="195"/>
    </row>
    <row r="52" spans="2:18" ht="15.75" thickBot="1">
      <c r="B52" s="1859"/>
      <c r="C52" s="81"/>
      <c r="D52" s="186" t="s">
        <v>49</v>
      </c>
      <c r="E52" s="163" t="s">
        <v>1831</v>
      </c>
      <c r="F52" s="19"/>
      <c r="G52" s="19"/>
      <c r="H52" s="19"/>
      <c r="I52" s="19"/>
      <c r="J52" s="19"/>
      <c r="K52" s="19"/>
      <c r="L52" s="195"/>
      <c r="M52" s="195"/>
      <c r="N52" s="195"/>
      <c r="O52" s="195"/>
      <c r="P52" s="195"/>
      <c r="Q52" s="195"/>
      <c r="R52" s="195"/>
    </row>
    <row r="53" spans="2:18" ht="15.75" thickBot="1">
      <c r="B53" s="1860"/>
      <c r="C53" s="9"/>
      <c r="D53" s="186" t="s">
        <v>50</v>
      </c>
      <c r="E53" s="163" t="s">
        <v>1634</v>
      </c>
      <c r="F53" s="19"/>
      <c r="G53" s="19"/>
      <c r="H53" s="19"/>
      <c r="I53" s="19"/>
      <c r="J53" s="19"/>
      <c r="K53" s="19"/>
      <c r="L53" s="195"/>
      <c r="M53" s="195"/>
      <c r="N53" s="195"/>
      <c r="O53" s="195"/>
      <c r="P53" s="195"/>
      <c r="Q53" s="195"/>
      <c r="R53" s="195"/>
    </row>
    <row r="54" spans="2:18" ht="15.75" thickBot="1">
      <c r="B54" s="8"/>
      <c r="C54" s="80"/>
      <c r="D54" s="19"/>
      <c r="E54" s="19"/>
      <c r="F54" s="19"/>
      <c r="G54" s="19"/>
      <c r="H54" s="19"/>
      <c r="I54" s="19"/>
      <c r="J54" s="19"/>
      <c r="K54" s="19"/>
      <c r="L54" s="195"/>
      <c r="M54" s="195"/>
      <c r="N54" s="195"/>
      <c r="O54" s="195"/>
      <c r="P54" s="195"/>
      <c r="Q54" s="195"/>
      <c r="R54" s="195"/>
    </row>
    <row r="55" spans="2:18" ht="15.75" thickBot="1">
      <c r="B55" s="1865" t="s">
        <v>51</v>
      </c>
      <c r="C55" s="1866"/>
      <c r="D55" s="1866"/>
      <c r="E55" s="1867"/>
      <c r="F55" s="19"/>
      <c r="G55" s="19"/>
      <c r="H55" s="19"/>
      <c r="I55" s="19"/>
      <c r="J55" s="19"/>
      <c r="K55" s="19"/>
      <c r="L55" s="195"/>
      <c r="M55" s="195"/>
      <c r="N55" s="195"/>
      <c r="O55" s="195"/>
      <c r="P55" s="195"/>
      <c r="Q55" s="195"/>
      <c r="R55" s="195"/>
    </row>
    <row r="56" spans="2:18" ht="15.75" thickBot="1">
      <c r="B56" s="1858">
        <v>1</v>
      </c>
      <c r="C56" s="81"/>
      <c r="D56" s="34" t="s">
        <v>44</v>
      </c>
      <c r="E56" s="29" t="s">
        <v>52</v>
      </c>
      <c r="F56" s="19"/>
      <c r="G56" s="19"/>
      <c r="H56" s="19"/>
      <c r="I56" s="19"/>
      <c r="J56" s="19"/>
      <c r="K56" s="19"/>
      <c r="L56" s="195"/>
      <c r="M56" s="195"/>
      <c r="N56" s="195"/>
      <c r="O56" s="195"/>
      <c r="P56" s="195"/>
      <c r="Q56" s="195"/>
      <c r="R56" s="195"/>
    </row>
    <row r="57" spans="2:18" ht="15.75" thickBot="1">
      <c r="B57" s="1859"/>
      <c r="C57" s="81"/>
      <c r="D57" s="186" t="s">
        <v>45</v>
      </c>
      <c r="E57" s="29" t="s">
        <v>53</v>
      </c>
      <c r="F57" s="19"/>
      <c r="G57" s="19"/>
      <c r="H57" s="19"/>
      <c r="I57" s="19"/>
      <c r="J57" s="19"/>
      <c r="K57" s="19"/>
      <c r="L57" s="195"/>
      <c r="M57" s="195"/>
      <c r="N57" s="195"/>
      <c r="O57" s="195"/>
      <c r="P57" s="195"/>
      <c r="Q57" s="195"/>
      <c r="R57" s="195"/>
    </row>
    <row r="58" spans="2:18" ht="15.75" thickBot="1">
      <c r="B58" s="1859"/>
      <c r="C58" s="81"/>
      <c r="D58" s="186" t="s">
        <v>46</v>
      </c>
      <c r="E58" s="168"/>
      <c r="F58" s="19"/>
      <c r="G58" s="19"/>
      <c r="H58" s="19"/>
      <c r="I58" s="19"/>
      <c r="J58" s="19"/>
      <c r="K58" s="19"/>
      <c r="L58" s="195"/>
      <c r="M58" s="195"/>
      <c r="N58" s="195"/>
      <c r="O58" s="195"/>
      <c r="P58" s="195"/>
      <c r="Q58" s="195"/>
      <c r="R58" s="195"/>
    </row>
    <row r="59" spans="2:18" ht="15.75" thickBot="1">
      <c r="B59" s="1859"/>
      <c r="C59" s="81"/>
      <c r="D59" s="186" t="s">
        <v>47</v>
      </c>
      <c r="E59" s="168"/>
      <c r="F59" s="19"/>
      <c r="G59" s="19"/>
      <c r="H59" s="19"/>
      <c r="I59" s="19"/>
      <c r="J59" s="19"/>
      <c r="K59" s="19"/>
      <c r="L59" s="195"/>
      <c r="M59" s="195"/>
      <c r="N59" s="195"/>
      <c r="O59" s="195"/>
      <c r="P59" s="195"/>
      <c r="Q59" s="195"/>
      <c r="R59" s="195"/>
    </row>
    <row r="60" spans="2:18" ht="15.75" thickBot="1">
      <c r="B60" s="1859"/>
      <c r="C60" s="81"/>
      <c r="D60" s="186" t="s">
        <v>48</v>
      </c>
      <c r="E60" s="168"/>
      <c r="F60" s="19"/>
      <c r="G60" s="19"/>
      <c r="H60" s="19"/>
      <c r="I60" s="19"/>
      <c r="J60" s="19"/>
      <c r="K60" s="19"/>
      <c r="L60" s="195"/>
      <c r="M60" s="195"/>
      <c r="N60" s="195"/>
      <c r="O60" s="195"/>
      <c r="P60" s="195"/>
      <c r="Q60" s="195"/>
      <c r="R60" s="195"/>
    </row>
    <row r="61" spans="2:18" ht="15.75" thickBot="1">
      <c r="B61" s="1859"/>
      <c r="C61" s="81"/>
      <c r="D61" s="186" t="s">
        <v>49</v>
      </c>
      <c r="E61" s="168"/>
      <c r="F61" s="19"/>
      <c r="G61" s="19"/>
      <c r="H61" s="19"/>
      <c r="I61" s="19"/>
      <c r="J61" s="19"/>
      <c r="K61" s="19"/>
      <c r="L61" s="195"/>
      <c r="M61" s="195"/>
      <c r="N61" s="195"/>
      <c r="O61" s="195"/>
      <c r="P61" s="195"/>
      <c r="Q61" s="195"/>
      <c r="R61" s="195"/>
    </row>
    <row r="62" spans="2:18" ht="15.75" thickBot="1">
      <c r="B62" s="1860"/>
      <c r="C62" s="9"/>
      <c r="D62" s="186" t="s">
        <v>50</v>
      </c>
      <c r="E62" s="168"/>
      <c r="F62" s="19"/>
      <c r="G62" s="19"/>
      <c r="H62" s="19"/>
      <c r="I62" s="19"/>
      <c r="J62" s="19"/>
      <c r="K62" s="19"/>
      <c r="L62" s="195"/>
      <c r="M62" s="195"/>
      <c r="N62" s="195"/>
      <c r="O62" s="195"/>
      <c r="P62" s="195"/>
      <c r="Q62" s="195"/>
      <c r="R62" s="195"/>
    </row>
    <row r="63" spans="2:18" ht="15.75" thickBot="1">
      <c r="B63" s="8"/>
      <c r="C63" s="80"/>
      <c r="D63" s="19"/>
      <c r="E63" s="19"/>
      <c r="F63" s="19"/>
      <c r="G63" s="19"/>
      <c r="H63" s="19"/>
      <c r="I63" s="19"/>
      <c r="J63" s="19"/>
      <c r="K63" s="19"/>
      <c r="L63" s="195"/>
      <c r="M63" s="195"/>
      <c r="N63" s="195"/>
      <c r="O63" s="195"/>
      <c r="P63" s="195"/>
      <c r="Q63" s="195"/>
      <c r="R63" s="195"/>
    </row>
    <row r="64" spans="2:18" ht="15" customHeight="1" thickBot="1">
      <c r="B64" s="187" t="s">
        <v>54</v>
      </c>
      <c r="C64" s="188"/>
      <c r="D64" s="188"/>
      <c r="E64" s="189"/>
      <c r="F64" s="195"/>
      <c r="G64" s="19"/>
      <c r="H64" s="19"/>
      <c r="I64" s="19"/>
      <c r="J64" s="19"/>
      <c r="K64" s="19"/>
      <c r="L64" s="195"/>
      <c r="M64" s="195"/>
      <c r="N64" s="195"/>
      <c r="O64" s="195"/>
      <c r="P64" s="195"/>
      <c r="Q64" s="195"/>
      <c r="R64" s="195"/>
    </row>
    <row r="65" spans="2:18" ht="24.75" thickBot="1">
      <c r="B65" s="184" t="s">
        <v>55</v>
      </c>
      <c r="C65" s="186" t="s">
        <v>56</v>
      </c>
      <c r="D65" s="186" t="s">
        <v>57</v>
      </c>
      <c r="E65" s="186" t="s">
        <v>58</v>
      </c>
      <c r="F65" s="19"/>
      <c r="G65" s="19"/>
      <c r="H65" s="19"/>
      <c r="I65" s="19"/>
      <c r="J65" s="19"/>
      <c r="K65" s="195"/>
      <c r="L65" s="195"/>
      <c r="M65" s="195"/>
      <c r="N65" s="195"/>
      <c r="O65" s="195"/>
      <c r="P65" s="195"/>
      <c r="Q65" s="195"/>
      <c r="R65" s="195"/>
    </row>
    <row r="66" spans="2:18" ht="60.75" thickBot="1">
      <c r="B66" s="36">
        <v>42401</v>
      </c>
      <c r="C66" s="186">
        <v>0.01</v>
      </c>
      <c r="D66" s="180" t="s">
        <v>1165</v>
      </c>
      <c r="E66" s="186"/>
      <c r="F66" s="19"/>
      <c r="G66" s="19"/>
      <c r="H66" s="19"/>
      <c r="I66" s="19"/>
      <c r="J66" s="19"/>
      <c r="K66" s="195"/>
      <c r="L66" s="195"/>
      <c r="M66" s="195"/>
      <c r="N66" s="195"/>
      <c r="O66" s="195"/>
      <c r="P66" s="195"/>
      <c r="Q66" s="195"/>
      <c r="R66" s="195"/>
    </row>
    <row r="67" spans="2:18" ht="15.75" thickBot="1">
      <c r="B67" s="10"/>
      <c r="C67" s="82"/>
      <c r="D67" s="19"/>
      <c r="E67" s="19"/>
      <c r="F67" s="19"/>
      <c r="G67" s="19"/>
      <c r="H67" s="19"/>
      <c r="I67" s="19"/>
      <c r="J67" s="19"/>
      <c r="K67" s="19"/>
      <c r="L67" s="195"/>
      <c r="M67" s="195"/>
      <c r="N67" s="195"/>
      <c r="O67" s="195"/>
      <c r="P67" s="195"/>
      <c r="Q67" s="195"/>
      <c r="R67" s="195"/>
    </row>
    <row r="68" spans="2:18" ht="24.75" thickBot="1">
      <c r="B68" s="480" t="s">
        <v>60</v>
      </c>
      <c r="C68" s="83"/>
      <c r="D68" s="19"/>
      <c r="E68" s="19"/>
      <c r="F68" s="19"/>
      <c r="G68" s="19"/>
      <c r="H68" s="19"/>
      <c r="I68" s="19"/>
      <c r="J68" s="19"/>
      <c r="K68" s="19"/>
      <c r="L68" s="195"/>
      <c r="M68" s="195"/>
      <c r="N68" s="195"/>
      <c r="O68" s="195"/>
      <c r="P68" s="195"/>
      <c r="Q68" s="195"/>
      <c r="R68" s="195"/>
    </row>
    <row r="69" spans="2:18">
      <c r="B69" s="1830"/>
      <c r="C69" s="1831"/>
      <c r="D69" s="1831"/>
      <c r="E69" s="1831"/>
      <c r="F69" s="1831"/>
      <c r="G69" s="1832"/>
      <c r="H69" s="19"/>
      <c r="I69" s="19"/>
      <c r="J69" s="19"/>
      <c r="K69" s="19"/>
      <c r="L69" s="195"/>
      <c r="M69" s="195"/>
      <c r="N69" s="195"/>
      <c r="O69" s="195"/>
      <c r="P69" s="195"/>
      <c r="Q69" s="195"/>
      <c r="R69" s="195"/>
    </row>
    <row r="70" spans="2:18" ht="15.75" thickBot="1">
      <c r="B70" s="1833"/>
      <c r="C70" s="1834"/>
      <c r="D70" s="1834"/>
      <c r="E70" s="1834"/>
      <c r="F70" s="1834"/>
      <c r="G70" s="1835"/>
      <c r="H70" s="19"/>
      <c r="I70" s="19"/>
      <c r="J70" s="19"/>
      <c r="K70" s="19"/>
      <c r="L70" s="195"/>
      <c r="M70" s="195"/>
      <c r="N70" s="195"/>
      <c r="O70" s="195"/>
      <c r="P70" s="195"/>
      <c r="Q70" s="195"/>
      <c r="R70" s="195"/>
    </row>
    <row r="71" spans="2:18">
      <c r="B71" s="8"/>
      <c r="C71" s="80"/>
      <c r="D71" s="19"/>
      <c r="E71" s="19"/>
      <c r="F71" s="19"/>
      <c r="G71" s="19"/>
      <c r="H71" s="19"/>
      <c r="I71" s="19"/>
      <c r="J71" s="19"/>
      <c r="K71" s="19"/>
      <c r="L71" s="195"/>
      <c r="M71" s="195"/>
      <c r="N71" s="195"/>
      <c r="O71" s="195"/>
      <c r="P71" s="195"/>
      <c r="Q71" s="195"/>
      <c r="R71" s="195"/>
    </row>
    <row r="72" spans="2:18" ht="15.75" thickBot="1">
      <c r="B72" s="19"/>
      <c r="C72" s="79"/>
      <c r="D72" s="19"/>
      <c r="E72" s="19"/>
      <c r="F72" s="19"/>
      <c r="G72" s="19"/>
      <c r="H72" s="19"/>
      <c r="I72" s="19"/>
      <c r="J72" s="19"/>
      <c r="K72" s="19"/>
      <c r="L72" s="195"/>
      <c r="M72" s="195"/>
      <c r="N72" s="195"/>
      <c r="O72" s="195"/>
      <c r="P72" s="195"/>
      <c r="Q72" s="195"/>
      <c r="R72" s="195"/>
    </row>
    <row r="73" spans="2:18" ht="24.75" thickBot="1">
      <c r="B73" s="198" t="s">
        <v>61</v>
      </c>
      <c r="C73" s="84"/>
      <c r="D73" s="19"/>
      <c r="E73" s="19"/>
      <c r="F73" s="19"/>
      <c r="G73" s="19"/>
      <c r="H73" s="19"/>
      <c r="I73" s="19"/>
      <c r="J73" s="19"/>
      <c r="K73" s="19"/>
      <c r="L73" s="195"/>
      <c r="M73" s="195"/>
      <c r="N73" s="195"/>
      <c r="O73" s="195"/>
      <c r="P73" s="195"/>
      <c r="Q73" s="195"/>
      <c r="R73" s="195"/>
    </row>
    <row r="74" spans="2:18" ht="15.75" thickBot="1">
      <c r="B74" s="29"/>
      <c r="C74" s="77"/>
      <c r="D74" s="19"/>
      <c r="E74" s="19"/>
      <c r="F74" s="19"/>
      <c r="G74" s="19"/>
      <c r="H74" s="19"/>
      <c r="I74" s="19"/>
      <c r="J74" s="19"/>
      <c r="K74" s="19"/>
      <c r="L74" s="195"/>
      <c r="M74" s="195"/>
      <c r="N74" s="195"/>
      <c r="O74" s="195"/>
      <c r="P74" s="195"/>
      <c r="Q74" s="195"/>
      <c r="R74" s="195"/>
    </row>
    <row r="75" spans="2:18" ht="60.75" thickBot="1">
      <c r="B75" s="37" t="s">
        <v>62</v>
      </c>
      <c r="C75" s="21"/>
      <c r="D75" s="185" t="s">
        <v>1133</v>
      </c>
      <c r="E75" s="19"/>
      <c r="F75" s="19"/>
      <c r="G75" s="19"/>
      <c r="H75" s="19"/>
      <c r="I75" s="19"/>
      <c r="J75" s="19"/>
      <c r="K75" s="19"/>
      <c r="L75" s="195"/>
      <c r="M75" s="195"/>
      <c r="N75" s="195"/>
      <c r="O75" s="195"/>
      <c r="P75" s="195"/>
      <c r="Q75" s="195"/>
      <c r="R75" s="195"/>
    </row>
    <row r="76" spans="2:18">
      <c r="B76" s="1858" t="s">
        <v>64</v>
      </c>
      <c r="C76" s="81"/>
      <c r="D76" s="181" t="s">
        <v>65</v>
      </c>
      <c r="E76" s="19"/>
      <c r="F76" s="19"/>
      <c r="G76" s="19"/>
      <c r="H76" s="19"/>
      <c r="I76" s="19"/>
      <c r="J76" s="19"/>
      <c r="K76" s="19"/>
      <c r="L76" s="195"/>
      <c r="M76" s="195"/>
      <c r="N76" s="195"/>
      <c r="O76" s="195"/>
      <c r="P76" s="195"/>
      <c r="Q76" s="195"/>
      <c r="R76" s="195"/>
    </row>
    <row r="77" spans="2:18" ht="84">
      <c r="B77" s="1859"/>
      <c r="C77" s="81"/>
      <c r="D77" s="182" t="s">
        <v>1134</v>
      </c>
      <c r="E77" s="19"/>
      <c r="F77" s="19"/>
      <c r="G77" s="19"/>
      <c r="H77" s="19"/>
      <c r="I77" s="19"/>
      <c r="J77" s="19"/>
      <c r="K77" s="19"/>
      <c r="L77" s="195"/>
      <c r="M77" s="195"/>
      <c r="N77" s="195"/>
      <c r="O77" s="195"/>
      <c r="P77" s="195"/>
      <c r="Q77" s="195"/>
      <c r="R77" s="195"/>
    </row>
    <row r="78" spans="2:18">
      <c r="B78" s="1859"/>
      <c r="C78" s="81"/>
      <c r="D78" s="181" t="s">
        <v>68</v>
      </c>
      <c r="E78" s="19"/>
      <c r="F78" s="19"/>
      <c r="G78" s="19"/>
      <c r="H78" s="19"/>
      <c r="I78" s="19"/>
      <c r="J78" s="19"/>
      <c r="K78" s="19"/>
      <c r="L78" s="195"/>
      <c r="M78" s="195"/>
      <c r="N78" s="195"/>
      <c r="O78" s="195"/>
      <c r="P78" s="195"/>
      <c r="Q78" s="195"/>
      <c r="R78" s="195"/>
    </row>
    <row r="79" spans="2:18">
      <c r="B79" s="1859"/>
      <c r="C79" s="81"/>
      <c r="D79" s="182" t="s">
        <v>1135</v>
      </c>
      <c r="E79" s="19"/>
      <c r="F79" s="19"/>
      <c r="G79" s="19"/>
      <c r="H79" s="19"/>
      <c r="I79" s="19"/>
      <c r="J79" s="19"/>
      <c r="K79" s="19"/>
      <c r="L79" s="195"/>
      <c r="M79" s="195"/>
      <c r="N79" s="195"/>
      <c r="O79" s="195"/>
      <c r="P79" s="195"/>
      <c r="Q79" s="195"/>
      <c r="R79" s="195"/>
    </row>
    <row r="80" spans="2:18">
      <c r="B80" s="1859"/>
      <c r="C80" s="81"/>
      <c r="D80" s="182" t="s">
        <v>70</v>
      </c>
      <c r="E80" s="19"/>
      <c r="F80" s="19"/>
      <c r="G80" s="19"/>
      <c r="H80" s="19"/>
      <c r="I80" s="19"/>
      <c r="J80" s="19"/>
      <c r="K80" s="19"/>
      <c r="L80" s="195"/>
      <c r="M80" s="195"/>
      <c r="N80" s="195"/>
      <c r="O80" s="195"/>
      <c r="P80" s="195"/>
      <c r="Q80" s="195"/>
      <c r="R80" s="195"/>
    </row>
    <row r="81" spans="2:18">
      <c r="B81" s="1859"/>
      <c r="C81" s="81"/>
      <c r="D81" s="181" t="s">
        <v>296</v>
      </c>
      <c r="E81" s="19"/>
      <c r="F81" s="19"/>
      <c r="G81" s="19"/>
      <c r="H81" s="19"/>
      <c r="I81" s="19"/>
      <c r="J81" s="19"/>
      <c r="K81" s="19"/>
      <c r="L81" s="195"/>
      <c r="M81" s="195"/>
      <c r="N81" s="195"/>
      <c r="O81" s="195"/>
      <c r="P81" s="195"/>
      <c r="Q81" s="195"/>
      <c r="R81" s="195"/>
    </row>
    <row r="82" spans="2:18" ht="15.75" thickBot="1">
      <c r="B82" s="1860"/>
      <c r="C82" s="9"/>
      <c r="D82" s="186" t="s">
        <v>1136</v>
      </c>
      <c r="E82" s="19"/>
      <c r="F82" s="19"/>
      <c r="G82" s="19"/>
      <c r="H82" s="19"/>
      <c r="I82" s="19"/>
      <c r="J82" s="19"/>
      <c r="K82" s="19"/>
      <c r="L82" s="195"/>
      <c r="M82" s="195"/>
      <c r="N82" s="195"/>
      <c r="O82" s="195"/>
      <c r="P82" s="195"/>
      <c r="Q82" s="195"/>
      <c r="R82" s="195"/>
    </row>
    <row r="83" spans="2:18">
      <c r="B83" s="1858" t="s">
        <v>77</v>
      </c>
      <c r="C83" s="199"/>
      <c r="D83" s="1858"/>
      <c r="E83" s="19"/>
      <c r="F83" s="19"/>
      <c r="G83" s="19"/>
      <c r="H83" s="19"/>
      <c r="I83" s="19"/>
      <c r="J83" s="19"/>
      <c r="K83" s="19"/>
      <c r="L83" s="195"/>
      <c r="M83" s="195"/>
      <c r="N83" s="195"/>
      <c r="O83" s="195"/>
      <c r="P83" s="195"/>
      <c r="Q83" s="195"/>
      <c r="R83" s="195"/>
    </row>
    <row r="84" spans="2:18" ht="15.75" thickBot="1">
      <c r="B84" s="1860"/>
      <c r="C84" s="78"/>
      <c r="D84" s="1860"/>
      <c r="E84" s="19"/>
      <c r="F84" s="19"/>
      <c r="G84" s="19"/>
      <c r="H84" s="19"/>
      <c r="I84" s="19"/>
      <c r="J84" s="19"/>
      <c r="K84" s="19"/>
      <c r="L84" s="195"/>
      <c r="M84" s="195"/>
      <c r="N84" s="195"/>
      <c r="O84" s="195"/>
      <c r="P84" s="195"/>
      <c r="Q84" s="195"/>
      <c r="R84" s="195"/>
    </row>
    <row r="85" spans="2:18" ht="96">
      <c r="B85" s="1858" t="s">
        <v>78</v>
      </c>
      <c r="C85" s="81"/>
      <c r="D85" s="182" t="s">
        <v>1137</v>
      </c>
      <c r="E85" s="19"/>
      <c r="F85" s="19"/>
      <c r="G85" s="19"/>
      <c r="H85" s="19"/>
      <c r="I85" s="19"/>
      <c r="J85" s="19"/>
      <c r="K85" s="19"/>
      <c r="L85" s="195"/>
      <c r="M85" s="195"/>
      <c r="N85" s="195"/>
      <c r="O85" s="195"/>
      <c r="P85" s="195"/>
      <c r="Q85" s="195"/>
      <c r="R85" s="195"/>
    </row>
    <row r="86" spans="2:18" ht="204">
      <c r="B86" s="1859"/>
      <c r="C86" s="81"/>
      <c r="D86" s="182" t="s">
        <v>1138</v>
      </c>
      <c r="E86" s="19"/>
      <c r="F86" s="19"/>
      <c r="G86" s="19"/>
      <c r="H86" s="19"/>
      <c r="I86" s="19"/>
      <c r="J86" s="19"/>
      <c r="K86" s="19"/>
      <c r="L86" s="195"/>
      <c r="M86" s="195"/>
      <c r="N86" s="195"/>
      <c r="O86" s="195"/>
      <c r="P86" s="195"/>
      <c r="Q86" s="195"/>
      <c r="R86" s="195"/>
    </row>
    <row r="87" spans="2:18" ht="228">
      <c r="B87" s="1859"/>
      <c r="C87" s="81"/>
      <c r="D87" s="182" t="s">
        <v>1139</v>
      </c>
      <c r="E87" s="19"/>
      <c r="F87" s="19"/>
      <c r="G87" s="19"/>
      <c r="H87" s="19"/>
      <c r="I87" s="19"/>
      <c r="J87" s="19"/>
      <c r="K87" s="19"/>
    </row>
    <row r="88" spans="2:18" ht="96">
      <c r="B88" s="1859"/>
      <c r="C88" s="81"/>
      <c r="D88" s="182" t="s">
        <v>1140</v>
      </c>
      <c r="E88" s="19"/>
      <c r="F88" s="19"/>
      <c r="G88" s="19"/>
      <c r="H88" s="19"/>
      <c r="I88" s="19"/>
      <c r="J88" s="19"/>
      <c r="K88" s="19"/>
    </row>
    <row r="89" spans="2:18" ht="36">
      <c r="B89" s="1859"/>
      <c r="C89" s="81"/>
      <c r="D89" s="182" t="s">
        <v>1141</v>
      </c>
      <c r="E89" s="19"/>
      <c r="F89" s="19"/>
      <c r="G89" s="19"/>
      <c r="H89" s="19"/>
      <c r="I89" s="19"/>
      <c r="J89" s="19"/>
      <c r="K89" s="19"/>
    </row>
    <row r="90" spans="2:18" ht="36">
      <c r="B90" s="1859"/>
      <c r="C90" s="81"/>
      <c r="D90" s="182" t="s">
        <v>1142</v>
      </c>
      <c r="E90" s="19"/>
      <c r="F90" s="19"/>
      <c r="G90" s="19"/>
      <c r="H90" s="19"/>
      <c r="I90" s="19"/>
      <c r="J90" s="19"/>
      <c r="K90" s="19"/>
    </row>
    <row r="91" spans="2:18" ht="36">
      <c r="B91" s="1859"/>
      <c r="C91" s="81"/>
      <c r="D91" s="182" t="s">
        <v>1143</v>
      </c>
      <c r="E91" s="19"/>
      <c r="F91" s="19"/>
      <c r="G91" s="19"/>
      <c r="H91" s="19"/>
      <c r="I91" s="19"/>
      <c r="J91" s="19"/>
      <c r="K91" s="19"/>
    </row>
    <row r="92" spans="2:18" ht="24">
      <c r="B92" s="1859"/>
      <c r="C92" s="81"/>
      <c r="D92" s="182" t="s">
        <v>1144</v>
      </c>
      <c r="E92" s="19"/>
      <c r="F92" s="19"/>
      <c r="G92" s="19"/>
      <c r="H92" s="19"/>
      <c r="I92" s="19"/>
      <c r="J92" s="19"/>
      <c r="K92" s="19"/>
    </row>
    <row r="93" spans="2:18" ht="36">
      <c r="B93" s="1859"/>
      <c r="C93" s="81"/>
      <c r="D93" s="182" t="s">
        <v>1145</v>
      </c>
      <c r="E93" s="19"/>
      <c r="F93" s="19"/>
      <c r="G93" s="19"/>
      <c r="H93" s="19"/>
      <c r="I93" s="19"/>
      <c r="J93" s="19"/>
      <c r="K93" s="19"/>
    </row>
    <row r="94" spans="2:18" ht="36">
      <c r="B94" s="1859"/>
      <c r="C94" s="81"/>
      <c r="D94" s="182" t="s">
        <v>1146</v>
      </c>
      <c r="E94" s="19"/>
      <c r="F94" s="19"/>
      <c r="G94" s="19"/>
      <c r="H94" s="19"/>
      <c r="I94" s="19"/>
      <c r="J94" s="19"/>
      <c r="K94" s="19"/>
    </row>
    <row r="95" spans="2:18" ht="72.75" thickBot="1">
      <c r="B95" s="1860"/>
      <c r="C95" s="9"/>
      <c r="D95" s="186" t="s">
        <v>1147</v>
      </c>
      <c r="E95" s="19"/>
      <c r="F95" s="19"/>
      <c r="G95" s="19"/>
      <c r="H95" s="19"/>
      <c r="I95" s="19"/>
      <c r="J95" s="19"/>
      <c r="K95" s="19"/>
    </row>
    <row r="96" spans="2:18" ht="24">
      <c r="B96" s="1858" t="s">
        <v>95</v>
      </c>
      <c r="C96" s="81"/>
      <c r="D96" s="181" t="s">
        <v>1148</v>
      </c>
      <c r="E96" s="19"/>
      <c r="F96" s="19"/>
      <c r="G96" s="19"/>
      <c r="H96" s="19"/>
      <c r="I96" s="19"/>
      <c r="J96" s="19"/>
      <c r="K96" s="19"/>
    </row>
    <row r="97" spans="2:11">
      <c r="B97" s="1859"/>
      <c r="C97" s="81"/>
      <c r="D97" s="183"/>
      <c r="E97" s="19"/>
      <c r="F97" s="19"/>
      <c r="G97" s="19"/>
      <c r="H97" s="19"/>
      <c r="I97" s="19"/>
      <c r="J97" s="19"/>
      <c r="K97" s="19"/>
    </row>
    <row r="98" spans="2:11">
      <c r="B98" s="1859"/>
      <c r="C98" s="81"/>
      <c r="D98" s="182" t="s">
        <v>96</v>
      </c>
      <c r="E98" s="19"/>
      <c r="F98" s="19"/>
      <c r="G98" s="19"/>
      <c r="H98" s="19"/>
      <c r="I98" s="19"/>
      <c r="J98" s="19"/>
      <c r="K98" s="19"/>
    </row>
    <row r="99" spans="2:11" ht="25.5">
      <c r="B99" s="1859"/>
      <c r="C99" s="81"/>
      <c r="D99" s="182" t="s">
        <v>1149</v>
      </c>
      <c r="E99" s="19"/>
      <c r="F99" s="19"/>
      <c r="G99" s="19"/>
      <c r="H99" s="19"/>
      <c r="I99" s="19"/>
      <c r="J99" s="19"/>
      <c r="K99" s="19"/>
    </row>
    <row r="100" spans="2:11" ht="37.5">
      <c r="B100" s="1859"/>
      <c r="C100" s="81"/>
      <c r="D100" s="182" t="s">
        <v>1150</v>
      </c>
      <c r="E100" s="19"/>
      <c r="F100" s="19"/>
      <c r="G100" s="19"/>
      <c r="H100" s="19"/>
      <c r="I100" s="19"/>
      <c r="J100" s="19"/>
      <c r="K100" s="19"/>
    </row>
    <row r="101" spans="2:11" ht="37.5">
      <c r="B101" s="1859"/>
      <c r="C101" s="81"/>
      <c r="D101" s="182" t="s">
        <v>1151</v>
      </c>
      <c r="E101" s="19"/>
      <c r="F101" s="19"/>
      <c r="G101" s="19"/>
      <c r="H101" s="19"/>
      <c r="I101" s="19"/>
      <c r="J101" s="19"/>
      <c r="K101" s="19"/>
    </row>
    <row r="102" spans="2:11" ht="37.5">
      <c r="B102" s="1859"/>
      <c r="C102" s="81"/>
      <c r="D102" s="182" t="s">
        <v>1152</v>
      </c>
      <c r="E102" s="19"/>
      <c r="F102" s="19"/>
      <c r="G102" s="19"/>
      <c r="H102" s="19"/>
      <c r="I102" s="19"/>
      <c r="J102" s="19"/>
      <c r="K102" s="19"/>
    </row>
    <row r="103" spans="2:11">
      <c r="B103" s="1859"/>
      <c r="C103" s="81"/>
      <c r="D103" s="182" t="s">
        <v>1153</v>
      </c>
      <c r="E103" s="19"/>
      <c r="F103" s="19"/>
      <c r="G103" s="19"/>
      <c r="H103" s="19"/>
      <c r="I103" s="19"/>
      <c r="J103" s="19"/>
      <c r="K103" s="19"/>
    </row>
    <row r="104" spans="2:11">
      <c r="B104" s="1859"/>
      <c r="C104" s="81"/>
      <c r="D104" s="182" t="s">
        <v>1154</v>
      </c>
      <c r="E104" s="19"/>
      <c r="F104" s="19"/>
      <c r="G104" s="19"/>
      <c r="H104" s="19"/>
      <c r="I104" s="19"/>
      <c r="J104" s="19"/>
      <c r="K104" s="19"/>
    </row>
    <row r="105" spans="2:11">
      <c r="B105" s="1859"/>
      <c r="C105" s="81"/>
      <c r="D105" s="182" t="s">
        <v>1155</v>
      </c>
      <c r="E105" s="19"/>
      <c r="F105" s="19"/>
      <c r="G105" s="19"/>
      <c r="H105" s="19"/>
      <c r="I105" s="19"/>
      <c r="J105" s="19"/>
      <c r="K105" s="19"/>
    </row>
    <row r="106" spans="2:11">
      <c r="B106" s="1859"/>
      <c r="C106" s="81"/>
      <c r="D106" s="182" t="s">
        <v>835</v>
      </c>
      <c r="E106" s="19"/>
      <c r="F106" s="19"/>
      <c r="G106" s="19"/>
      <c r="H106" s="19"/>
      <c r="I106" s="19"/>
      <c r="J106" s="19"/>
      <c r="K106" s="19"/>
    </row>
    <row r="107" spans="2:11" ht="84">
      <c r="B107" s="1859"/>
      <c r="C107" s="81"/>
      <c r="D107" s="200" t="s">
        <v>243</v>
      </c>
      <c r="E107" s="19"/>
      <c r="F107" s="19"/>
      <c r="G107" s="19"/>
      <c r="H107" s="19"/>
      <c r="I107" s="19"/>
      <c r="J107" s="19"/>
      <c r="K107" s="19"/>
    </row>
    <row r="108" spans="2:11">
      <c r="B108" s="1859"/>
      <c r="C108" s="81"/>
      <c r="D108" s="182" t="s">
        <v>254</v>
      </c>
      <c r="E108" s="19"/>
      <c r="F108" s="19"/>
      <c r="G108" s="19"/>
      <c r="H108" s="19"/>
      <c r="I108" s="19"/>
      <c r="J108" s="19"/>
      <c r="K108" s="19"/>
    </row>
    <row r="109" spans="2:11" ht="24">
      <c r="B109" s="1859"/>
      <c r="C109" s="81"/>
      <c r="D109" s="181" t="s">
        <v>1156</v>
      </c>
      <c r="E109" s="19"/>
      <c r="F109" s="19"/>
      <c r="G109" s="19"/>
      <c r="H109" s="19"/>
      <c r="I109" s="19"/>
      <c r="J109" s="19"/>
      <c r="K109" s="19"/>
    </row>
    <row r="110" spans="2:11">
      <c r="B110" s="1859"/>
      <c r="C110" s="81"/>
      <c r="D110" s="183"/>
      <c r="E110" s="19"/>
      <c r="F110" s="19"/>
      <c r="G110" s="19"/>
      <c r="H110" s="19"/>
      <c r="I110" s="19"/>
      <c r="J110" s="19"/>
      <c r="K110" s="19"/>
    </row>
    <row r="111" spans="2:11">
      <c r="B111" s="1859"/>
      <c r="C111" s="81"/>
      <c r="D111" s="182" t="s">
        <v>96</v>
      </c>
      <c r="E111" s="19"/>
      <c r="F111" s="19"/>
      <c r="G111" s="19"/>
      <c r="H111" s="19"/>
      <c r="I111" s="19"/>
      <c r="J111" s="19"/>
      <c r="K111" s="19"/>
    </row>
    <row r="112" spans="2:11" ht="37.5">
      <c r="B112" s="1859"/>
      <c r="C112" s="81"/>
      <c r="D112" s="182" t="s">
        <v>1157</v>
      </c>
      <c r="E112" s="19"/>
      <c r="F112" s="19"/>
      <c r="G112" s="19"/>
      <c r="H112" s="19"/>
      <c r="I112" s="19"/>
      <c r="J112" s="19"/>
      <c r="K112" s="19"/>
    </row>
    <row r="113" spans="2:11" ht="37.5">
      <c r="B113" s="1859"/>
      <c r="C113" s="81"/>
      <c r="D113" s="182" t="s">
        <v>1158</v>
      </c>
      <c r="E113" s="19"/>
      <c r="F113" s="19"/>
      <c r="G113" s="19"/>
      <c r="H113" s="19"/>
      <c r="I113" s="19"/>
      <c r="J113" s="19"/>
      <c r="K113" s="19"/>
    </row>
    <row r="114" spans="2:11" ht="38.25" thickBot="1">
      <c r="B114" s="1860"/>
      <c r="C114" s="9"/>
      <c r="D114" s="186" t="s">
        <v>1159</v>
      </c>
      <c r="E114" s="19"/>
      <c r="F114" s="19"/>
      <c r="G114" s="19"/>
      <c r="H114" s="19"/>
      <c r="I114" s="19"/>
      <c r="J114" s="19"/>
      <c r="K114" s="19"/>
    </row>
    <row r="115" spans="2:11">
      <c r="B115" s="19"/>
      <c r="C115" s="79"/>
      <c r="D115" s="19"/>
      <c r="E115" s="19"/>
      <c r="F115" s="19"/>
      <c r="G115" s="19"/>
      <c r="H115" s="19"/>
      <c r="I115" s="19"/>
      <c r="J115" s="19"/>
      <c r="K115" s="19"/>
    </row>
    <row r="116" spans="2:11" s="195" customFormat="1">
      <c r="C116" s="79"/>
    </row>
    <row r="117" spans="2:11" s="195" customFormat="1">
      <c r="C117" s="79"/>
    </row>
    <row r="118" spans="2:11" s="195" customFormat="1">
      <c r="C118" s="79"/>
    </row>
    <row r="119" spans="2:11" s="195" customFormat="1">
      <c r="C119" s="79"/>
    </row>
    <row r="120" spans="2:11" s="195" customFormat="1">
      <c r="C120" s="79"/>
    </row>
    <row r="121" spans="2:11" s="195" customFormat="1">
      <c r="C121" s="79"/>
    </row>
    <row r="122" spans="2:11" s="195" customFormat="1">
      <c r="C122" s="79"/>
    </row>
    <row r="123" spans="2:11" s="195" customFormat="1">
      <c r="C123" s="79"/>
    </row>
    <row r="124" spans="2:11" s="195" customFormat="1">
      <c r="C124" s="79"/>
    </row>
  </sheetData>
  <sheetProtection sheet="1" objects="1" scenarios="1" formatCells="0" formatRows="0" insertColumns="0" insertRows="0" deleteColumns="0" deleteRows="0"/>
  <mergeCells count="38">
    <mergeCell ref="A1:P1"/>
    <mergeCell ref="A2:P2"/>
    <mergeCell ref="A3:P3"/>
    <mergeCell ref="A4:D4"/>
    <mergeCell ref="A5:P5"/>
    <mergeCell ref="B10:D10"/>
    <mergeCell ref="F10:S10"/>
    <mergeCell ref="F11:S11"/>
    <mergeCell ref="E12:R12"/>
    <mergeCell ref="E13:R13"/>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76:B82"/>
    <mergeCell ref="B83:B84"/>
    <mergeCell ref="D83:D84"/>
    <mergeCell ref="C33:C35"/>
    <mergeCell ref="D33:D35"/>
    <mergeCell ref="B56:B62"/>
    <mergeCell ref="B55:E55"/>
    <mergeCell ref="D21:K21"/>
    <mergeCell ref="D22:D23"/>
    <mergeCell ref="E22:F22"/>
    <mergeCell ref="G22:J22"/>
    <mergeCell ref="C22:C23"/>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G24:J29 F18:H19 E1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98" zoomScaleNormal="98" workbookViewId="0">
      <selection activeCell="C7" sqref="C7"/>
    </sheetView>
  </sheetViews>
  <sheetFormatPr baseColWidth="10" defaultRowHeight="15"/>
  <cols>
    <col min="1" max="1" width="8.140625" bestFit="1" customWidth="1"/>
    <col min="2" max="2" width="12.85546875" bestFit="1" customWidth="1"/>
    <col min="3" max="3" width="68.85546875" customWidth="1"/>
  </cols>
  <sheetData>
    <row r="1" spans="1:4">
      <c r="A1" s="512" t="s">
        <v>1204</v>
      </c>
    </row>
    <row r="3" spans="1:4">
      <c r="B3" s="179" t="s">
        <v>1202</v>
      </c>
    </row>
    <row r="5" spans="1:4">
      <c r="B5" s="177"/>
      <c r="C5" s="178"/>
      <c r="D5" s="176"/>
    </row>
    <row r="6" spans="1:4">
      <c r="A6" s="162" t="s">
        <v>1200</v>
      </c>
      <c r="B6" s="162" t="s">
        <v>1201</v>
      </c>
      <c r="C6" s="162" t="s">
        <v>1199</v>
      </c>
    </row>
    <row r="7" spans="1:4">
      <c r="A7" s="510"/>
      <c r="B7" s="510"/>
      <c r="C7" s="511"/>
    </row>
    <row r="8" spans="1:4">
      <c r="A8" s="510"/>
      <c r="B8" s="510"/>
      <c r="C8" s="511"/>
    </row>
    <row r="9" spans="1:4">
      <c r="A9" s="510"/>
      <c r="B9" s="510"/>
      <c r="C9" s="511"/>
    </row>
    <row r="10" spans="1:4">
      <c r="A10" s="510"/>
      <c r="B10" s="510"/>
      <c r="C10" s="511"/>
    </row>
    <row r="11" spans="1:4">
      <c r="A11" s="510"/>
      <c r="B11" s="510"/>
      <c r="C11" s="511"/>
    </row>
    <row r="12" spans="1:4">
      <c r="A12" s="510"/>
      <c r="B12" s="510"/>
      <c r="C12" s="511"/>
    </row>
    <row r="13" spans="1:4">
      <c r="A13" s="510"/>
      <c r="B13" s="510"/>
      <c r="C13" s="511"/>
    </row>
    <row r="14" spans="1:4">
      <c r="A14" s="510"/>
      <c r="B14" s="510"/>
      <c r="C14" s="511"/>
    </row>
    <row r="15" spans="1:4">
      <c r="A15" s="510"/>
      <c r="B15" s="510"/>
      <c r="C15" s="511"/>
    </row>
    <row r="16" spans="1:4">
      <c r="A16" s="510"/>
      <c r="B16" s="510"/>
      <c r="C16" s="511"/>
    </row>
    <row r="17" spans="1:3">
      <c r="A17" s="510"/>
      <c r="B17" s="510"/>
      <c r="C17" s="511"/>
    </row>
    <row r="18" spans="1:3">
      <c r="A18" s="510"/>
      <c r="B18" s="510"/>
      <c r="C18" s="511"/>
    </row>
    <row r="19" spans="1:3">
      <c r="A19" s="510"/>
      <c r="B19" s="510"/>
      <c r="C19" s="511"/>
    </row>
    <row r="20" spans="1:3">
      <c r="A20" s="510"/>
      <c r="B20" s="510"/>
      <c r="C20" s="511"/>
    </row>
    <row r="21" spans="1:3">
      <c r="A21" s="510"/>
      <c r="B21" s="510"/>
      <c r="C21" s="511"/>
    </row>
    <row r="22" spans="1:3">
      <c r="A22" s="510"/>
      <c r="B22" s="510"/>
      <c r="C22" s="511"/>
    </row>
    <row r="23" spans="1:3">
      <c r="A23" s="510"/>
      <c r="B23" s="510"/>
      <c r="C23" s="511"/>
    </row>
    <row r="24" spans="1:3">
      <c r="A24" s="510"/>
      <c r="B24" s="510"/>
      <c r="C24" s="511"/>
    </row>
    <row r="25" spans="1:3">
      <c r="A25" s="510"/>
      <c r="B25" s="510"/>
      <c r="C25" s="511"/>
    </row>
    <row r="26" spans="1:3">
      <c r="A26" s="510"/>
      <c r="B26" s="510"/>
      <c r="C26" s="511"/>
    </row>
    <row r="27" spans="1:3">
      <c r="A27" s="510"/>
      <c r="B27" s="510"/>
      <c r="C27" s="511"/>
    </row>
    <row r="28" spans="1:3">
      <c r="A28" s="510"/>
      <c r="B28" s="510"/>
      <c r="C28" s="511"/>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3" sqref="B3"/>
    </sheetView>
  </sheetViews>
  <sheetFormatPr baseColWidth="10" defaultRowHeight="15"/>
  <cols>
    <col min="1" max="1" width="3.42578125" bestFit="1" customWidth="1"/>
    <col min="2" max="2" width="42.85546875" customWidth="1"/>
    <col min="3" max="3" width="1" customWidth="1"/>
    <col min="6" max="6" width="11.140625" customWidth="1"/>
    <col min="9" max="9" width="11.5703125" style="403"/>
  </cols>
  <sheetData>
    <row r="1" spans="1:9">
      <c r="A1" s="483" t="s">
        <v>1204</v>
      </c>
    </row>
    <row r="2" spans="1:9">
      <c r="B2" t="s">
        <v>1206</v>
      </c>
    </row>
    <row r="3" spans="1:9">
      <c r="C3" t="s">
        <v>898</v>
      </c>
    </row>
    <row r="5" spans="1:9">
      <c r="A5" s="202" t="s">
        <v>1166</v>
      </c>
      <c r="B5" s="202" t="s">
        <v>1167</v>
      </c>
      <c r="C5" s="403" t="s">
        <v>898</v>
      </c>
      <c r="D5" s="442">
        <f>IF(SUM('1POMCAS'!E97:E99)=1,SUM('1POMCAS'!E97:E99),"ERROR: LA SUMA DE LA COLUMNA DEBE SER 100%")</f>
        <v>1</v>
      </c>
      <c r="E5" s="443">
        <f ca="1">IF(+'1POMCAS'!G97*'1POMCAS'!$E97+'1POMCAS'!G98*'1POMCAS'!$E98+'1POMCAS'!G99*'1POMCAS'!$E99=0,"N.A.",'1POMCAS'!G97*'1POMCAS'!$E97+'1POMCAS'!G98*'1POMCAS'!$E98+'1POMCAS'!G99*'1POMCAS'!$E99)</f>
        <v>0.42</v>
      </c>
      <c r="F5" s="443">
        <f ca="1">IF(+'1POMCAS'!H97*'1POMCAS'!$E97+'1POMCAS'!H98*'1POMCAS'!$E98+'1POMCAS'!H99*'1POMCAS'!$E99=0,"N.A.",'1POMCAS'!H97*'1POMCAS'!$E97+'1POMCAS'!H98*'1POMCAS'!$E98+'1POMCAS'!H99*'1POMCAS'!$E99)</f>
        <v>0.25</v>
      </c>
      <c r="G5" s="443">
        <f ca="1">IF(+'1POMCAS'!I97*'1POMCAS'!$E97+'1POMCAS'!I98*'1POMCAS'!$E98+'1POMCAS'!I99*'1POMCAS'!$E99=0,"N.A.",'1POMCAS'!I97*'1POMCAS'!$E97+'1POMCAS'!I98*'1POMCAS'!$E98+'1POMCAS'!I99*'1POMCAS'!$E99)</f>
        <v>0.31</v>
      </c>
      <c r="H5" s="443" t="str">
        <f ca="1">IF(+'1POMCAS'!J97*'1POMCAS'!$E97+'1POMCAS'!J98*'1POMCAS'!$E98+'1POMCAS'!J99*'1POMCAS'!$E99=0,"N.A.",'1POMCAS'!J97*'1POMCAS'!$E97+'1POMCAS'!J98*'1POMCAS'!$E98+'1POMCAS'!J99*'1POMCAS'!$E99)</f>
        <v>N.A.</v>
      </c>
      <c r="I5" s="443"/>
    </row>
    <row r="6" spans="1:9">
      <c r="A6" s="202" t="s">
        <v>1168</v>
      </c>
      <c r="B6" s="202" t="s">
        <v>136</v>
      </c>
      <c r="C6" s="403" t="s">
        <v>898</v>
      </c>
      <c r="D6" s="444"/>
      <c r="E6" s="444"/>
      <c r="F6" s="444"/>
      <c r="G6" s="444"/>
      <c r="H6" s="444"/>
      <c r="I6" s="444"/>
    </row>
    <row r="7" spans="1:9">
      <c r="A7" s="202" t="s">
        <v>1169</v>
      </c>
      <c r="B7" s="202" t="s">
        <v>168</v>
      </c>
      <c r="C7" s="403" t="s">
        <v>898</v>
      </c>
      <c r="D7" s="444"/>
      <c r="E7" s="444"/>
      <c r="F7" s="444"/>
      <c r="G7" s="444"/>
      <c r="H7" s="444"/>
      <c r="I7" s="444"/>
    </row>
    <row r="8" spans="1:9">
      <c r="A8" s="202" t="s">
        <v>1170</v>
      </c>
      <c r="B8" s="202" t="s">
        <v>189</v>
      </c>
      <c r="C8" s="403" t="s">
        <v>898</v>
      </c>
      <c r="D8" s="444"/>
      <c r="E8" s="444"/>
      <c r="F8" s="444"/>
      <c r="G8" s="444"/>
      <c r="H8" s="444"/>
      <c r="I8" s="444"/>
    </row>
    <row r="9" spans="1:9">
      <c r="A9" s="202" t="s">
        <v>1171</v>
      </c>
      <c r="B9" s="202" t="s">
        <v>207</v>
      </c>
      <c r="C9" s="403" t="s">
        <v>898</v>
      </c>
      <c r="D9" s="444"/>
      <c r="E9" s="444"/>
      <c r="F9" s="444"/>
      <c r="G9" s="444"/>
      <c r="H9" s="444"/>
      <c r="I9" s="444"/>
    </row>
    <row r="10" spans="1:9">
      <c r="A10" s="202" t="s">
        <v>1172</v>
      </c>
      <c r="B10" s="202" t="s">
        <v>228</v>
      </c>
      <c r="C10" s="403" t="s">
        <v>898</v>
      </c>
      <c r="D10" s="444"/>
      <c r="E10" s="444"/>
      <c r="F10" s="444"/>
      <c r="G10" s="444"/>
      <c r="H10" s="444"/>
      <c r="I10" s="444"/>
    </row>
    <row r="11" spans="1:9">
      <c r="A11" s="202" t="s">
        <v>1173</v>
      </c>
      <c r="B11" s="202" t="s">
        <v>288</v>
      </c>
      <c r="C11" s="403" t="s">
        <v>898</v>
      </c>
      <c r="D11" s="444"/>
      <c r="E11" s="444"/>
      <c r="F11" s="444"/>
      <c r="G11" s="444"/>
      <c r="H11" s="444"/>
      <c r="I11" s="444"/>
    </row>
    <row r="12" spans="1:9">
      <c r="A12" s="202" t="s">
        <v>1174</v>
      </c>
      <c r="B12" s="202" t="s">
        <v>322</v>
      </c>
      <c r="C12" s="403" t="s">
        <v>898</v>
      </c>
      <c r="D12" s="444"/>
      <c r="E12" s="444"/>
      <c r="F12" s="444"/>
      <c r="G12" s="444"/>
      <c r="H12" s="444"/>
      <c r="I12" s="444"/>
    </row>
    <row r="13" spans="1:9">
      <c r="A13" s="202" t="s">
        <v>1175</v>
      </c>
      <c r="B13" s="202" t="s">
        <v>356</v>
      </c>
      <c r="C13" s="403" t="s">
        <v>898</v>
      </c>
      <c r="D13" s="444"/>
      <c r="E13" s="444"/>
      <c r="F13" s="444"/>
      <c r="G13" s="444"/>
      <c r="H13" s="444"/>
      <c r="I13" s="444"/>
    </row>
    <row r="14" spans="1:9">
      <c r="A14" s="202" t="s">
        <v>1176</v>
      </c>
      <c r="B14" s="202" t="s">
        <v>403</v>
      </c>
      <c r="C14" s="403" t="s">
        <v>898</v>
      </c>
      <c r="D14" s="445"/>
      <c r="E14" s="445"/>
      <c r="F14" s="445"/>
      <c r="G14" s="445"/>
      <c r="H14" s="445"/>
      <c r="I14" s="445"/>
    </row>
    <row r="15" spans="1:9">
      <c r="A15" s="202" t="s">
        <v>1177</v>
      </c>
      <c r="B15" s="202" t="s">
        <v>426</v>
      </c>
      <c r="C15" s="403" t="s">
        <v>898</v>
      </c>
      <c r="D15" s="446" t="str">
        <f>IF(SUM('11Forest'!E26:E29)='11Forest'!E20,SUM('11Forest'!E26:E29),"ERROR: LA SUMA DE LA COLUMNA DEBE SER IGUAL A LA META ANUAL")</f>
        <v>ERROR: LA SUMA DE LA COLUMNA DEBE SER IGUAL A LA META ANUAL</v>
      </c>
      <c r="E15" s="446" t="str">
        <f>IF(SUM('11Forest'!F26:F29)='11Forest'!E20,SUM('11Forest'!F26:F29),"ERROR: LA SUMA DE LA COLUMNA DEBE SER IGUAL A LA META ANUAL")</f>
        <v>ERROR: LA SUMA DE LA COLUMNA DEBE SER IGUAL A LA META ANUAL</v>
      </c>
      <c r="F15" s="446" t="str">
        <f>IF(SUM('11Forest'!G26:G29)='11Forest'!E20,SUM('11Forest'!G26:G29),"ERROR: LA SUMA DE LA COLUMNA DEBE SER IGUAL A LA META ANUAL")</f>
        <v>ERROR: LA SUMA DE LA COLUMNA DEBE SER IGUAL A LA META ANUAL</v>
      </c>
      <c r="G15" s="446" t="str">
        <f>IF(SUM('11Forest'!H26:H29)='11Forest'!E20,SUM('11Forest'!H26:H29),"ERROR: LA SUMA DE LA COLUMNA DEBE SER IGUAL A LA META ANUAL")</f>
        <v>ERROR: LA SUMA DE LA COLUMNA DEBE SER IGUAL A LA META ANUAL</v>
      </c>
      <c r="H15" s="446"/>
      <c r="I15" s="446" t="str">
        <f>IF(SUM('11Forest'!E25:H25)='11Forest'!E20,SUM('11Forest'!E25:H25),"ERROR: LA SUMA DE LA COLUMNA DEBE SER IGUAL A LA META ANUAL")</f>
        <v>ERROR: LA SUMA DE LA COLUMNA DEBE SER IGUAL A LA META ANUAL</v>
      </c>
    </row>
    <row r="16" spans="1:9">
      <c r="A16" s="202" t="s">
        <v>1178</v>
      </c>
      <c r="B16" s="202" t="s">
        <v>458</v>
      </c>
      <c r="C16" s="403" t="s">
        <v>898</v>
      </c>
      <c r="D16" s="447"/>
      <c r="E16" s="447"/>
      <c r="F16" s="447"/>
      <c r="G16" s="447"/>
      <c r="H16" s="447"/>
      <c r="I16" s="447"/>
    </row>
    <row r="17" spans="1:9">
      <c r="A17" s="202" t="s">
        <v>1179</v>
      </c>
      <c r="B17" s="202" t="s">
        <v>488</v>
      </c>
      <c r="C17" s="403" t="s">
        <v>898</v>
      </c>
      <c r="D17" s="444"/>
      <c r="E17" s="444"/>
      <c r="F17" s="444"/>
      <c r="G17" s="444"/>
      <c r="H17" s="444"/>
      <c r="I17" s="444"/>
    </row>
    <row r="18" spans="1:9">
      <c r="A18" s="202" t="s">
        <v>1180</v>
      </c>
      <c r="B18" s="202" t="s">
        <v>534</v>
      </c>
      <c r="C18" s="403" t="s">
        <v>898</v>
      </c>
      <c r="D18" s="444"/>
      <c r="E18" s="444"/>
      <c r="F18" s="444"/>
      <c r="G18" s="444"/>
      <c r="H18" s="444"/>
      <c r="I18" s="444"/>
    </row>
    <row r="19" spans="1:9">
      <c r="A19" s="202" t="s">
        <v>1181</v>
      </c>
      <c r="B19" s="202" t="s">
        <v>565</v>
      </c>
      <c r="C19" s="403" t="s">
        <v>898</v>
      </c>
      <c r="D19" s="444"/>
      <c r="E19" s="444"/>
      <c r="F19" s="444"/>
      <c r="G19" s="444"/>
      <c r="H19" s="444"/>
      <c r="I19" s="444"/>
    </row>
    <row r="20" spans="1:9">
      <c r="A20" s="202" t="s">
        <v>1182</v>
      </c>
      <c r="B20" s="202" t="s">
        <v>593</v>
      </c>
      <c r="C20" s="403" t="s">
        <v>898</v>
      </c>
      <c r="D20" s="442">
        <f>IF(SUM('16MIZC'!H23:H35)=1,SUM('16MIZC'!H23:H35),"ERROR: LA SUMA DE LA COLUMNA DEBE SER 100%")</f>
        <v>1</v>
      </c>
      <c r="E20" s="448">
        <f>SUM('16MIZC'!I23:I35)</f>
        <v>0.48</v>
      </c>
      <c r="F20" s="444"/>
      <c r="G20" s="444"/>
      <c r="H20" s="444"/>
      <c r="I20" s="444"/>
    </row>
    <row r="21" spans="1:9">
      <c r="A21" s="202" t="s">
        <v>1183</v>
      </c>
      <c r="B21" s="202" t="s">
        <v>642</v>
      </c>
      <c r="C21" s="403" t="s">
        <v>898</v>
      </c>
      <c r="D21" s="444"/>
      <c r="E21" s="444"/>
      <c r="F21" s="444"/>
      <c r="G21" s="444"/>
      <c r="H21" s="444"/>
      <c r="I21" s="444"/>
    </row>
    <row r="22" spans="1:9">
      <c r="A22" s="202" t="s">
        <v>1184</v>
      </c>
      <c r="B22" s="202" t="s">
        <v>663</v>
      </c>
      <c r="C22" s="403" t="s">
        <v>898</v>
      </c>
      <c r="D22" s="442">
        <f>IF(SUM('18Sector'!D39:D48)=1,SUM('18Sector'!D39:D48),"ERROR: LA SUMA DE LA COLUMNA DEBE SER 100%")</f>
        <v>1</v>
      </c>
      <c r="E22" s="444"/>
      <c r="F22" s="444"/>
      <c r="G22" s="444"/>
      <c r="H22" s="444"/>
      <c r="I22" s="444"/>
    </row>
    <row r="23" spans="1:9">
      <c r="A23" s="202" t="s">
        <v>1185</v>
      </c>
      <c r="B23" s="202" t="s">
        <v>716</v>
      </c>
      <c r="C23" s="403" t="s">
        <v>898</v>
      </c>
      <c r="D23" s="442">
        <f>IF(SUM('19GAU'!H23:H34)=1,SUM('19GAU'!H23:H34),"ERROR: LA SUMA DE LA COLUMNA DEBE SER 100%")</f>
        <v>1</v>
      </c>
      <c r="E23" s="448">
        <f>SUM('19GAU'!I22:I34)</f>
        <v>0.52</v>
      </c>
      <c r="F23" s="444"/>
      <c r="G23" s="444"/>
      <c r="H23" s="444"/>
      <c r="I23" s="444"/>
    </row>
    <row r="24" spans="1:9">
      <c r="A24" s="202" t="s">
        <v>1186</v>
      </c>
      <c r="B24" s="202" t="s">
        <v>789</v>
      </c>
      <c r="C24" s="403" t="s">
        <v>898</v>
      </c>
      <c r="D24" s="442">
        <f>IF(SUM('20Negoc'!D36:D41)=1,SUM('20Negoc'!D36:D41),"ERROR: LA SUMA DE LA COLUMNA DEBE SER 100%")</f>
        <v>1</v>
      </c>
      <c r="E24" s="449">
        <f>+'20Negoc'!J30/'20Negoc'!I30</f>
        <v>0.18</v>
      </c>
      <c r="F24" s="449">
        <f>+'20Negoc'!K30/'20Negoc'!J30</f>
        <v>1</v>
      </c>
      <c r="G24" s="444"/>
      <c r="H24" s="444"/>
      <c r="I24" s="444"/>
    </row>
    <row r="25" spans="1:9">
      <c r="A25" s="202" t="s">
        <v>1187</v>
      </c>
      <c r="B25" s="202" t="s">
        <v>854</v>
      </c>
      <c r="C25" s="403" t="s">
        <v>898</v>
      </c>
      <c r="D25" s="444"/>
      <c r="E25" s="444"/>
      <c r="F25" s="444"/>
      <c r="G25" s="444"/>
      <c r="H25" s="444"/>
      <c r="I25" s="444"/>
    </row>
    <row r="26" spans="1:9">
      <c r="A26" s="202" t="s">
        <v>1188</v>
      </c>
      <c r="B26" s="202" t="s">
        <v>897</v>
      </c>
      <c r="C26" s="403" t="s">
        <v>898</v>
      </c>
      <c r="D26" s="442">
        <f>IF(SUM('22Autor'!F117:F121)=1,SUM('22Autor'!F117:F121),"ERROR: LA SUMA DE LA COLUMNA DEBE SER 100%")</f>
        <v>1</v>
      </c>
      <c r="E26" s="444"/>
      <c r="F26" s="444"/>
      <c r="G26" s="444"/>
      <c r="H26" s="444"/>
      <c r="I26" s="444"/>
    </row>
    <row r="27" spans="1:9">
      <c r="A27" s="202" t="s">
        <v>1189</v>
      </c>
      <c r="B27" s="202" t="s">
        <v>962</v>
      </c>
      <c r="C27" s="403" t="s">
        <v>898</v>
      </c>
      <c r="D27" s="444"/>
      <c r="E27" s="444"/>
      <c r="F27" s="444"/>
      <c r="G27" s="444"/>
      <c r="H27" s="444"/>
      <c r="I27" s="444"/>
    </row>
    <row r="28" spans="1:9" ht="15.75" thickBot="1">
      <c r="A28" s="202" t="s">
        <v>1190</v>
      </c>
      <c r="B28" s="202" t="s">
        <v>983</v>
      </c>
      <c r="C28" s="403" t="s">
        <v>898</v>
      </c>
      <c r="D28" s="444"/>
      <c r="E28" s="444"/>
      <c r="F28" s="444"/>
      <c r="G28" s="444"/>
      <c r="H28" s="444"/>
      <c r="I28" s="444"/>
    </row>
    <row r="29" spans="1:9" ht="15.75" thickBot="1">
      <c r="A29" s="202" t="s">
        <v>1191</v>
      </c>
      <c r="B29" s="202" t="s">
        <v>1012</v>
      </c>
      <c r="C29" s="403" t="s">
        <v>898</v>
      </c>
      <c r="D29" s="434" t="str">
        <f>IF(SUM('25Redes'!F79:F80)=1,"","ERROR: LA SUMA DE LAS PONDERACIONES DEBE SER 100%")</f>
        <v/>
      </c>
      <c r="E29" s="450">
        <f>+'25Redes'!E79*'25Redes'!F79+'25Redes'!E80*'25Redes'!F80</f>
        <v>0.35</v>
      </c>
      <c r="F29" s="444"/>
      <c r="G29" s="444"/>
      <c r="H29" s="444"/>
      <c r="I29" s="444"/>
    </row>
    <row r="30" spans="1:9">
      <c r="A30" s="202" t="s">
        <v>1192</v>
      </c>
      <c r="B30" s="202" t="s">
        <v>1085</v>
      </c>
      <c r="C30" s="403" t="s">
        <v>898</v>
      </c>
      <c r="D30" s="444"/>
      <c r="E30" s="444"/>
      <c r="F30" s="444"/>
      <c r="G30" s="444"/>
      <c r="H30" s="444"/>
      <c r="I30" s="444"/>
    </row>
    <row r="31" spans="1:9">
      <c r="A31" s="202" t="s">
        <v>1193</v>
      </c>
      <c r="B31" s="202" t="s">
        <v>1132</v>
      </c>
      <c r="C31" s="403" t="s">
        <v>898</v>
      </c>
      <c r="D31" s="442">
        <f>IF(SUM('27Educa'!D36:D41)=1,SUM('27Educa'!D36:D41),"ERROR: LA SUMA DE LA COLUMNA DEBE SER 100%")</f>
        <v>1</v>
      </c>
      <c r="E31" s="444"/>
      <c r="F31" s="444"/>
      <c r="G31" s="444"/>
      <c r="H31" s="444"/>
      <c r="I31" s="444"/>
    </row>
    <row r="32" spans="1:9">
      <c r="C32" s="403" t="s">
        <v>898</v>
      </c>
    </row>
    <row r="33" spans="3:6">
      <c r="C33" s="403" t="s">
        <v>898</v>
      </c>
      <c r="D33" s="484" t="s">
        <v>1260</v>
      </c>
      <c r="F33" s="501" t="s">
        <v>1262</v>
      </c>
    </row>
    <row r="34" spans="3:6">
      <c r="C34" s="403" t="s">
        <v>898</v>
      </c>
      <c r="D34" s="484" t="s">
        <v>1259</v>
      </c>
      <c r="F34" s="501" t="s">
        <v>1261</v>
      </c>
    </row>
    <row r="35" spans="3:6">
      <c r="C35" s="403" t="s">
        <v>898</v>
      </c>
    </row>
    <row r="36" spans="3:6">
      <c r="C36" s="403" t="s">
        <v>898</v>
      </c>
    </row>
    <row r="37" spans="3:6">
      <c r="C37" s="403" t="s">
        <v>898</v>
      </c>
    </row>
    <row r="38" spans="3:6">
      <c r="C38" s="403" t="s">
        <v>898</v>
      </c>
    </row>
    <row r="39" spans="3:6">
      <c r="C39" s="403" t="s">
        <v>898</v>
      </c>
    </row>
    <row r="40" spans="3:6">
      <c r="C40" s="403" t="s">
        <v>898</v>
      </c>
    </row>
    <row r="41" spans="3:6">
      <c r="C41" s="403" t="s">
        <v>898</v>
      </c>
    </row>
    <row r="42" spans="3:6">
      <c r="C42" s="403" t="s">
        <v>898</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24" sqref="D24"/>
    </sheetView>
  </sheetViews>
  <sheetFormatPr baseColWidth="10" defaultRowHeight="15"/>
  <cols>
    <col min="1" max="1" width="28.140625" customWidth="1"/>
    <col min="2" max="2" width="12.140625" customWidth="1"/>
    <col min="3" max="3" width="14.28515625" customWidth="1"/>
    <col min="4" max="5" width="14.42578125" bestFit="1" customWidth="1"/>
  </cols>
  <sheetData>
    <row r="1" spans="1:7" ht="15.75" thickBot="1"/>
    <row r="2" spans="1:7" ht="15.75" thickBot="1">
      <c r="A2" s="1873" t="s">
        <v>1731</v>
      </c>
      <c r="B2" s="1874"/>
      <c r="C2" s="1874"/>
      <c r="D2" s="1874"/>
      <c r="E2" s="1874"/>
      <c r="F2" s="1875"/>
    </row>
    <row r="3" spans="1:7" ht="45.75" thickBot="1">
      <c r="A3" s="847" t="s">
        <v>1759</v>
      </c>
      <c r="B3" s="850" t="s">
        <v>1758</v>
      </c>
      <c r="C3" s="848" t="s">
        <v>1762</v>
      </c>
      <c r="D3" s="848" t="s">
        <v>1760</v>
      </c>
      <c r="E3" s="848" t="s">
        <v>1761</v>
      </c>
      <c r="F3" s="852" t="s">
        <v>1763</v>
      </c>
      <c r="G3" s="851"/>
    </row>
    <row r="4" spans="1:7" ht="23.25" thickBot="1">
      <c r="A4" s="846" t="s">
        <v>1570</v>
      </c>
      <c r="B4" s="857">
        <v>100</v>
      </c>
      <c r="C4" s="858">
        <f>'Anexo 1 Matriz Inf Gestión'!I8</f>
        <v>0.82</v>
      </c>
      <c r="D4" s="853">
        <f>'Anexo 1 Matriz Inf Gestión'!P8</f>
        <v>6100307804.4899998</v>
      </c>
      <c r="E4" s="853">
        <f>'Anexo 1 Matriz Inf Gestión'!Q8</f>
        <v>2153029282.4000001</v>
      </c>
      <c r="F4" s="868">
        <f>E4/D4</f>
        <v>0.35</v>
      </c>
    </row>
    <row r="5" spans="1:7" ht="26.25" thickBot="1">
      <c r="A5" s="837" t="s">
        <v>1571</v>
      </c>
      <c r="B5" s="859">
        <v>100</v>
      </c>
      <c r="C5" s="860">
        <f>'Anexo 1 Matriz Inf Gestión'!I9</f>
        <v>0.62</v>
      </c>
      <c r="D5" s="856">
        <f>'Anexo 1 Matriz Inf Gestión'!P9</f>
        <v>1646462271.0899999</v>
      </c>
      <c r="E5" s="856">
        <f>'Anexo 1 Matriz Inf Gestión'!Q9</f>
        <v>1001229729</v>
      </c>
      <c r="F5" s="868">
        <f t="shared" ref="F5:F24" si="0">E5/D5</f>
        <v>0.61</v>
      </c>
    </row>
    <row r="6" spans="1:7" ht="26.25" thickBot="1">
      <c r="A6" s="834" t="s">
        <v>1572</v>
      </c>
      <c r="B6" s="861">
        <v>100</v>
      </c>
      <c r="C6" s="862">
        <f>'Anexo 1 Matriz Inf Gestión'!I19</f>
        <v>0.83</v>
      </c>
      <c r="D6" s="856">
        <f>'Anexo 1 Matriz Inf Gestión'!P19</f>
        <v>4244589493.4000001</v>
      </c>
      <c r="E6" s="856">
        <f>'Anexo 1 Matriz Inf Gestión'!Q19</f>
        <v>1045418233.4</v>
      </c>
      <c r="F6" s="868">
        <f t="shared" si="0"/>
        <v>0.25</v>
      </c>
    </row>
    <row r="7" spans="1:7" ht="26.25" thickBot="1">
      <c r="A7" s="838" t="s">
        <v>1573</v>
      </c>
      <c r="B7" s="861">
        <v>100</v>
      </c>
      <c r="C7" s="862">
        <f>'Anexo 1 Matriz Inf Gestión'!I25</f>
        <v>1</v>
      </c>
      <c r="D7" s="856">
        <f>'Anexo 1 Matriz Inf Gestión'!P25</f>
        <v>209256040</v>
      </c>
      <c r="E7" s="856">
        <f>'Anexo 1 Matriz Inf Gestión'!Q25</f>
        <v>106381320</v>
      </c>
      <c r="F7" s="868">
        <f t="shared" si="0"/>
        <v>0.51</v>
      </c>
    </row>
    <row r="8" spans="1:7" ht="23.25" thickBot="1">
      <c r="A8" s="833" t="s">
        <v>1574</v>
      </c>
      <c r="B8" s="863">
        <v>100</v>
      </c>
      <c r="C8" s="864">
        <f>'Anexo 1 Matriz Inf Gestión'!I30</f>
        <v>0.47</v>
      </c>
      <c r="D8" s="854">
        <f>'Anexo 1 Matriz Inf Gestión'!P30</f>
        <v>27861817948.459999</v>
      </c>
      <c r="E8" s="854">
        <f>'Anexo 1 Matriz Inf Gestión'!Q30</f>
        <v>5273886776.46</v>
      </c>
      <c r="F8" s="868">
        <f t="shared" si="0"/>
        <v>0.19</v>
      </c>
    </row>
    <row r="9" spans="1:7" ht="39" thickBot="1">
      <c r="A9" s="834" t="s">
        <v>1575</v>
      </c>
      <c r="B9" s="861">
        <v>100</v>
      </c>
      <c r="C9" s="862">
        <f>'Anexo 1 Matriz Inf Gestión'!I31</f>
        <v>0.23</v>
      </c>
      <c r="D9" s="856">
        <f>'Anexo 1 Matriz Inf Gestión'!P31</f>
        <v>27187788386.459999</v>
      </c>
      <c r="E9" s="856">
        <f>'Anexo 1 Matriz Inf Gestión'!Q31</f>
        <v>5068147603.46</v>
      </c>
      <c r="F9" s="868">
        <f t="shared" si="0"/>
        <v>0.19</v>
      </c>
    </row>
    <row r="10" spans="1:7" ht="26.25" thickBot="1">
      <c r="A10" s="834" t="s">
        <v>1576</v>
      </c>
      <c r="B10" s="861">
        <v>100</v>
      </c>
      <c r="C10" s="862">
        <f>'Anexo 1 Matriz Inf Gestión'!I40</f>
        <v>0.71</v>
      </c>
      <c r="D10" s="856">
        <f>'Anexo 1 Matriz Inf Gestión'!P40</f>
        <v>674029562</v>
      </c>
      <c r="E10" s="856">
        <f>'Anexo 1 Matriz Inf Gestión'!Q40</f>
        <v>205739173</v>
      </c>
      <c r="F10" s="868">
        <f t="shared" si="0"/>
        <v>0.31</v>
      </c>
    </row>
    <row r="11" spans="1:7" ht="34.5" thickBot="1">
      <c r="A11" s="833" t="s">
        <v>1577</v>
      </c>
      <c r="B11" s="863">
        <v>100</v>
      </c>
      <c r="C11" s="864">
        <f>'Anexo 1 Matriz Inf Gestión'!I48</f>
        <v>0.57999999999999996</v>
      </c>
      <c r="D11" s="854">
        <f>'Anexo 1 Matriz Inf Gestión'!P48</f>
        <v>19668827269.220001</v>
      </c>
      <c r="E11" s="854">
        <f>'Anexo 1 Matriz Inf Gestión'!Q48</f>
        <v>2834779745.8600001</v>
      </c>
      <c r="F11" s="868">
        <f t="shared" si="0"/>
        <v>0.14000000000000001</v>
      </c>
    </row>
    <row r="12" spans="1:7" ht="26.25" thickBot="1">
      <c r="A12" s="834" t="s">
        <v>1578</v>
      </c>
      <c r="B12" s="861">
        <v>100</v>
      </c>
      <c r="C12" s="862">
        <f>'Anexo 1 Matriz Inf Gestión'!I49</f>
        <v>0.56999999999999995</v>
      </c>
      <c r="D12" s="856">
        <f>'Anexo 1 Matriz Inf Gestión'!P49</f>
        <v>17271257195.5</v>
      </c>
      <c r="E12" s="856">
        <f>'Anexo 1 Matriz Inf Gestión'!Q49</f>
        <v>1188697254.5</v>
      </c>
      <c r="F12" s="868">
        <f t="shared" si="0"/>
        <v>7.0000000000000007E-2</v>
      </c>
    </row>
    <row r="13" spans="1:7" ht="26.25" thickBot="1">
      <c r="A13" s="834" t="s">
        <v>1579</v>
      </c>
      <c r="B13" s="861">
        <v>100</v>
      </c>
      <c r="C13" s="862">
        <f>'Anexo 1 Matriz Inf Gestión'!I60</f>
        <v>0.61</v>
      </c>
      <c r="D13" s="856">
        <f>'Anexo 1 Matriz Inf Gestión'!P60</f>
        <v>2295957096.7199998</v>
      </c>
      <c r="E13" s="856">
        <f>'Anexo 1 Matriz Inf Gestión'!Q60</f>
        <v>1627328356.3599999</v>
      </c>
      <c r="F13" s="868">
        <f t="shared" si="0"/>
        <v>0.71</v>
      </c>
    </row>
    <row r="14" spans="1:7" ht="15" customHeight="1" thickBot="1">
      <c r="A14" s="834" t="s">
        <v>1580</v>
      </c>
      <c r="B14" s="861">
        <v>100</v>
      </c>
      <c r="C14" s="862">
        <f>'Anexo 1 Matriz Inf Gestión'!I67</f>
        <v>0.56999999999999995</v>
      </c>
      <c r="D14" s="856">
        <f>'Anexo 1 Matriz Inf Gestión'!P67</f>
        <v>101612977</v>
      </c>
      <c r="E14" s="856">
        <f>'Anexo 1 Matriz Inf Gestión'!Q67</f>
        <v>18754135</v>
      </c>
      <c r="F14" s="868">
        <f t="shared" si="0"/>
        <v>0.18</v>
      </c>
    </row>
    <row r="15" spans="1:7" ht="23.25" thickBot="1">
      <c r="A15" s="833" t="s">
        <v>1581</v>
      </c>
      <c r="B15" s="863">
        <v>100</v>
      </c>
      <c r="C15" s="864">
        <f>'Anexo 1 Matriz Inf Gestión'!I69</f>
        <v>0.76</v>
      </c>
      <c r="D15" s="854">
        <f>'Anexo 1 Matriz Inf Gestión'!P69</f>
        <v>1225186579.5</v>
      </c>
      <c r="E15" s="854">
        <f>'Anexo 1 Matriz Inf Gestión'!Q69</f>
        <v>762161711.5</v>
      </c>
      <c r="F15" s="868">
        <f t="shared" si="0"/>
        <v>0.62</v>
      </c>
    </row>
    <row r="16" spans="1:7" ht="15.75" thickBot="1">
      <c r="A16" s="835" t="s">
        <v>1582</v>
      </c>
      <c r="B16" s="861">
        <v>100</v>
      </c>
      <c r="C16" s="862">
        <f>'Anexo 1 Matriz Inf Gestión'!I70</f>
        <v>0.52</v>
      </c>
      <c r="D16" s="856">
        <f>'Anexo 1 Matriz Inf Gestión'!P70</f>
        <v>380810048</v>
      </c>
      <c r="E16" s="856">
        <f>'Anexo 1 Matriz Inf Gestión'!Q70</f>
        <v>126506716</v>
      </c>
      <c r="F16" s="868">
        <f t="shared" si="0"/>
        <v>0.33</v>
      </c>
    </row>
    <row r="17" spans="1:6" ht="15.75" thickBot="1">
      <c r="A17" s="834" t="s">
        <v>1583</v>
      </c>
      <c r="B17" s="861">
        <v>100</v>
      </c>
      <c r="C17" s="862">
        <f>'Anexo 1 Matriz Inf Gestión'!I72</f>
        <v>1</v>
      </c>
      <c r="D17" s="856">
        <f>'Anexo 1 Matriz Inf Gestión'!P72</f>
        <v>844376531.5</v>
      </c>
      <c r="E17" s="856">
        <f>'Anexo 1 Matriz Inf Gestión'!Q72</f>
        <v>635654995.5</v>
      </c>
      <c r="F17" s="868">
        <f t="shared" si="0"/>
        <v>0.75</v>
      </c>
    </row>
    <row r="18" spans="1:6" ht="15.75" thickBot="1">
      <c r="A18" s="836" t="s">
        <v>1584</v>
      </c>
      <c r="B18" s="863">
        <v>100</v>
      </c>
      <c r="C18" s="864">
        <f>'Anexo 1 Matriz Inf Gestión'!I74</f>
        <v>0.48</v>
      </c>
      <c r="D18" s="854">
        <f>'Anexo 1 Matriz Inf Gestión'!P74</f>
        <v>1046547705</v>
      </c>
      <c r="E18" s="854">
        <f>'Anexo 1 Matriz Inf Gestión'!Q74</f>
        <v>558500629</v>
      </c>
      <c r="F18" s="868">
        <f t="shared" si="0"/>
        <v>0.53</v>
      </c>
    </row>
    <row r="19" spans="1:6" ht="15.75" thickBot="1">
      <c r="A19" s="834" t="s">
        <v>1585</v>
      </c>
      <c r="B19" s="861">
        <v>100</v>
      </c>
      <c r="C19" s="862">
        <f>'Anexo 1 Matriz Inf Gestión'!I75</f>
        <v>0.48</v>
      </c>
      <c r="D19" s="856">
        <f>'Anexo 1 Matriz Inf Gestión'!P75</f>
        <v>789162678</v>
      </c>
      <c r="E19" s="856">
        <f>'Anexo 1 Matriz Inf Gestión'!Q75</f>
        <v>486690804</v>
      </c>
      <c r="F19" s="868">
        <f t="shared" si="0"/>
        <v>0.62</v>
      </c>
    </row>
    <row r="20" spans="1:6" ht="15.75" thickBot="1">
      <c r="A20" s="834" t="s">
        <v>1586</v>
      </c>
      <c r="B20" s="861">
        <v>100</v>
      </c>
      <c r="C20" s="862">
        <f>'Anexo 1 Matriz Inf Gestión'!I77</f>
        <v>0.48</v>
      </c>
      <c r="D20" s="856">
        <f>'Anexo 1 Matriz Inf Gestión'!P77</f>
        <v>257385027</v>
      </c>
      <c r="E20" s="856">
        <f>'Anexo 1 Matriz Inf Gestión'!Q77</f>
        <v>71809825</v>
      </c>
      <c r="F20" s="868">
        <f t="shared" si="0"/>
        <v>0.28000000000000003</v>
      </c>
    </row>
    <row r="21" spans="1:6" ht="15.75" thickBot="1">
      <c r="A21" s="833" t="s">
        <v>1587</v>
      </c>
      <c r="B21" s="863">
        <v>100</v>
      </c>
      <c r="C21" s="864">
        <f>'Anexo 1 Matriz Inf Gestión'!I79</f>
        <v>0.31</v>
      </c>
      <c r="D21" s="854">
        <f>'Anexo 1 Matriz Inf Gestión'!P79</f>
        <v>5353393559.21</v>
      </c>
      <c r="E21" s="854">
        <f>'Anexo 1 Matriz Inf Gestión'!Q79</f>
        <v>699476151</v>
      </c>
      <c r="F21" s="868">
        <f t="shared" si="0"/>
        <v>0.13</v>
      </c>
    </row>
    <row r="22" spans="1:6" ht="39" thickBot="1">
      <c r="A22" s="834" t="s">
        <v>1588</v>
      </c>
      <c r="B22" s="861">
        <v>100</v>
      </c>
      <c r="C22" s="862">
        <f>'Anexo 1 Matriz Inf Gestión'!I80</f>
        <v>0.62</v>
      </c>
      <c r="D22" s="856">
        <f>'Anexo 1 Matriz Inf Gestión'!P80</f>
        <v>1211099605</v>
      </c>
      <c r="E22" s="856">
        <f>'Anexo 1 Matriz Inf Gestión'!Q80</f>
        <v>618411345</v>
      </c>
      <c r="F22" s="868">
        <f t="shared" si="0"/>
        <v>0.51</v>
      </c>
    </row>
    <row r="23" spans="1:6" ht="15.75" thickBot="1">
      <c r="A23" s="849" t="s">
        <v>1589</v>
      </c>
      <c r="B23" s="865">
        <v>100</v>
      </c>
      <c r="C23" s="866">
        <f>'Anexo 1 Matriz Inf Gestión'!I88</f>
        <v>0</v>
      </c>
      <c r="D23" s="856">
        <f>'Anexo 1 Matriz Inf Gestión'!P88</f>
        <v>4142293954.21</v>
      </c>
      <c r="E23" s="856">
        <f>'Anexo 1 Matriz Inf Gestión'!Q88</f>
        <v>81064806</v>
      </c>
      <c r="F23" s="868">
        <f t="shared" si="0"/>
        <v>0.02</v>
      </c>
    </row>
    <row r="24" spans="1:6" ht="16.5" thickBot="1">
      <c r="A24" s="855" t="s">
        <v>157</v>
      </c>
      <c r="B24" s="863">
        <v>100</v>
      </c>
      <c r="C24" s="867">
        <f>'Anexo 1 Matriz Inf Gestión'!I94</f>
        <v>0.56999999999999995</v>
      </c>
      <c r="D24" s="854">
        <f>D21+D18+D15+D11+D8+D4</f>
        <v>61256080865.879997</v>
      </c>
      <c r="E24" s="854">
        <f>E21+E18+E15+E11+E8+E4</f>
        <v>12281834296.219999</v>
      </c>
      <c r="F24" s="868">
        <f t="shared" si="0"/>
        <v>0.2</v>
      </c>
    </row>
  </sheetData>
  <mergeCells count="1">
    <mergeCell ref="A2:F2"/>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96" zoomScaleNormal="96" workbookViewId="0">
      <pane ySplit="5" topLeftCell="A6" activePane="bottomLeft" state="frozen"/>
      <selection activeCell="D4" sqref="D4"/>
      <selection pane="bottomLeft" activeCell="F7" sqref="F7"/>
    </sheetView>
  </sheetViews>
  <sheetFormatPr baseColWidth="10" defaultRowHeight="15"/>
  <cols>
    <col min="1" max="1" width="3.5703125" bestFit="1" customWidth="1"/>
    <col min="2" max="2" width="62.42578125" customWidth="1"/>
    <col min="3" max="3" width="11.7109375" customWidth="1"/>
    <col min="4" max="4" width="11.85546875" customWidth="1"/>
    <col min="5" max="5" width="11.140625" customWidth="1"/>
    <col min="6" max="6" width="12.28515625" customWidth="1"/>
    <col min="7" max="7" width="11.28515625" customWidth="1"/>
    <col min="8" max="8" width="6.140625" style="403" hidden="1" customWidth="1"/>
    <col min="9" max="9" width="5.42578125" style="403" hidden="1" customWidth="1"/>
    <col min="10" max="10" width="10.5703125" style="403" customWidth="1"/>
    <col min="11" max="11" width="10.140625" customWidth="1"/>
    <col min="12" max="12" width="15" style="403" customWidth="1"/>
    <col min="13" max="14" width="22.42578125" style="403" customWidth="1"/>
    <col min="15" max="15" width="1.85546875" style="403" customWidth="1"/>
  </cols>
  <sheetData>
    <row r="1" spans="1:18" s="518" customFormat="1" ht="130.5" customHeight="1" thickBot="1">
      <c r="A1" s="1552"/>
      <c r="B1" s="1553"/>
      <c r="C1" s="1553"/>
      <c r="D1" s="1553"/>
      <c r="E1" s="1553"/>
      <c r="F1" s="1553"/>
      <c r="G1" s="1553"/>
      <c r="H1" s="1553"/>
      <c r="I1" s="1553"/>
      <c r="J1" s="1553"/>
      <c r="K1" s="1553"/>
      <c r="L1" s="1553"/>
      <c r="M1" s="1553"/>
      <c r="N1" s="1553"/>
      <c r="O1" s="1553"/>
      <c r="P1" s="1554"/>
      <c r="Q1"/>
      <c r="R1"/>
    </row>
    <row r="2" spans="1:18"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c r="R2"/>
    </row>
    <row r="3" spans="1:18" s="519" customFormat="1" ht="16.5" thickBot="1">
      <c r="A3" s="1555" t="s">
        <v>1414</v>
      </c>
      <c r="B3" s="1556"/>
      <c r="C3" s="1556"/>
      <c r="D3" s="1556"/>
      <c r="E3" s="1556"/>
      <c r="F3" s="1556"/>
      <c r="G3" s="1556"/>
      <c r="H3" s="1556"/>
      <c r="I3" s="1556"/>
      <c r="J3" s="1556"/>
      <c r="K3" s="1556"/>
      <c r="L3" s="1556"/>
      <c r="M3" s="1556"/>
      <c r="N3" s="1556"/>
      <c r="O3" s="1556"/>
      <c r="P3" s="1557"/>
      <c r="Q3"/>
      <c r="R3"/>
    </row>
    <row r="4" spans="1:18" s="519" customFormat="1" ht="30.75" customHeight="1" thickBot="1">
      <c r="A4" s="1558" t="s">
        <v>1413</v>
      </c>
      <c r="B4" s="1559"/>
      <c r="C4" s="537" t="str">
        <f>'Datos Generales'!C6</f>
        <v>2019-I</v>
      </c>
      <c r="D4" s="537"/>
      <c r="E4" s="537"/>
      <c r="F4" s="537"/>
      <c r="G4" s="537"/>
      <c r="H4" s="537"/>
      <c r="I4" s="537"/>
      <c r="J4" s="537"/>
      <c r="K4" s="537"/>
      <c r="L4" s="538"/>
      <c r="M4" s="538"/>
      <c r="N4" s="538"/>
      <c r="O4" s="538"/>
      <c r="P4" s="539"/>
      <c r="Q4"/>
      <c r="R4"/>
    </row>
    <row r="5" spans="1:18" ht="30" customHeight="1">
      <c r="A5" s="493" t="s">
        <v>24</v>
      </c>
      <c r="B5" s="493" t="s">
        <v>1201</v>
      </c>
      <c r="C5" s="494">
        <v>2016</v>
      </c>
      <c r="D5" s="1278">
        <v>2017</v>
      </c>
      <c r="E5" s="1278">
        <v>2018</v>
      </c>
      <c r="F5" s="1278">
        <v>2019</v>
      </c>
      <c r="H5" s="491" t="s">
        <v>1266</v>
      </c>
      <c r="I5" s="491" t="s">
        <v>1267</v>
      </c>
      <c r="J5" s="491" t="s">
        <v>60</v>
      </c>
      <c r="L5" s="492" t="s">
        <v>1264</v>
      </c>
      <c r="M5" s="492" t="s">
        <v>1268</v>
      </c>
      <c r="N5" s="1566" t="s">
        <v>60</v>
      </c>
      <c r="O5" s="1567"/>
      <c r="P5" s="1568"/>
    </row>
    <row r="6" spans="1:18" ht="45" customHeight="1">
      <c r="A6" s="348" t="s">
        <v>1166</v>
      </c>
      <c r="B6" s="349" t="s">
        <v>1167</v>
      </c>
      <c r="C6" s="938">
        <f>'[1]1POMCAS'!$D$8</f>
        <v>0.22</v>
      </c>
      <c r="D6" s="939">
        <v>0.31</v>
      </c>
      <c r="E6" s="939">
        <f>'[2]Anexo 3 Matriz IMG'!$E$6</f>
        <v>0.33</v>
      </c>
      <c r="F6" s="939" t="str">
        <f ca="1">'1POMCAS'!D8</f>
        <v>N.A.</v>
      </c>
      <c r="H6" s="498">
        <f>'1POMCAS'!F11</f>
        <v>0</v>
      </c>
      <c r="I6" s="498" t="str">
        <f>+'1POMCAS'!E12</f>
        <v>Proyecto No 1.1.Planificación, Ordenamiento e Información Ambiental Territorial (1); Proyecto 2.1. Administración de la oferta y demanda del recurso hídrico. (Superficiales y subterráneas) (4).</v>
      </c>
      <c r="J6" s="990" t="str">
        <f>+'1POMCAS'!E13</f>
        <v>Acuerdo # 008 del 11 de Mayo de 2016. El Plan de Manejo del sistema de acuifero de Maicao se adoptó en el 2011. Acuerdo 020 del 2011</v>
      </c>
      <c r="L6" s="513" t="str">
        <f t="shared" ref="L6:L32" si="0">IF(ISNUMBER(C6),"",H6)</f>
        <v/>
      </c>
      <c r="M6" s="513" t="str">
        <f t="shared" ref="M6:M32" si="1">IF(ISNUMBER(I6),"",I6)</f>
        <v>Proyecto No 1.1.Planificación, Ordenamiento e Información Ambiental Territorial (1); Proyecto 2.1. Administración de la oferta y demanda del recurso hídrico. (Superficiales y subterráneas) (4).</v>
      </c>
      <c r="N6" s="1367" t="str">
        <f t="shared" ref="N6:N32" si="2">IF(ISNUMBER(J6),"",J6)</f>
        <v>Acuerdo # 008 del 11 de Mayo de 2016. El Plan de Manejo del sistema de acuifero de Maicao se adoptó en el 2011. Acuerdo 020 del 2011</v>
      </c>
      <c r="O6" s="1573"/>
      <c r="P6" s="1574"/>
    </row>
    <row r="7" spans="1:18" ht="146.25">
      <c r="A7" s="348" t="s">
        <v>1168</v>
      </c>
      <c r="B7" s="349" t="s">
        <v>136</v>
      </c>
      <c r="C7" s="937" t="str">
        <f>'[3]2PORH'!$D$8</f>
        <v>SIN INFORMACION</v>
      </c>
      <c r="D7" s="988" t="str">
        <f>'2PORH'!D8</f>
        <v>SIN INFORMACION</v>
      </c>
      <c r="E7" s="1276" t="str">
        <f>'2PORH'!D8</f>
        <v>SIN INFORMACION</v>
      </c>
      <c r="F7" s="1276">
        <f>'2PORH'!E8</f>
        <v>0</v>
      </c>
      <c r="H7" s="498" t="str">
        <f>+'2PORH'!F11</f>
        <v>Acuerdo # 008 del 11 de Mayo de 2016. Ajustado mediante Acuerdo # 031 30 Nov 2017. Ajustado mediante Acuerdo # 017 28 Sep 2018</v>
      </c>
      <c r="I7" s="498" t="str">
        <f>+'2PORH'!E12</f>
        <v>Proyecto 2.1. Administración de la oferta y demanda del recurso hídrico. (Superficiales y subterráneas) (4).</v>
      </c>
      <c r="J7" s="990" t="str">
        <f>+'2PORH'!E13</f>
        <v>Acuerdo # 008 del 11 de Mayo de 2016. El Plan de Acción no se programó meta para el primer año, para el segundo año se programó un avance del 17%</v>
      </c>
      <c r="L7" s="513" t="str">
        <f t="shared" si="0"/>
        <v>Acuerdo # 008 del 11 de Mayo de 2016. Ajustado mediante Acuerdo # 031 30 Nov 2017. Ajustado mediante Acuerdo # 017 28 Sep 2018</v>
      </c>
      <c r="M7" s="513" t="str">
        <f t="shared" si="1"/>
        <v>Proyecto 2.1. Administración de la oferta y demanda del recurso hídrico. (Superficiales y subterráneas) (4).</v>
      </c>
      <c r="N7" s="1367" t="str">
        <f t="shared" si="2"/>
        <v>Acuerdo # 008 del 11 de Mayo de 2016. El Plan de Acción no se programó meta para el primer año, para el segundo año se programó un avance del 17%</v>
      </c>
      <c r="O7" s="1573"/>
      <c r="P7" s="1574"/>
    </row>
    <row r="8" spans="1:18" ht="72">
      <c r="A8" s="348" t="s">
        <v>1169</v>
      </c>
      <c r="B8" s="349" t="s">
        <v>168</v>
      </c>
      <c r="C8" s="941">
        <f>'[3]3PSMV'!$D$8</f>
        <v>1</v>
      </c>
      <c r="D8" s="942">
        <v>1</v>
      </c>
      <c r="E8" s="1277">
        <f>'[2]3PSMV'!$D$8</f>
        <v>1</v>
      </c>
      <c r="F8" s="1365" t="str">
        <f>'2PORH'!D8</f>
        <v>SIN INFORMACION</v>
      </c>
      <c r="H8" s="498">
        <f>+'3PSMV'!F11</f>
        <v>0</v>
      </c>
      <c r="I8" s="498" t="str">
        <f>+'3PSMV'!E12</f>
        <v>Proyecto No. 6.1.  (13). Evaluación, Seguimiento, Monitoreo y Control de la calidad de los recursos naturales y la biodiversidad.</v>
      </c>
      <c r="J8" s="1280" t="str">
        <f>+'3PSMV'!E13</f>
        <v>Acuerdo # 008 del 11 de Mayo de 2016</v>
      </c>
      <c r="L8" s="513" t="str">
        <f t="shared" si="0"/>
        <v/>
      </c>
      <c r="M8" s="513" t="str">
        <f t="shared" si="1"/>
        <v>Proyecto No. 6.1.  (13). Evaluación, Seguimiento, Monitoreo y Control de la calidad de los recursos naturales y la biodiversidad.</v>
      </c>
      <c r="N8" s="1366" t="str">
        <f t="shared" si="2"/>
        <v>Acuerdo # 008 del 11 de Mayo de 2016</v>
      </c>
      <c r="O8" s="1571" t="s">
        <v>2054</v>
      </c>
      <c r="P8" s="1572"/>
    </row>
    <row r="9" spans="1:18" ht="168.75">
      <c r="A9" s="348" t="s">
        <v>1170</v>
      </c>
      <c r="B9" s="349" t="s">
        <v>189</v>
      </c>
      <c r="C9" s="941" t="str">
        <f>'[3]4UsoAguas'!$D$8</f>
        <v>N.A.</v>
      </c>
      <c r="D9" s="988" t="str">
        <f>'4UsoAguas'!D8</f>
        <v>SIN INFORMACION</v>
      </c>
      <c r="E9" s="1276" t="str">
        <f>'[2]Anexo 3 Matriz IMG'!$E$9</f>
        <v>SIN INFORMACION</v>
      </c>
      <c r="F9" s="1365" t="str">
        <f>'4UsoAguas'!D8</f>
        <v>SIN INFORMACION</v>
      </c>
      <c r="H9" s="498" t="str">
        <f>+'4UsoAguas'!F11</f>
        <v>Acuerdo # 008 del 11 de Mayo de 2016. Ajustado mediante Acuerdo # 031 30 Nov 2017. Ajustado mediante Acuerdo # 017 28 Sep 2018</v>
      </c>
      <c r="I9" s="498" t="str">
        <f>+'4UsoAguas'!E12</f>
        <v>Proyecto 2.1. Administración de la oferta y demanda del recurso hídrico. (Superficiales y subterráneas) (4).</v>
      </c>
      <c r="J9" s="990" t="str">
        <f>+'4UsoAguas'!E13</f>
        <v>Acuerdo # 008 del 11 de Mayo de 2016. El Plan de Acción 2016 - 2019 no se programó meta ni para el primer ni segundo año. Solo se programó para el tercer año</v>
      </c>
      <c r="L9" s="513" t="str">
        <f t="shared" si="0"/>
        <v>Acuerdo # 008 del 11 de Mayo de 2016. Ajustado mediante Acuerdo # 031 30 Nov 2017. Ajustado mediante Acuerdo # 017 28 Sep 2018</v>
      </c>
      <c r="M9" s="513" t="str">
        <f t="shared" si="1"/>
        <v>Proyecto 2.1. Administración de la oferta y demanda del recurso hídrico. (Superficiales y subterráneas) (4).</v>
      </c>
      <c r="N9" s="1367" t="str">
        <f t="shared" si="2"/>
        <v>Acuerdo # 008 del 11 de Mayo de 2016. El Plan de Acción 2016 - 2019 no se programó meta ni para el primer ni segundo año. Solo se programó para el tercer año</v>
      </c>
      <c r="O9" s="1573" t="s">
        <v>1803</v>
      </c>
      <c r="P9" s="1574"/>
    </row>
    <row r="10" spans="1:18" ht="72">
      <c r="A10" s="348" t="s">
        <v>1171</v>
      </c>
      <c r="B10" s="349" t="s">
        <v>207</v>
      </c>
      <c r="C10" s="941">
        <f>'[3]5PUEAA'!$D$8</f>
        <v>1</v>
      </c>
      <c r="D10" s="942">
        <v>1</v>
      </c>
      <c r="E10" s="1277">
        <f>'[2]5PUEAA'!$D$8</f>
        <v>1</v>
      </c>
      <c r="F10" s="1277">
        <f>'5PUEAA'!D8</f>
        <v>0.55000000000000004</v>
      </c>
      <c r="H10" s="498">
        <f>+'5PUEAA'!F11</f>
        <v>0</v>
      </c>
      <c r="I10" s="498" t="str">
        <f>+'5PUEAA'!E12</f>
        <v>Proyecto No. 6.1.  (13). Evaluación, Seguimiento, Monitoreo y Control de la calidad de los recursos naturales y la biodiversidad.</v>
      </c>
      <c r="J10" s="1280" t="str">
        <f>+'5PUEAA'!E13</f>
        <v>Acuerdo # 008 del 11 de Mayo de 2016</v>
      </c>
      <c r="L10" s="513" t="str">
        <f t="shared" si="0"/>
        <v/>
      </c>
      <c r="M10" s="513" t="str">
        <f t="shared" si="1"/>
        <v>Proyecto No. 6.1.  (13). Evaluación, Seguimiento, Monitoreo y Control de la calidad de los recursos naturales y la biodiversidad.</v>
      </c>
      <c r="N10" s="513" t="str">
        <f t="shared" si="2"/>
        <v>Acuerdo # 008 del 11 de Mayo de 2016</v>
      </c>
      <c r="O10" s="500" t="s">
        <v>898</v>
      </c>
      <c r="P10" s="499"/>
    </row>
    <row r="11" spans="1:18" ht="108">
      <c r="A11" s="348" t="s">
        <v>1172</v>
      </c>
      <c r="B11" s="349" t="s">
        <v>228</v>
      </c>
      <c r="C11" s="941">
        <f>'[3]6POMCASejec'!$D$8</f>
        <v>1</v>
      </c>
      <c r="D11" s="942">
        <f>'[4]Anexo 1 Matriz Informe Gestión'!$H$51</f>
        <v>1</v>
      </c>
      <c r="E11" s="1277">
        <f>'[2]6POMCASejec'!$D$8</f>
        <v>1</v>
      </c>
      <c r="F11" s="1277">
        <f>'6POMCASejec'!D8</f>
        <v>0.75</v>
      </c>
      <c r="H11" s="498">
        <f>+'6POMCASejec'!F11</f>
        <v>0</v>
      </c>
      <c r="I11" s="498" t="str">
        <f>+'6POMCASejec'!E12</f>
        <v>Proyecto 2.1. Administración de la oferta y demanda del recurso hídrico. (Superficiales y subterráneas) (4); Proyecto No 3.1. Ecosistemas estratégicos continentales y marinos (6).</v>
      </c>
      <c r="J11" s="1280" t="str">
        <f>+'6POMCASejec'!E13</f>
        <v>Acuerdo # 008 del 11 de Mayo de 2016</v>
      </c>
      <c r="L11" s="513" t="str">
        <f t="shared" si="0"/>
        <v/>
      </c>
      <c r="M11" s="513" t="str">
        <f t="shared" si="1"/>
        <v>Proyecto 2.1. Administración de la oferta y demanda del recurso hídrico. (Superficiales y subterráneas) (4); Proyecto No 3.1. Ecosistemas estratégicos continentales y marinos (6).</v>
      </c>
      <c r="N11" s="513" t="str">
        <f t="shared" si="2"/>
        <v>Acuerdo # 008 del 11 de Mayo de 2016</v>
      </c>
      <c r="O11" s="500" t="s">
        <v>898</v>
      </c>
      <c r="P11" s="499"/>
    </row>
    <row r="12" spans="1:18" ht="48">
      <c r="A12" s="348" t="s">
        <v>1173</v>
      </c>
      <c r="B12" s="349" t="s">
        <v>288</v>
      </c>
      <c r="C12" s="941">
        <f>'[3]7Clima'!$D$8</f>
        <v>0.69</v>
      </c>
      <c r="D12" s="943">
        <f>'[4]Anexo 1 Matriz Informe Gestión'!$H$20</f>
        <v>1</v>
      </c>
      <c r="E12" s="1277">
        <f>'[2]7Clima'!$D$8</f>
        <v>1</v>
      </c>
      <c r="F12" s="1277">
        <f>'7Clima'!D8</f>
        <v>0.94</v>
      </c>
      <c r="H12" s="498">
        <f>+'7Clima'!F11</f>
        <v>0</v>
      </c>
      <c r="I12" s="498" t="str">
        <f>+'7Clima'!E12</f>
        <v>Proyecto No 1.2. Gestión del Riesgo y adaptación al Cambio Climático (2)</v>
      </c>
      <c r="J12" s="1280" t="str">
        <f>+'7Clima'!E13</f>
        <v>Acuerdo # 008 del 11 de Mayo de 2016</v>
      </c>
      <c r="L12" s="513" t="str">
        <f t="shared" si="0"/>
        <v/>
      </c>
      <c r="M12" s="513" t="str">
        <f t="shared" si="1"/>
        <v>Proyecto No 1.2. Gestión del Riesgo y adaptación al Cambio Climático (2)</v>
      </c>
      <c r="N12" s="513" t="str">
        <f t="shared" si="2"/>
        <v>Acuerdo # 008 del 11 de Mayo de 2016</v>
      </c>
      <c r="O12" s="500" t="s">
        <v>898</v>
      </c>
      <c r="P12" s="499"/>
    </row>
    <row r="13" spans="1:18" ht="48">
      <c r="A13" s="348" t="s">
        <v>1174</v>
      </c>
      <c r="B13" s="349" t="s">
        <v>322</v>
      </c>
      <c r="C13" s="937" t="str">
        <f>'[3]8Suelo'!$D$8</f>
        <v>SIN INFORMACION</v>
      </c>
      <c r="D13" s="940">
        <f>'[4]Anexo 1 Matriz Informe Gestión'!$H$52</f>
        <v>0.33</v>
      </c>
      <c r="E13" s="1277">
        <f>'[2]8Suelo'!$D$8</f>
        <v>1.28</v>
      </c>
      <c r="F13" s="1277">
        <f>'8Suelo'!D8</f>
        <v>2.1</v>
      </c>
      <c r="H13" s="498" t="str">
        <f>+'8Suelo'!F11</f>
        <v>Acuerdo # 008 del 11 de mayo de 2016</v>
      </c>
      <c r="I13" s="498" t="str">
        <f>+'8Suelo'!E12</f>
        <v>Proyecto No 3.1. Ecosistemas estratégicos continentales y marinos (6).</v>
      </c>
      <c r="J13" s="1280" t="str">
        <f>+'8Suelo'!E13</f>
        <v>Acuerdo # 008 del 11 de Mayo de 2016</v>
      </c>
      <c r="L13" s="513" t="str">
        <f t="shared" si="0"/>
        <v>Acuerdo # 008 del 11 de mayo de 2016</v>
      </c>
      <c r="M13" s="513" t="str">
        <f t="shared" si="1"/>
        <v>Proyecto No 3.1. Ecosistemas estratégicos continentales y marinos (6).</v>
      </c>
      <c r="N13" s="513" t="str">
        <f t="shared" si="2"/>
        <v>Acuerdo # 008 del 11 de Mayo de 2016</v>
      </c>
      <c r="O13" s="500" t="s">
        <v>898</v>
      </c>
      <c r="P13" s="499"/>
    </row>
    <row r="14" spans="1:18" ht="240">
      <c r="A14" s="348" t="s">
        <v>1175</v>
      </c>
      <c r="B14" s="349" t="s">
        <v>356</v>
      </c>
      <c r="C14" s="941">
        <f>'[1]9RUNAP'!$D$9</f>
        <v>1.03</v>
      </c>
      <c r="D14" s="989" t="str">
        <f>'[4]Anexo 1 Matriz Informe Gestión'!$H$50</f>
        <v>SIN INFORMACION</v>
      </c>
      <c r="E14" s="1277">
        <f>'[2]9RUNAP'!$D$9</f>
        <v>1</v>
      </c>
      <c r="F14" s="1277">
        <f>'9RUNAP'!D9</f>
        <v>0</v>
      </c>
      <c r="H14" s="498" t="str">
        <f>+'9RUNAP'!F12</f>
        <v>Acuerdo # 035 del 26 de diciembre de 2017.</v>
      </c>
      <c r="I14" s="498" t="str">
        <f>+'9RUNAP'!E13</f>
        <v>Proyecto No 3.1. Ecosistemas estratégicos continentales y marinos (6).</v>
      </c>
      <c r="J14" s="1280" t="str">
        <f>+'9RUNAP'!E14</f>
        <v xml:space="preserve">Se aplazó meta de 2017 de 16000 hectareas correspondiente al 11% del total para el cuatrienio, para el 2018. Acuerdo # 035 26 Diciembre 2017. Acuerdo # 021 30 Noviembre 2018. </v>
      </c>
      <c r="L14" s="513" t="str">
        <f t="shared" si="0"/>
        <v/>
      </c>
      <c r="M14" s="513" t="str">
        <f t="shared" si="1"/>
        <v>Proyecto No 3.1. Ecosistemas estratégicos continentales y marinos (6).</v>
      </c>
      <c r="N14" s="1366" t="str">
        <f t="shared" si="2"/>
        <v xml:space="preserve">Se aplazó meta de 2017 de 16000 hectareas correspondiente al 11% del total para el cuatrienio, para el 2018. Acuerdo # 035 26 Diciembre 2017. Acuerdo # 021 30 Noviembre 2018. </v>
      </c>
      <c r="O14" s="500" t="s">
        <v>898</v>
      </c>
      <c r="P14" s="499"/>
    </row>
    <row r="15" spans="1:18" ht="157.5">
      <c r="A15" s="348" t="s">
        <v>1176</v>
      </c>
      <c r="B15" s="349" t="s">
        <v>403</v>
      </c>
      <c r="C15" s="937" t="str">
        <f>'[3]10Paramos'!$D$8</f>
        <v>SIN INFORMACION</v>
      </c>
      <c r="D15" s="988" t="str">
        <f>'[4]Anexo 1 Matriz Informe Gestión'!$H$11</f>
        <v>SIN INFORMACION</v>
      </c>
      <c r="E15" s="1276" t="str">
        <f>'[2]10Paramos'!$D$8</f>
        <v>SIN INFORMACION</v>
      </c>
      <c r="F15" s="1365" t="str">
        <f>'10Paramos'!D8</f>
        <v>SIN INFORMACION</v>
      </c>
      <c r="H15" s="498" t="str">
        <f>'10Paramos'!F11</f>
        <v>Acuerdo # 008 del 11 de Mayo del 2016. Ajustado mediante Acuerdo # 031 30 Nov 2017</v>
      </c>
      <c r="I15" s="498" t="str">
        <f>'10Paramos'!E12</f>
        <v>Proyecto No 1.1.Planificación, Ordenamiento e Información Ambiental Territorial (1)</v>
      </c>
      <c r="J15" s="990" t="str">
        <f>'10Paramos'!E13</f>
        <v xml:space="preserve">MADS delimitó paramo Perijá donde se encuentra el paramo seco Cerro Pintao. Meta ajustada para el 2019 según Acuerdo # 031 del 30 de Noviembre de 2017. </v>
      </c>
      <c r="L15" s="513" t="str">
        <f t="shared" si="0"/>
        <v>Acuerdo # 008 del 11 de Mayo del 2016. Ajustado mediante Acuerdo # 031 30 Nov 2017</v>
      </c>
      <c r="M15" s="513" t="str">
        <f t="shared" si="1"/>
        <v>Proyecto No 1.1.Planificación, Ordenamiento e Información Ambiental Territorial (1)</v>
      </c>
      <c r="N15" s="1366" t="str">
        <f t="shared" si="2"/>
        <v xml:space="preserve">MADS delimitó paramo Perijá donde se encuentra el paramo seco Cerro Pintao. Meta ajustada para el 2019 según Acuerdo # 031 del 30 de Noviembre de 2017. </v>
      </c>
      <c r="O15" s="1569" t="s">
        <v>2054</v>
      </c>
      <c r="P15" s="1570"/>
    </row>
    <row r="16" spans="1:18" ht="48">
      <c r="A16" s="348" t="s">
        <v>1177</v>
      </c>
      <c r="B16" s="349" t="s">
        <v>426</v>
      </c>
      <c r="C16" s="937" t="str">
        <f>'[3]11Forest'!$D$8</f>
        <v>SIN INFORMACION</v>
      </c>
      <c r="D16" s="944" t="str">
        <f>'[4]Anexo 1 Matriz Informe Gestión'!$H$61</f>
        <v>SIN INFORMACION</v>
      </c>
      <c r="E16" s="1276" t="str">
        <f>'11Forest'!D8</f>
        <v>SIN INFORMACION</v>
      </c>
      <c r="F16" s="1365" t="str">
        <f>'11Forest'!D8</f>
        <v>SIN INFORMACION</v>
      </c>
      <c r="H16" s="498" t="str">
        <f>+'11Forest'!F11</f>
        <v>Acuerdo # 008 del 11 de Mayo de 2016</v>
      </c>
      <c r="I16" s="498" t="str">
        <f>+'11Forest'!E12</f>
        <v>Proyecto No 3.1. Ecosistemas estratégicos continentales y marinos (6).</v>
      </c>
      <c r="J16" s="498">
        <f>+'11Forest'!E13</f>
        <v>0</v>
      </c>
      <c r="L16" s="513" t="str">
        <f t="shared" si="0"/>
        <v>Acuerdo # 008 del 11 de Mayo de 2016</v>
      </c>
      <c r="M16" s="513" t="str">
        <f t="shared" si="1"/>
        <v>Proyecto No 3.1. Ecosistemas estratégicos continentales y marinos (6).</v>
      </c>
      <c r="N16" s="514" t="str">
        <f t="shared" si="2"/>
        <v/>
      </c>
      <c r="O16" s="500" t="s">
        <v>898</v>
      </c>
      <c r="P16" s="499"/>
    </row>
    <row r="17" spans="1:16" ht="48">
      <c r="A17" s="348" t="s">
        <v>1178</v>
      </c>
      <c r="B17" s="349" t="s">
        <v>458</v>
      </c>
      <c r="C17" s="941">
        <f>'[3]12PlanesAP'!$D$8</f>
        <v>1</v>
      </c>
      <c r="D17" s="942">
        <f>'[4]Anexo 1 Matriz Informe Gestión'!$H$53</f>
        <v>1</v>
      </c>
      <c r="E17" s="1277">
        <f>'[2]12PlanesAP'!$D$8</f>
        <v>0.88</v>
      </c>
      <c r="F17" s="1277">
        <f>'12PlanesAP'!D8</f>
        <v>0.78</v>
      </c>
      <c r="H17" s="498">
        <f>+'12PlanesAP'!F11</f>
        <v>0</v>
      </c>
      <c r="I17" s="498" t="str">
        <f>+'12PlanesAP'!E12</f>
        <v>Proyecto No 3.1. Ecosistemas estratégicos continentales y marinos (6).</v>
      </c>
      <c r="J17" s="498" t="str">
        <f>+'12PlanesAP'!E13</f>
        <v>Acuerdo # 008 del 11 de Mayo de 2016</v>
      </c>
      <c r="L17" s="513" t="str">
        <f t="shared" si="0"/>
        <v/>
      </c>
      <c r="M17" s="513" t="str">
        <f t="shared" si="1"/>
        <v>Proyecto No 3.1. Ecosistemas estratégicos continentales y marinos (6).</v>
      </c>
      <c r="N17" s="514" t="str">
        <f t="shared" si="2"/>
        <v>Acuerdo # 008 del 11 de Mayo de 2016</v>
      </c>
      <c r="O17" s="500" t="s">
        <v>898</v>
      </c>
      <c r="P17" s="499"/>
    </row>
    <row r="18" spans="1:16" ht="36">
      <c r="A18" s="348" t="s">
        <v>1179</v>
      </c>
      <c r="B18" s="349" t="s">
        <v>488</v>
      </c>
      <c r="C18" s="941">
        <f>'[3]13Amenaz'!$D$8</f>
        <v>1</v>
      </c>
      <c r="D18" s="942">
        <f>'[4]Anexo 1 Matriz Informe Gestión'!$H$62</f>
        <v>0.64</v>
      </c>
      <c r="E18" s="1277">
        <f>'[2]13Amenaz'!$D$8</f>
        <v>0.78</v>
      </c>
      <c r="F18" s="1277">
        <f>'13Amenaz'!D8</f>
        <v>0.66</v>
      </c>
      <c r="H18" s="498">
        <f>+'13Amenaz'!F11</f>
        <v>0</v>
      </c>
      <c r="I18" s="498" t="str">
        <f>+'13Amenaz'!E12</f>
        <v>Proyecto No 3.2. Protección y conservación de la biodiversidad (7).</v>
      </c>
      <c r="J18" s="990" t="str">
        <f>+'13Amenaz'!E13</f>
        <v>Acuerdo # 008 del 11 de Mayo de 2016</v>
      </c>
      <c r="L18" s="513" t="str">
        <f t="shared" si="0"/>
        <v/>
      </c>
      <c r="M18" s="513" t="str">
        <f t="shared" si="1"/>
        <v>Proyecto No 3.2. Protección y conservación de la biodiversidad (7).</v>
      </c>
      <c r="N18" s="514" t="str">
        <f t="shared" si="2"/>
        <v>Acuerdo # 008 del 11 de Mayo de 2016</v>
      </c>
      <c r="O18" s="500" t="s">
        <v>898</v>
      </c>
      <c r="P18" s="499"/>
    </row>
    <row r="19" spans="1:16" ht="48">
      <c r="A19" s="348" t="s">
        <v>1180</v>
      </c>
      <c r="B19" s="349" t="s">
        <v>534</v>
      </c>
      <c r="C19" s="941">
        <f>'[3]14Invasor'!$D$8</f>
        <v>1</v>
      </c>
      <c r="D19" s="942">
        <f>'[4]Anexo 1 Matriz Informe Gestión'!$H$63</f>
        <v>1</v>
      </c>
      <c r="E19" s="1277">
        <f>'[2]14Invasor'!$D$8</f>
        <v>1</v>
      </c>
      <c r="F19" s="1277">
        <f>'14Invasor'!D8</f>
        <v>1</v>
      </c>
      <c r="H19" s="498">
        <f>+'14Invasor'!F11</f>
        <v>0</v>
      </c>
      <c r="I19" s="498" t="str">
        <f>+'14Invasor'!E12</f>
        <v>Proyecto No 3.2. Protección y conservación de la biodiversidad (7).</v>
      </c>
      <c r="J19" s="1280" t="str">
        <f>+'14Invasor'!E13</f>
        <v>Acuerdo # 008 del 11 de Mayo de 2016</v>
      </c>
      <c r="L19" s="513" t="str">
        <f t="shared" si="0"/>
        <v/>
      </c>
      <c r="M19" s="513" t="str">
        <f t="shared" si="1"/>
        <v>Proyecto No 3.2. Protección y conservación de la biodiversidad (7).</v>
      </c>
      <c r="N19" s="514" t="str">
        <f t="shared" si="2"/>
        <v>Acuerdo # 008 del 11 de Mayo de 2016</v>
      </c>
      <c r="O19" s="500" t="s">
        <v>898</v>
      </c>
      <c r="P19" s="499"/>
    </row>
    <row r="20" spans="1:16" ht="48">
      <c r="A20" s="348" t="s">
        <v>1181</v>
      </c>
      <c r="B20" s="349" t="s">
        <v>565</v>
      </c>
      <c r="C20" s="941">
        <f>'[3]15Restaura'!$D$8</f>
        <v>1.9</v>
      </c>
      <c r="D20" s="945">
        <f>'[4]Anexo 1 Matriz Informe Gestión'!$H$54</f>
        <v>1.8</v>
      </c>
      <c r="E20" s="1277">
        <f>'[2]15Restaura'!$D$8</f>
        <v>2.09</v>
      </c>
      <c r="F20" s="1277">
        <f>'15Restaura'!D8</f>
        <v>0.18</v>
      </c>
      <c r="H20" s="498">
        <f>+'15Restaura'!F11</f>
        <v>0</v>
      </c>
      <c r="I20" s="498" t="str">
        <f>+'15Restaura'!E12</f>
        <v>Programa No 3. Bosques, Biodiversidad y Servicios Ecosistemicos.</v>
      </c>
      <c r="J20" s="1280" t="str">
        <f>+'15Restaura'!E13</f>
        <v>Acuerdo # 008 del 11 de Mayo de 2016</v>
      </c>
      <c r="L20" s="513" t="str">
        <f t="shared" si="0"/>
        <v/>
      </c>
      <c r="M20" s="513" t="str">
        <f t="shared" si="1"/>
        <v>Programa No 3. Bosques, Biodiversidad y Servicios Ecosistemicos.</v>
      </c>
      <c r="N20" s="514" t="str">
        <f t="shared" si="2"/>
        <v>Acuerdo # 008 del 11 de Mayo de 2016</v>
      </c>
      <c r="O20" s="500" t="s">
        <v>898</v>
      </c>
      <c r="P20" s="499"/>
    </row>
    <row r="21" spans="1:16" ht="48">
      <c r="A21" s="348" t="s">
        <v>1182</v>
      </c>
      <c r="B21" s="349" t="s">
        <v>593</v>
      </c>
      <c r="C21" s="941">
        <f>'[3]16MIZC'!$D$8</f>
        <v>0.16</v>
      </c>
      <c r="D21" s="947" t="str">
        <f>'[4]Anexo 1 Matriz Informe Gestión'!$H$55</f>
        <v>SIN INFORMACION</v>
      </c>
      <c r="E21" s="1276" t="str">
        <f>'[2]16MIZC'!$D$8</f>
        <v>SIN INFORMACION</v>
      </c>
      <c r="F21" s="1277">
        <f>'16MIZC'!D8</f>
        <v>0.48</v>
      </c>
      <c r="H21" s="498" t="str">
        <f>+'16MIZC'!F11</f>
        <v>Acuerdo # 008 del 11 de Mayo de 2016</v>
      </c>
      <c r="I21" s="498" t="str">
        <f>+'16MIZC'!E12</f>
        <v>Proyecto No 3.1. Ecosistemas estratégicos continentales y marinos (6).</v>
      </c>
      <c r="J21" s="498">
        <f>+'16MIZC'!E13</f>
        <v>0</v>
      </c>
      <c r="L21" s="513" t="str">
        <f t="shared" si="0"/>
        <v/>
      </c>
      <c r="M21" s="513" t="str">
        <f t="shared" si="1"/>
        <v>Proyecto No 3.1. Ecosistemas estratégicos continentales y marinos (6).</v>
      </c>
      <c r="N21" s="514" t="str">
        <f t="shared" si="2"/>
        <v/>
      </c>
      <c r="O21" s="500" t="s">
        <v>898</v>
      </c>
      <c r="P21" s="499"/>
    </row>
    <row r="22" spans="1:16" ht="72">
      <c r="A22" s="348" t="s">
        <v>1183</v>
      </c>
      <c r="B22" s="349" t="s">
        <v>642</v>
      </c>
      <c r="C22" s="941">
        <f>'[3]17PGIRS'!$D$8</f>
        <v>1</v>
      </c>
      <c r="D22" s="942">
        <f>'[4]Anexo 1 Matriz Informe Gestión'!$H$83</f>
        <v>1</v>
      </c>
      <c r="E22" s="1277">
        <f>'[2]17PGIRS'!$D$8</f>
        <v>1</v>
      </c>
      <c r="F22" s="1277">
        <f>'17PGIRS'!D8</f>
        <v>0.93</v>
      </c>
      <c r="H22" s="498">
        <f>+'17PGIRS'!F11</f>
        <v>0</v>
      </c>
      <c r="I22" s="498" t="str">
        <f>+'17PGIRS'!E12</f>
        <v>Proyecto No. 6.1.  (13). Evaluación, Seguimiento, Monitoreo y Control de la calidad de los recursos naturales y la biodiversidad.</v>
      </c>
      <c r="J22" s="1280" t="str">
        <f>+'17PGIRS'!E13</f>
        <v>Acuerdo # 008 del 11 de Mayo de 2016</v>
      </c>
      <c r="L22" s="513" t="str">
        <f t="shared" si="0"/>
        <v/>
      </c>
      <c r="M22" s="513" t="str">
        <f t="shared" si="1"/>
        <v>Proyecto No. 6.1.  (13). Evaluación, Seguimiento, Monitoreo y Control de la calidad de los recursos naturales y la biodiversidad.</v>
      </c>
      <c r="N22" s="514" t="str">
        <f t="shared" si="2"/>
        <v>Acuerdo # 008 del 11 de Mayo de 2016</v>
      </c>
      <c r="O22" s="500" t="s">
        <v>898</v>
      </c>
      <c r="P22" s="499"/>
    </row>
    <row r="23" spans="1:16" ht="33.75">
      <c r="A23" s="348" t="s">
        <v>1184</v>
      </c>
      <c r="B23" s="349" t="s">
        <v>663</v>
      </c>
      <c r="C23" s="941">
        <f>'[3]18Sector'!$D$8</f>
        <v>1</v>
      </c>
      <c r="D23" s="942">
        <f>'[4]Anexo 1 Matriz Informe Gestión'!$I$73</f>
        <v>1</v>
      </c>
      <c r="E23" s="1277">
        <f>'[2]18Sector'!$D$8</f>
        <v>1</v>
      </c>
      <c r="F23" s="1278"/>
      <c r="H23" s="498">
        <f>+'18Sector'!F11</f>
        <v>0</v>
      </c>
      <c r="I23" s="498" t="str">
        <f>+'18Sector'!E12</f>
        <v>Proyecto No 4.2. Gestión Ambiental Sectorial (10)</v>
      </c>
      <c r="J23" s="990" t="str">
        <f>+'18Sector'!E13</f>
        <v>Acuerdo # 008 del 11 de Mayo de 2016</v>
      </c>
      <c r="L23" s="513" t="str">
        <f t="shared" si="0"/>
        <v/>
      </c>
      <c r="M23" s="513" t="str">
        <f t="shared" si="1"/>
        <v>Proyecto No 4.2. Gestión Ambiental Sectorial (10)</v>
      </c>
      <c r="N23" s="514" t="str">
        <f t="shared" si="2"/>
        <v>Acuerdo # 008 del 11 de Mayo de 2016</v>
      </c>
      <c r="O23" s="500" t="s">
        <v>898</v>
      </c>
      <c r="P23" s="499"/>
    </row>
    <row r="24" spans="1:16" ht="101.25" customHeight="1">
      <c r="A24" s="348" t="s">
        <v>1185</v>
      </c>
      <c r="B24" s="349" t="s">
        <v>716</v>
      </c>
      <c r="C24" s="941">
        <f>'[3]19GAU'!$D$8</f>
        <v>0.17</v>
      </c>
      <c r="D24" s="1279">
        <f>'[4]Anexo 1 Matriz Informe Gestión'!$H$71</f>
        <v>0.44</v>
      </c>
      <c r="E24" s="1277">
        <f>'[2]19GAU'!$D$8</f>
        <v>0.7</v>
      </c>
      <c r="F24" s="1277">
        <f>'16MIZC'!D8</f>
        <v>0.48</v>
      </c>
      <c r="H24" s="498">
        <f>+'19GAU'!F11</f>
        <v>0</v>
      </c>
      <c r="I24" s="498" t="str">
        <f>+'19GAU'!E12</f>
        <v>Programa No 4. Gestion Ambiental Sectorial y Urbana.</v>
      </c>
      <c r="J24" s="990" t="str">
        <f>+'19GAU'!E13</f>
        <v>Acuerdo # 008 del 11 de Mayo de 2016. El proyecto plantea en el PA 12 actividades/ Acciones de las cuales en el año 1 se trabajan 10, en el año 2 12; en el año 3 once (11) y en el año 4 diez (10), por que dos se ejecutan en su totalidad en el año 2: El total de acciones del proyecto en el PA son 12.</v>
      </c>
      <c r="L24" s="513" t="str">
        <f t="shared" si="0"/>
        <v/>
      </c>
      <c r="M24" s="513" t="str">
        <f t="shared" si="1"/>
        <v>Programa No 4. Gestion Ambiental Sectorial y Urbana.</v>
      </c>
      <c r="N24" s="1563" t="str">
        <f t="shared" si="2"/>
        <v>Acuerdo # 008 del 11 de Mayo de 2016. El proyecto plantea en el PA 12 actividades/ Acciones de las cuales en el año 1 se trabajan 10, en el año 2 12; en el año 3 once (11) y en el año 4 diez (10), por que dos se ejecutan en su totalidad en el año 2: El total de acciones del proyecto en el PA son 12.</v>
      </c>
      <c r="O24" s="1564"/>
      <c r="P24" s="1565"/>
    </row>
    <row r="25" spans="1:16" ht="33.75">
      <c r="A25" s="348" t="s">
        <v>1186</v>
      </c>
      <c r="B25" s="349" t="s">
        <v>789</v>
      </c>
      <c r="C25" s="941">
        <f>'[3]20Negoc'!$D$8</f>
        <v>0.18</v>
      </c>
      <c r="D25" s="946">
        <f>'[4]Anexo 1 Matriz Informe Gestión'!$H$68</f>
        <v>0.25</v>
      </c>
      <c r="E25" s="1277">
        <f>'[2]20Negoc'!$D$8</f>
        <v>0.25</v>
      </c>
      <c r="F25" s="1277">
        <f>'20Negoc'!D8</f>
        <v>0.17</v>
      </c>
      <c r="H25" s="498">
        <f>+'20Negoc'!F11</f>
        <v>0</v>
      </c>
      <c r="I25" s="498" t="str">
        <f>+'20Negoc'!E12</f>
        <v>Proyecto No 3.3. Negocios verdes y sostenibles (8).</v>
      </c>
      <c r="J25" s="990" t="str">
        <f>+'20Negoc'!E13</f>
        <v>Acuerdo # 008 del 11 de Mayo de 2016</v>
      </c>
      <c r="L25" s="513" t="str">
        <f t="shared" si="0"/>
        <v/>
      </c>
      <c r="M25" s="513" t="str">
        <f t="shared" si="1"/>
        <v>Proyecto No 3.3. Negocios verdes y sostenibles (8).</v>
      </c>
      <c r="N25" s="514" t="str">
        <f t="shared" si="2"/>
        <v>Acuerdo # 008 del 11 de Mayo de 2016</v>
      </c>
      <c r="O25" s="500" t="s">
        <v>898</v>
      </c>
      <c r="P25" s="499"/>
    </row>
    <row r="26" spans="1:16" ht="90">
      <c r="A26" s="348" t="s">
        <v>1187</v>
      </c>
      <c r="B26" s="349" t="s">
        <v>854</v>
      </c>
      <c r="C26" s="941">
        <f>'[3]21TiempoT'!$D$8</f>
        <v>0.59</v>
      </c>
      <c r="D26" s="939">
        <f>'[4]Anexo 1 Matriz Informe Gestión'!$I$85</f>
        <v>0.95</v>
      </c>
      <c r="E26" s="1277">
        <f>'[2]21TiempoT'!$D$8</f>
        <v>1</v>
      </c>
      <c r="F26" s="1277">
        <f>'21TiempoT'!D8</f>
        <v>0.67</v>
      </c>
      <c r="H26" s="498">
        <f>+'21TiempoT'!F11</f>
        <v>0</v>
      </c>
      <c r="I26" s="498" t="str">
        <f>+'21TiempoT'!E12</f>
        <v>Proyecto No. 6.1.  (13). Evaluación, Seguimiento, Monitoreo y Control de la calidad de los recursos naturales y la biodiversidad.</v>
      </c>
      <c r="J26" s="990" t="str">
        <f>+'21TiempoT'!E13</f>
        <v>Acuerdo # 008 del 11 de Mayo de 2016. Ajustado mediante Acuerdo # 012 27 Abril 2017</v>
      </c>
      <c r="L26" s="513" t="str">
        <f t="shared" si="0"/>
        <v/>
      </c>
      <c r="M26" s="513" t="str">
        <f t="shared" si="1"/>
        <v>Proyecto No. 6.1.  (13). Evaluación, Seguimiento, Monitoreo y Control de la calidad de los recursos naturales y la biodiversidad.</v>
      </c>
      <c r="N26" s="514" t="str">
        <f t="shared" si="2"/>
        <v>Acuerdo # 008 del 11 de Mayo de 2016. Ajustado mediante Acuerdo # 012 27 Abril 2017</v>
      </c>
      <c r="O26" s="500" t="s">
        <v>898</v>
      </c>
      <c r="P26" s="499"/>
    </row>
    <row r="27" spans="1:16" ht="72">
      <c r="A27" s="348" t="s">
        <v>1188</v>
      </c>
      <c r="B27" s="349" t="s">
        <v>897</v>
      </c>
      <c r="C27" s="941">
        <f>'[3]22Autor'!$D$8</f>
        <v>0.97</v>
      </c>
      <c r="D27" s="942">
        <f>'[4]Anexo 1 Matriz Informe Gestión'!$H$84</f>
        <v>0.79</v>
      </c>
      <c r="E27" s="1277">
        <f>'[2]22Autor'!$D$8</f>
        <v>0.67</v>
      </c>
      <c r="F27" s="1277">
        <f>'22Autor'!D8</f>
        <v>0.56999999999999995</v>
      </c>
      <c r="H27" s="498">
        <f>+'22Autor'!F11</f>
        <v>0</v>
      </c>
      <c r="I27" s="498" t="str">
        <f>+'22Autor'!E12</f>
        <v>Proyecto No. 6.1.  (13). Evaluación, Seguimiento, Monitoreo y Control de la calidad de los recursos naturales y la biodiversidad.</v>
      </c>
      <c r="J27" s="1280" t="str">
        <f>+'22Autor'!E13</f>
        <v xml:space="preserve">Acuerdo # 008 del 11 de Mayo de 2016. </v>
      </c>
      <c r="L27" s="513" t="str">
        <f t="shared" si="0"/>
        <v/>
      </c>
      <c r="M27" s="513" t="str">
        <f t="shared" si="1"/>
        <v>Proyecto No. 6.1.  (13). Evaluación, Seguimiento, Monitoreo y Control de la calidad de los recursos naturales y la biodiversidad.</v>
      </c>
      <c r="N27" s="514" t="str">
        <f t="shared" si="2"/>
        <v xml:space="preserve">Acuerdo # 008 del 11 de Mayo de 2016. </v>
      </c>
      <c r="O27" s="500" t="s">
        <v>898</v>
      </c>
      <c r="P27" s="499"/>
    </row>
    <row r="28" spans="1:16" ht="72">
      <c r="A28" s="348" t="s">
        <v>1189</v>
      </c>
      <c r="B28" s="349" t="s">
        <v>962</v>
      </c>
      <c r="C28" s="941">
        <f>'[3]23Sanc'!$D$8</f>
        <v>0.48</v>
      </c>
      <c r="D28" s="939">
        <f>'[4]Anexo 1 Matriz Informe Gestión'!$H$86</f>
        <v>0.11</v>
      </c>
      <c r="E28" s="1277">
        <f>'[2]23Sanc'!$D$8</f>
        <v>0.08</v>
      </c>
      <c r="F28" s="1277">
        <f>'23Sanc'!D8</f>
        <v>0.01</v>
      </c>
      <c r="H28" s="498">
        <f>+'22Autor'!F11</f>
        <v>0</v>
      </c>
      <c r="I28" s="498" t="str">
        <f>+'22Autor'!E12</f>
        <v>Proyecto No. 6.1.  (13). Evaluación, Seguimiento, Monitoreo y Control de la calidad de los recursos naturales y la biodiversidad.</v>
      </c>
      <c r="J28" s="1280" t="str">
        <f>+'22Autor'!E13</f>
        <v xml:space="preserve">Acuerdo # 008 del 11 de Mayo de 2016. </v>
      </c>
      <c r="L28" s="513" t="str">
        <f t="shared" si="0"/>
        <v/>
      </c>
      <c r="M28" s="513" t="str">
        <f t="shared" si="1"/>
        <v>Proyecto No. 6.1.  (13). Evaluación, Seguimiento, Monitoreo y Control de la calidad de los recursos naturales y la biodiversidad.</v>
      </c>
      <c r="N28" s="514" t="str">
        <f t="shared" si="2"/>
        <v xml:space="preserve">Acuerdo # 008 del 11 de Mayo de 2016. </v>
      </c>
      <c r="O28" s="500" t="s">
        <v>898</v>
      </c>
      <c r="P28" s="499"/>
    </row>
    <row r="29" spans="1:16" ht="60">
      <c r="A29" s="348" t="s">
        <v>1190</v>
      </c>
      <c r="B29" s="349" t="s">
        <v>983</v>
      </c>
      <c r="C29" s="941">
        <f>'[3]24POT'!$D$7</f>
        <v>1</v>
      </c>
      <c r="D29" s="942">
        <f>'[4]Anexo 1 Matriz Informe Gestión'!$H$12</f>
        <v>1</v>
      </c>
      <c r="E29" s="1277">
        <f>'[2]24POT'!$D$7</f>
        <v>1</v>
      </c>
      <c r="F29" s="1277">
        <f>'24POT'!D7</f>
        <v>1</v>
      </c>
      <c r="H29" s="498">
        <f>'24POT'!F10</f>
        <v>0</v>
      </c>
      <c r="I29" s="498" t="str">
        <f>'24POT'!E11</f>
        <v>Proyecto No 1.1.Planificación, Ordenamiento e Información Ambiental Territorial (1)</v>
      </c>
      <c r="J29" s="1280" t="str">
        <f>'24POT'!E12</f>
        <v xml:space="preserve">Acuerdo # 008 del 11 de Mayo de 2016. </v>
      </c>
      <c r="L29" s="513" t="str">
        <f t="shared" si="0"/>
        <v/>
      </c>
      <c r="M29" s="513" t="str">
        <f t="shared" si="1"/>
        <v>Proyecto No 1.1.Planificación, Ordenamiento e Información Ambiental Territorial (1)</v>
      </c>
      <c r="N29" s="514" t="str">
        <f t="shared" si="2"/>
        <v xml:space="preserve">Acuerdo # 008 del 11 de Mayo de 2016. </v>
      </c>
      <c r="O29" s="500" t="s">
        <v>898</v>
      </c>
      <c r="P29" s="499"/>
    </row>
    <row r="30" spans="1:16" ht="72">
      <c r="A30" s="348" t="s">
        <v>1191</v>
      </c>
      <c r="B30" s="349" t="s">
        <v>1012</v>
      </c>
      <c r="C30" s="941">
        <f>'[3]25Redes'!$D$8</f>
        <v>0.15</v>
      </c>
      <c r="D30" s="946">
        <f>'[4]Anexo 1 Matriz Informe Gestión'!$H$21</f>
        <v>0.66</v>
      </c>
      <c r="E30" s="1277">
        <f>'[2]25Redes'!$D$8</f>
        <v>0.91</v>
      </c>
      <c r="F30" s="1277">
        <f>'25Redes'!D8</f>
        <v>0.35</v>
      </c>
      <c r="H30" s="498">
        <f>+'25Redes'!F11</f>
        <v>0</v>
      </c>
      <c r="I30" s="498" t="str">
        <f>+'25Redes'!E12</f>
        <v>Proyecto No 1.1.Planificación, Ordenamiento e Información Ambiental Territorial (1);  Proyecto No 6.2. Calidad del Aire (14).</v>
      </c>
      <c r="J30" s="1280" t="str">
        <f>+'25Redes'!E13</f>
        <v xml:space="preserve">Acuerdo # 008 del 11 de Mayo de 2016. </v>
      </c>
      <c r="L30" s="513" t="str">
        <f t="shared" si="0"/>
        <v/>
      </c>
      <c r="M30" s="513" t="str">
        <f t="shared" si="1"/>
        <v>Proyecto No 1.1.Planificación, Ordenamiento e Información Ambiental Territorial (1);  Proyecto No 6.2. Calidad del Aire (14).</v>
      </c>
      <c r="N30" s="514" t="str">
        <f t="shared" si="2"/>
        <v xml:space="preserve">Acuerdo # 008 del 11 de Mayo de 2016. </v>
      </c>
      <c r="O30" s="500" t="s">
        <v>898</v>
      </c>
      <c r="P30" s="499"/>
    </row>
    <row r="31" spans="1:16" ht="60">
      <c r="A31" s="348" t="s">
        <v>1192</v>
      </c>
      <c r="B31" s="349" t="s">
        <v>1085</v>
      </c>
      <c r="C31" s="941">
        <f>'[3]26SIAC'!$D$8</f>
        <v>0.54</v>
      </c>
      <c r="D31" s="943">
        <f>'[4]Anexo 1 Matriz Informe Gestión'!$H$13</f>
        <v>0.71</v>
      </c>
      <c r="E31" s="1277">
        <f>'[2]26SIAC'!$D$8</f>
        <v>0.7</v>
      </c>
      <c r="F31" s="1277">
        <f>'26SIAC'!D8</f>
        <v>0.46</v>
      </c>
      <c r="H31" s="498">
        <f>+'26SIAC'!F11</f>
        <v>0</v>
      </c>
      <c r="I31" s="498" t="str">
        <f>+'26SIAC'!E12</f>
        <v>Proyecto No 1.1.Planificación, Ordenamiento e Información Ambiental Territorial (1)</v>
      </c>
      <c r="J31" s="1280" t="str">
        <f>+'26SIAC'!E13</f>
        <v xml:space="preserve">Acuerdo # 008 del 11 de Mayo de 2016. </v>
      </c>
      <c r="L31" s="513" t="str">
        <f t="shared" si="0"/>
        <v/>
      </c>
      <c r="M31" s="513" t="str">
        <f t="shared" si="1"/>
        <v>Proyecto No 1.1.Planificación, Ordenamiento e Información Ambiental Territorial (1)</v>
      </c>
      <c r="N31" s="514" t="str">
        <f t="shared" si="2"/>
        <v xml:space="preserve">Acuerdo # 008 del 11 de Mayo de 2016. </v>
      </c>
      <c r="O31" s="500" t="s">
        <v>898</v>
      </c>
      <c r="P31" s="499"/>
    </row>
    <row r="32" spans="1:16" ht="48">
      <c r="A32" s="348" t="s">
        <v>1193</v>
      </c>
      <c r="B32" s="349" t="s">
        <v>1132</v>
      </c>
      <c r="C32" s="941">
        <f>'[3]27Educa'!$D$8</f>
        <v>0.19</v>
      </c>
      <c r="D32" s="946">
        <f>'[4]Anexo 1 Matriz Informe Gestión'!$I$74</f>
        <v>0.96</v>
      </c>
      <c r="E32" s="1277">
        <f>'[2]27Educa'!$D$8</f>
        <v>0.57999999999999996</v>
      </c>
      <c r="F32" s="1277">
        <f>'27Educa'!D8</f>
        <v>0.48</v>
      </c>
      <c r="H32" s="498">
        <f>+'27Educa'!F11</f>
        <v>0</v>
      </c>
      <c r="I32" s="498" t="str">
        <f>+'27Educa'!E12</f>
        <v>Programa No. 5. Educacion Ambiental</v>
      </c>
      <c r="J32" s="1280" t="str">
        <f>+'27Educa'!E13</f>
        <v xml:space="preserve">Acuerdo # 008 del 11 de Mayo de 2016. </v>
      </c>
      <c r="L32" s="513" t="str">
        <f t="shared" si="0"/>
        <v/>
      </c>
      <c r="M32" s="513" t="str">
        <f t="shared" si="1"/>
        <v>Programa No. 5. Educacion Ambiental</v>
      </c>
      <c r="N32" s="514" t="str">
        <f t="shared" si="2"/>
        <v xml:space="preserve">Acuerdo # 008 del 11 de Mayo de 2016. </v>
      </c>
      <c r="O32" s="500" t="s">
        <v>898</v>
      </c>
      <c r="P32" s="499"/>
    </row>
  </sheetData>
  <sheetProtection sheet="1" objects="1" scenarios="1"/>
  <mergeCells count="11">
    <mergeCell ref="A1:P1"/>
    <mergeCell ref="A3:P3"/>
    <mergeCell ref="A4:B4"/>
    <mergeCell ref="A2:P2"/>
    <mergeCell ref="N24:P24"/>
    <mergeCell ref="N5:P5"/>
    <mergeCell ref="O15:P15"/>
    <mergeCell ref="O8:P8"/>
    <mergeCell ref="O9:P9"/>
    <mergeCell ref="O6:P6"/>
    <mergeCell ref="O7:P7"/>
  </mergeCells>
  <conditionalFormatting sqref="C6:C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25:O32 O8 O10:O23">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opLeftCell="A55" zoomScaleNormal="100" zoomScaleSheetLayoutView="100" workbookViewId="0">
      <selection activeCell="F85" sqref="F85"/>
    </sheetView>
  </sheetViews>
  <sheetFormatPr baseColWidth="10" defaultRowHeight="12.75"/>
  <cols>
    <col min="1" max="1" width="19.28515625" style="528" customWidth="1"/>
    <col min="2" max="2" width="49" style="528" customWidth="1"/>
    <col min="3" max="5" width="20.5703125" style="528" customWidth="1"/>
    <col min="6" max="6" width="20.140625" style="528" customWidth="1"/>
    <col min="7" max="7" width="11.42578125" style="528"/>
    <col min="8" max="8" width="37.42578125" style="528" customWidth="1"/>
    <col min="9" max="10" width="17.5703125" style="528" bestFit="1" customWidth="1"/>
    <col min="11" max="11" width="16.5703125" style="528" bestFit="1" customWidth="1"/>
    <col min="12" max="16384" width="11.42578125" style="528"/>
  </cols>
  <sheetData>
    <row r="1" spans="1:9" ht="130.5" customHeight="1">
      <c r="A1" s="1575"/>
      <c r="B1" s="1575"/>
      <c r="C1" s="1575"/>
      <c r="D1" s="1575"/>
      <c r="E1" s="1575"/>
      <c r="F1" s="1575"/>
    </row>
    <row r="2" spans="1:9" ht="7.5" customHeight="1"/>
    <row r="3" spans="1:9">
      <c r="A3" s="1577"/>
      <c r="B3" s="1577"/>
      <c r="C3" s="1577"/>
      <c r="D3" s="1577"/>
      <c r="E3" s="1330"/>
    </row>
    <row r="4" spans="1:9">
      <c r="A4" s="1576"/>
      <c r="B4" s="1576"/>
      <c r="C4" s="1576"/>
      <c r="D4" s="1576"/>
      <c r="E4" s="1329"/>
    </row>
    <row r="5" spans="1:9" ht="13.5" thickBot="1">
      <c r="A5" s="1576"/>
      <c r="B5" s="1576"/>
      <c r="C5" s="1576"/>
      <c r="D5" s="1576"/>
      <c r="E5" s="1329"/>
    </row>
    <row r="6" spans="1:9" ht="13.5" thickBot="1">
      <c r="A6" s="1578" t="s">
        <v>2101</v>
      </c>
      <c r="B6" s="1579"/>
      <c r="C6" s="1579"/>
      <c r="D6" s="1579"/>
      <c r="E6" s="1579"/>
      <c r="F6" s="1580"/>
    </row>
    <row r="7" spans="1:9" ht="22.5">
      <c r="A7" s="1414" t="s">
        <v>1517</v>
      </c>
      <c r="B7" s="1415" t="s">
        <v>1518</v>
      </c>
      <c r="C7" s="1416" t="s">
        <v>1841</v>
      </c>
      <c r="D7" s="1416" t="s">
        <v>2016</v>
      </c>
      <c r="E7" s="1417" t="s">
        <v>484</v>
      </c>
      <c r="F7" s="1418" t="s">
        <v>1519</v>
      </c>
    </row>
    <row r="8" spans="1:9">
      <c r="A8" s="995" t="s">
        <v>1520</v>
      </c>
      <c r="B8" s="996" t="s">
        <v>1983</v>
      </c>
      <c r="C8" s="997">
        <f>C9+C42</f>
        <v>12132850000</v>
      </c>
      <c r="D8" s="997">
        <f>D9+D42</f>
        <v>12880550000</v>
      </c>
      <c r="E8" s="997">
        <f>E9+E42</f>
        <v>13519387679</v>
      </c>
      <c r="F8" s="998">
        <f>F9+F42</f>
        <v>7603010645.6199999</v>
      </c>
      <c r="G8" s="1286">
        <f>F8/E8</f>
        <v>0.56000000000000005</v>
      </c>
    </row>
    <row r="9" spans="1:9">
      <c r="A9" s="999" t="s">
        <v>1521</v>
      </c>
      <c r="B9" s="1000" t="s">
        <v>1984</v>
      </c>
      <c r="C9" s="1001">
        <f>C10+C14</f>
        <v>12132850000</v>
      </c>
      <c r="D9" s="1001">
        <f>D10+D14</f>
        <v>12880550000</v>
      </c>
      <c r="E9" s="1001">
        <f>E10+E14</f>
        <v>12114975818</v>
      </c>
      <c r="F9" s="759">
        <f>F10+F14</f>
        <v>6328537699.1400003</v>
      </c>
      <c r="G9" s="1286">
        <f>F9/E9</f>
        <v>0.52</v>
      </c>
    </row>
    <row r="10" spans="1:9">
      <c r="A10" s="1002" t="s">
        <v>1522</v>
      </c>
      <c r="B10" s="1003" t="s">
        <v>1325</v>
      </c>
      <c r="C10" s="1004">
        <f>SUM(C11:C13)</f>
        <v>4320000000</v>
      </c>
      <c r="D10" s="1004">
        <f>SUM(D11:D13)</f>
        <v>4320000000</v>
      </c>
      <c r="E10" s="1004">
        <f>SUM(E11:E13)</f>
        <v>3909803515</v>
      </c>
      <c r="F10" s="760">
        <f>SUM(F11:F13)</f>
        <v>3595005788</v>
      </c>
      <c r="G10" s="1286">
        <f>F10/E10</f>
        <v>0.92</v>
      </c>
    </row>
    <row r="11" spans="1:9">
      <c r="A11" s="1005"/>
      <c r="B11" s="1006" t="s">
        <v>1523</v>
      </c>
      <c r="C11" s="761">
        <v>0</v>
      </c>
      <c r="D11" s="761"/>
      <c r="E11" s="761"/>
      <c r="F11" s="761"/>
    </row>
    <row r="12" spans="1:9">
      <c r="A12" s="1007" t="s">
        <v>1524</v>
      </c>
      <c r="B12" s="1006" t="s">
        <v>1525</v>
      </c>
      <c r="C12" s="1008">
        <v>4320000000</v>
      </c>
      <c r="D12" s="1281">
        <v>4320000000</v>
      </c>
      <c r="E12" s="1281">
        <f>4320000000-1000000-409196485</f>
        <v>3909803515</v>
      </c>
      <c r="F12" s="761">
        <v>3595005788</v>
      </c>
      <c r="G12" s="1287">
        <f>F12/E12</f>
        <v>0.92</v>
      </c>
    </row>
    <row r="13" spans="1:9">
      <c r="A13" s="1007"/>
      <c r="B13" s="1006" t="s">
        <v>1326</v>
      </c>
      <c r="C13" s="761">
        <v>0</v>
      </c>
      <c r="D13" s="761"/>
      <c r="E13" s="761"/>
      <c r="F13" s="761"/>
      <c r="I13" s="796"/>
    </row>
    <row r="14" spans="1:9">
      <c r="A14" s="1009" t="s">
        <v>1526</v>
      </c>
      <c r="B14" s="1003" t="s">
        <v>1327</v>
      </c>
      <c r="C14" s="1004">
        <f>C21+C25+C35+C38</f>
        <v>7812850000</v>
      </c>
      <c r="D14" s="1004">
        <f>D21+D25+D35+D38</f>
        <v>8560550000</v>
      </c>
      <c r="E14" s="1004">
        <f>E21+E25+E35+E38</f>
        <v>8205172303</v>
      </c>
      <c r="F14" s="760">
        <f>F21+F25+F35+F38</f>
        <v>2733531911.1399999</v>
      </c>
      <c r="G14" s="1287">
        <f>F14/E14</f>
        <v>0.33</v>
      </c>
      <c r="I14" s="796"/>
    </row>
    <row r="15" spans="1:9">
      <c r="A15" s="1007"/>
      <c r="B15" s="782" t="s">
        <v>1328</v>
      </c>
      <c r="C15" s="762">
        <f>SUM(C16:C17)</f>
        <v>0</v>
      </c>
      <c r="D15" s="762"/>
      <c r="E15" s="762"/>
      <c r="F15" s="762">
        <f>SUM(F16:F17)</f>
        <v>0</v>
      </c>
      <c r="I15" s="796"/>
    </row>
    <row r="16" spans="1:9">
      <c r="A16" s="1007"/>
      <c r="B16" s="1006" t="s">
        <v>1328</v>
      </c>
      <c r="C16" s="761">
        <v>0</v>
      </c>
      <c r="D16" s="761"/>
      <c r="E16" s="761"/>
      <c r="F16" s="761"/>
      <c r="I16" s="796"/>
    </row>
    <row r="17" spans="1:9">
      <c r="A17" s="1007"/>
      <c r="B17" s="1010" t="s">
        <v>1527</v>
      </c>
      <c r="C17" s="761">
        <v>0</v>
      </c>
      <c r="D17" s="761"/>
      <c r="E17" s="761"/>
      <c r="F17" s="761">
        <v>0</v>
      </c>
      <c r="I17" s="796"/>
    </row>
    <row r="18" spans="1:9">
      <c r="A18" s="1007"/>
      <c r="B18" s="782" t="s">
        <v>1329</v>
      </c>
      <c r="C18" s="763">
        <v>0</v>
      </c>
      <c r="D18" s="763"/>
      <c r="E18" s="763"/>
      <c r="F18" s="763"/>
      <c r="I18" s="797"/>
    </row>
    <row r="19" spans="1:9">
      <c r="A19" s="1007"/>
      <c r="B19" s="782" t="s">
        <v>1330</v>
      </c>
      <c r="C19" s="763">
        <v>0</v>
      </c>
      <c r="D19" s="763"/>
      <c r="E19" s="763"/>
      <c r="F19" s="763"/>
    </row>
    <row r="20" spans="1:9">
      <c r="A20" s="1007"/>
      <c r="B20" s="782" t="s">
        <v>1331</v>
      </c>
      <c r="C20" s="763">
        <v>0</v>
      </c>
      <c r="D20" s="763"/>
      <c r="E20" s="763"/>
      <c r="F20" s="763"/>
    </row>
    <row r="21" spans="1:9">
      <c r="A21" s="1007"/>
      <c r="B21" s="782" t="s">
        <v>1332</v>
      </c>
      <c r="C21" s="1011">
        <f>SUM(C22:C24)</f>
        <v>2800000000</v>
      </c>
      <c r="D21" s="1011">
        <f>SUM(D22:D24)</f>
        <v>2800000000</v>
      </c>
      <c r="E21" s="1011">
        <f>SUM(E22:E24)</f>
        <v>2799000000</v>
      </c>
      <c r="F21" s="763">
        <f>SUM(F22:F24)</f>
        <v>1285220368</v>
      </c>
      <c r="G21" s="1287">
        <f>F21/E21</f>
        <v>0.46</v>
      </c>
    </row>
    <row r="22" spans="1:9">
      <c r="A22" s="1007" t="s">
        <v>1528</v>
      </c>
      <c r="B22" s="1006" t="s">
        <v>1333</v>
      </c>
      <c r="C22" s="1008">
        <v>2800000000</v>
      </c>
      <c r="D22" s="1281">
        <v>2800000000</v>
      </c>
      <c r="E22" s="1281">
        <f>2800000000-1000000</f>
        <v>2799000000</v>
      </c>
      <c r="F22" s="761">
        <v>1285220368</v>
      </c>
    </row>
    <row r="23" spans="1:9">
      <c r="A23" s="1007" t="s">
        <v>1529</v>
      </c>
      <c r="B23" s="1006" t="s">
        <v>1530</v>
      </c>
      <c r="C23" s="907"/>
      <c r="D23" s="907"/>
      <c r="E23" s="907"/>
      <c r="F23" s="761"/>
    </row>
    <row r="24" spans="1:9">
      <c r="A24" s="1007"/>
      <c r="B24" s="1006" t="s">
        <v>1334</v>
      </c>
      <c r="C24" s="907">
        <v>0</v>
      </c>
      <c r="D24" s="907"/>
      <c r="E24" s="907"/>
      <c r="F24" s="761"/>
    </row>
    <row r="25" spans="1:9">
      <c r="A25" s="1007" t="s">
        <v>1531</v>
      </c>
      <c r="B25" s="782" t="s">
        <v>1985</v>
      </c>
      <c r="C25" s="1011">
        <f>SUM(C26:C34)</f>
        <v>3670550000</v>
      </c>
      <c r="D25" s="1011">
        <f>SUM(D26:D34)</f>
        <v>4410550000</v>
      </c>
      <c r="E25" s="1011">
        <f>SUM(E26:E34)</f>
        <v>4066172303</v>
      </c>
      <c r="F25" s="1011">
        <f>SUM(F26:F34)</f>
        <v>1292879800.1400001</v>
      </c>
      <c r="G25" s="1287">
        <f>F25/E25</f>
        <v>0.32</v>
      </c>
    </row>
    <row r="26" spans="1:9">
      <c r="A26" s="1007" t="s">
        <v>1532</v>
      </c>
      <c r="B26" s="1006" t="s">
        <v>1533</v>
      </c>
      <c r="C26" s="1008">
        <v>1280000000</v>
      </c>
      <c r="D26" s="1281">
        <v>500000000</v>
      </c>
      <c r="E26" s="1281">
        <f>500000000-1000000-110688848</f>
        <v>388311152</v>
      </c>
      <c r="F26" s="761">
        <v>213991034</v>
      </c>
    </row>
    <row r="27" spans="1:9">
      <c r="A27" s="1007"/>
      <c r="B27" s="1006" t="s">
        <v>1842</v>
      </c>
      <c r="C27" s="1008"/>
      <c r="D27" s="1281">
        <v>1000000000</v>
      </c>
      <c r="E27" s="1281">
        <f>900000000-110688849</f>
        <v>789311151</v>
      </c>
      <c r="F27" s="761">
        <v>530652701.04000002</v>
      </c>
    </row>
    <row r="28" spans="1:9">
      <c r="A28" s="1007"/>
      <c r="B28" s="1006" t="s">
        <v>1336</v>
      </c>
      <c r="C28" s="907"/>
      <c r="D28" s="907"/>
      <c r="E28" s="907"/>
      <c r="F28" s="761"/>
    </row>
    <row r="29" spans="1:9">
      <c r="A29" s="1007" t="s">
        <v>1534</v>
      </c>
      <c r="B29" s="1006" t="s">
        <v>1337</v>
      </c>
      <c r="C29" s="1008">
        <v>290550000</v>
      </c>
      <c r="D29" s="1281">
        <v>290550000</v>
      </c>
      <c r="E29" s="1281">
        <f>290550000-21000000</f>
        <v>269550000</v>
      </c>
      <c r="F29" s="761">
        <v>222706815</v>
      </c>
      <c r="G29" s="1286">
        <f>F29/E29</f>
        <v>0.83</v>
      </c>
    </row>
    <row r="30" spans="1:9">
      <c r="A30" s="1007"/>
      <c r="B30" s="1006" t="s">
        <v>1843</v>
      </c>
      <c r="C30" s="1008">
        <v>50000000</v>
      </c>
      <c r="D30" s="1281">
        <v>50000000</v>
      </c>
      <c r="E30" s="1281">
        <v>50000000</v>
      </c>
      <c r="F30" s="761">
        <v>95055696</v>
      </c>
    </row>
    <row r="31" spans="1:9">
      <c r="A31" s="1007" t="s">
        <v>1535</v>
      </c>
      <c r="B31" s="1006" t="s">
        <v>1536</v>
      </c>
      <c r="C31" s="1008"/>
      <c r="D31" s="1281">
        <v>20000000</v>
      </c>
      <c r="E31" s="1281">
        <v>19000000</v>
      </c>
      <c r="F31" s="761">
        <v>3744669</v>
      </c>
    </row>
    <row r="32" spans="1:9">
      <c r="A32" s="1007" t="s">
        <v>1537</v>
      </c>
      <c r="B32" s="1006" t="s">
        <v>1782</v>
      </c>
      <c r="C32" s="1008">
        <v>550000000</v>
      </c>
      <c r="D32" s="1281">
        <v>550000000</v>
      </c>
      <c r="E32" s="1281">
        <v>550000000</v>
      </c>
      <c r="F32" s="761">
        <v>149755436.09999999</v>
      </c>
    </row>
    <row r="33" spans="1:7">
      <c r="A33" s="1012" t="s">
        <v>1538</v>
      </c>
      <c r="B33" s="1014" t="s">
        <v>1539</v>
      </c>
      <c r="C33" s="1013">
        <v>1500000000</v>
      </c>
      <c r="D33" s="1282">
        <v>2000000000</v>
      </c>
      <c r="E33" s="1282">
        <v>2000000000</v>
      </c>
      <c r="F33" s="764">
        <v>76973449</v>
      </c>
    </row>
    <row r="34" spans="1:7">
      <c r="A34" s="1007"/>
      <c r="B34" s="1014" t="s">
        <v>1540</v>
      </c>
      <c r="C34" s="1015"/>
      <c r="D34" s="1015"/>
      <c r="E34" s="1015"/>
      <c r="F34" s="764"/>
    </row>
    <row r="35" spans="1:7">
      <c r="A35" s="1007" t="s">
        <v>1541</v>
      </c>
      <c r="B35" s="782" t="s">
        <v>1542</v>
      </c>
      <c r="C35" s="765">
        <f>SUM(C36:C37)</f>
        <v>902300000</v>
      </c>
      <c r="D35" s="765">
        <f>D36+D37</f>
        <v>900000000</v>
      </c>
      <c r="E35" s="765">
        <f>E36+E37</f>
        <v>900000000</v>
      </c>
      <c r="F35" s="765">
        <f>F36+F37</f>
        <v>126792022</v>
      </c>
    </row>
    <row r="36" spans="1:7">
      <c r="A36" s="1012" t="s">
        <v>1543</v>
      </c>
      <c r="B36" s="1010" t="s">
        <v>1544</v>
      </c>
      <c r="C36" s="1013">
        <v>400000000</v>
      </c>
      <c r="D36" s="1282">
        <v>400000000</v>
      </c>
      <c r="E36" s="1282">
        <v>400000000</v>
      </c>
      <c r="F36" s="761">
        <v>6873376</v>
      </c>
    </row>
    <row r="37" spans="1:7" ht="15" customHeight="1">
      <c r="A37" s="1012" t="s">
        <v>1844</v>
      </c>
      <c r="B37" s="1010" t="s">
        <v>1845</v>
      </c>
      <c r="C37" s="1013">
        <v>502300000</v>
      </c>
      <c r="D37" s="1282">
        <v>500000000</v>
      </c>
      <c r="E37" s="1282">
        <v>500000000</v>
      </c>
      <c r="F37" s="761">
        <v>119918646</v>
      </c>
    </row>
    <row r="38" spans="1:7">
      <c r="A38" s="1007" t="s">
        <v>1545</v>
      </c>
      <c r="B38" s="782" t="s">
        <v>1335</v>
      </c>
      <c r="C38" s="765">
        <f>SUM(C39:C41)</f>
        <v>440000000</v>
      </c>
      <c r="D38" s="765">
        <f>SUM(D39:D41)</f>
        <v>450000000</v>
      </c>
      <c r="E38" s="765">
        <f>SUM(E39:E41)</f>
        <v>440000000</v>
      </c>
      <c r="F38" s="765">
        <f>SUM(F39:F41)</f>
        <v>28639721</v>
      </c>
      <c r="G38" s="1287">
        <f>F38/E38</f>
        <v>7.0000000000000007E-2</v>
      </c>
    </row>
    <row r="39" spans="1:7">
      <c r="A39" s="1007" t="s">
        <v>1546</v>
      </c>
      <c r="B39" s="1010" t="s">
        <v>1547</v>
      </c>
      <c r="C39" s="1008">
        <v>440000000</v>
      </c>
      <c r="D39" s="1281">
        <v>440000000</v>
      </c>
      <c r="E39" s="1281">
        <f>330000000+100000000</f>
        <v>430000000</v>
      </c>
      <c r="F39" s="761">
        <v>19955988</v>
      </c>
    </row>
    <row r="40" spans="1:7">
      <c r="A40" s="1007" t="s">
        <v>1548</v>
      </c>
      <c r="B40" s="1010" t="s">
        <v>1549</v>
      </c>
      <c r="C40" s="1013"/>
      <c r="D40" s="1282"/>
      <c r="E40" s="1309"/>
      <c r="F40" s="1309"/>
    </row>
    <row r="41" spans="1:7">
      <c r="A41" s="1007" t="s">
        <v>1550</v>
      </c>
      <c r="B41" s="1006" t="s">
        <v>2066</v>
      </c>
      <c r="C41" s="1008"/>
      <c r="D41" s="1282">
        <v>10000000</v>
      </c>
      <c r="E41" s="1282">
        <v>10000000</v>
      </c>
      <c r="F41" s="1309">
        <v>8683733</v>
      </c>
    </row>
    <row r="42" spans="1:7">
      <c r="A42" s="1016" t="s">
        <v>1551</v>
      </c>
      <c r="B42" s="1017" t="s">
        <v>1338</v>
      </c>
      <c r="C42" s="1018">
        <f>+C43+C46+C49+C69+C73+C74</f>
        <v>0</v>
      </c>
      <c r="D42" s="1018">
        <f>+D43+D46+D49+D69+D73+D74</f>
        <v>0</v>
      </c>
      <c r="E42" s="1018">
        <f>+E49+E58+E62+E69+E73+E74</f>
        <v>1404411861</v>
      </c>
      <c r="F42" s="1018">
        <f>+F49+F58+F62+F69+F73+F74</f>
        <v>1274472946.48</v>
      </c>
      <c r="G42" s="1287">
        <f>F42/E42</f>
        <v>0.91</v>
      </c>
    </row>
    <row r="43" spans="1:7">
      <c r="A43" s="1019"/>
      <c r="B43" s="1020" t="s">
        <v>1339</v>
      </c>
      <c r="C43" s="766">
        <f>SUM(C44:C45)</f>
        <v>0</v>
      </c>
      <c r="D43" s="766"/>
      <c r="E43" s="766"/>
      <c r="F43" s="766">
        <f>SUM(F44:F45)</f>
        <v>0</v>
      </c>
    </row>
    <row r="44" spans="1:7">
      <c r="A44" s="1019"/>
      <c r="B44" s="1006" t="s">
        <v>1340</v>
      </c>
      <c r="C44" s="761">
        <v>0</v>
      </c>
      <c r="D44" s="761"/>
      <c r="E44" s="761"/>
      <c r="F44" s="761"/>
    </row>
    <row r="45" spans="1:7">
      <c r="A45" s="1007"/>
      <c r="B45" s="1006" t="s">
        <v>1341</v>
      </c>
      <c r="C45" s="761">
        <v>0</v>
      </c>
      <c r="D45" s="761"/>
      <c r="E45" s="761"/>
      <c r="F45" s="761"/>
    </row>
    <row r="46" spans="1:7">
      <c r="A46" s="1019"/>
      <c r="B46" s="1020" t="s">
        <v>1342</v>
      </c>
      <c r="C46" s="766">
        <f>SUM(C47:C48)</f>
        <v>0</v>
      </c>
      <c r="D46" s="766"/>
      <c r="E46" s="766"/>
      <c r="F46" s="766">
        <f>SUM(F47:F48)</f>
        <v>0</v>
      </c>
    </row>
    <row r="47" spans="1:7">
      <c r="A47" s="1019"/>
      <c r="B47" s="1006" t="s">
        <v>1340</v>
      </c>
      <c r="C47" s="761">
        <v>0</v>
      </c>
      <c r="D47" s="761"/>
      <c r="E47" s="761"/>
      <c r="F47" s="761"/>
    </row>
    <row r="48" spans="1:7">
      <c r="A48" s="1019"/>
      <c r="B48" s="1006" t="s">
        <v>1341</v>
      </c>
      <c r="C48" s="761"/>
      <c r="D48" s="761"/>
      <c r="E48" s="761"/>
      <c r="F48" s="761"/>
    </row>
    <row r="49" spans="1:10">
      <c r="A49" s="1021" t="s">
        <v>1552</v>
      </c>
      <c r="B49" s="1022" t="s">
        <v>1343</v>
      </c>
      <c r="C49" s="1023"/>
      <c r="D49" s="1023">
        <f>SUM(D50:D55)</f>
        <v>0</v>
      </c>
      <c r="E49" s="1023">
        <f>SUM(E50:E57)</f>
        <v>5000000</v>
      </c>
      <c r="F49" s="1023">
        <f>SUM(F50:F55)</f>
        <v>5061085.4800000004</v>
      </c>
      <c r="G49" s="1286">
        <f>F49/E49</f>
        <v>1.01</v>
      </c>
      <c r="I49" s="916"/>
      <c r="J49" s="917"/>
    </row>
    <row r="50" spans="1:10">
      <c r="A50" s="1024"/>
      <c r="B50" s="1337" t="s">
        <v>1846</v>
      </c>
      <c r="C50" s="1025"/>
      <c r="D50" s="1283"/>
      <c r="E50" s="1283">
        <v>1000000</v>
      </c>
      <c r="F50" s="1310">
        <v>2344088.4</v>
      </c>
      <c r="H50" s="796"/>
      <c r="I50" s="917"/>
      <c r="J50" s="917"/>
    </row>
    <row r="51" spans="1:10">
      <c r="A51" s="1024"/>
      <c r="B51" s="1337" t="s">
        <v>1847</v>
      </c>
      <c r="C51" s="1025"/>
      <c r="D51" s="1283"/>
      <c r="E51" s="1283">
        <v>1000000</v>
      </c>
      <c r="F51" s="1310">
        <v>428268.18</v>
      </c>
      <c r="I51" s="916"/>
      <c r="J51" s="916"/>
    </row>
    <row r="52" spans="1:10" ht="22.5">
      <c r="A52" s="1024"/>
      <c r="B52" s="1331" t="s">
        <v>1848</v>
      </c>
      <c r="C52" s="1025"/>
      <c r="D52" s="1283"/>
      <c r="E52" s="1419">
        <v>1000000</v>
      </c>
      <c r="F52" s="1420">
        <v>424861.83</v>
      </c>
      <c r="H52" s="796"/>
      <c r="I52" s="917"/>
      <c r="J52" s="916"/>
    </row>
    <row r="53" spans="1:10">
      <c r="A53" s="1024"/>
      <c r="B53" s="1331" t="s">
        <v>1977</v>
      </c>
      <c r="C53" s="1025"/>
      <c r="D53" s="1283"/>
      <c r="E53" s="1283"/>
      <c r="F53" s="1310"/>
      <c r="H53" s="796"/>
      <c r="I53" s="917"/>
      <c r="J53" s="916"/>
    </row>
    <row r="54" spans="1:10">
      <c r="A54" s="1024"/>
      <c r="B54" s="1337" t="s">
        <v>1978</v>
      </c>
      <c r="C54" s="1025"/>
      <c r="D54" s="1283"/>
      <c r="E54" s="1283">
        <v>1000000</v>
      </c>
      <c r="F54" s="1310">
        <v>1656566</v>
      </c>
      <c r="H54" s="796"/>
      <c r="I54" s="917"/>
      <c r="J54" s="916"/>
    </row>
    <row r="55" spans="1:10">
      <c r="A55" s="1024"/>
      <c r="B55" s="1337" t="s">
        <v>1979</v>
      </c>
      <c r="C55" s="1025"/>
      <c r="D55" s="1283"/>
      <c r="E55" s="1283">
        <v>1000000</v>
      </c>
      <c r="F55" s="1310">
        <v>207301.07</v>
      </c>
      <c r="I55" s="916"/>
      <c r="J55" s="917"/>
    </row>
    <row r="56" spans="1:10">
      <c r="A56" s="1024"/>
      <c r="B56" s="1337" t="s">
        <v>2064</v>
      </c>
      <c r="C56" s="761"/>
      <c r="D56" s="761"/>
      <c r="E56" s="761"/>
      <c r="F56" s="1310"/>
      <c r="I56" s="916"/>
      <c r="J56" s="917"/>
    </row>
    <row r="57" spans="1:10">
      <c r="A57" s="1024"/>
      <c r="B57" s="1337" t="s">
        <v>2065</v>
      </c>
      <c r="C57" s="761">
        <v>0</v>
      </c>
      <c r="D57" s="761"/>
      <c r="E57" s="761"/>
      <c r="F57" s="1310"/>
      <c r="I57" s="916"/>
      <c r="J57" s="917"/>
    </row>
    <row r="58" spans="1:10">
      <c r="A58" s="1024" t="s">
        <v>2068</v>
      </c>
      <c r="B58" s="1378" t="s">
        <v>2067</v>
      </c>
      <c r="C58" s="761"/>
      <c r="D58" s="761"/>
      <c r="E58" s="1379">
        <f>SUM(E59:E61)</f>
        <v>130000000</v>
      </c>
      <c r="F58" s="1379">
        <f>SUM(F59:F61)</f>
        <v>0</v>
      </c>
      <c r="I58" s="916"/>
      <c r="J58" s="917"/>
    </row>
    <row r="59" spans="1:10">
      <c r="A59" s="1024" t="s">
        <v>2070</v>
      </c>
      <c r="B59" s="1337" t="s">
        <v>2069</v>
      </c>
      <c r="C59" s="761"/>
      <c r="D59" s="761"/>
      <c r="E59" s="761">
        <v>100000000</v>
      </c>
      <c r="F59" s="1310">
        <v>0</v>
      </c>
      <c r="I59" s="916"/>
      <c r="J59" s="917"/>
    </row>
    <row r="60" spans="1:10">
      <c r="A60" s="1024" t="s">
        <v>2072</v>
      </c>
      <c r="B60" s="1337" t="s">
        <v>2071</v>
      </c>
      <c r="C60" s="761"/>
      <c r="D60" s="761"/>
      <c r="E60" s="761">
        <v>20000000</v>
      </c>
      <c r="F60" s="1310">
        <v>0</v>
      </c>
      <c r="I60" s="916"/>
      <c r="J60" s="917"/>
    </row>
    <row r="61" spans="1:10">
      <c r="A61" s="1024" t="s">
        <v>2073</v>
      </c>
      <c r="B61" s="1337" t="s">
        <v>2074</v>
      </c>
      <c r="C61" s="761"/>
      <c r="D61" s="761"/>
      <c r="E61" s="761">
        <v>10000000</v>
      </c>
      <c r="F61" s="1310">
        <v>0</v>
      </c>
      <c r="I61" s="916"/>
      <c r="J61" s="917"/>
    </row>
    <row r="62" spans="1:10">
      <c r="A62" s="1026" t="s">
        <v>2075</v>
      </c>
      <c r="B62" s="1020" t="s">
        <v>1344</v>
      </c>
      <c r="C62" s="766">
        <f>SUM(C63:C72)</f>
        <v>0</v>
      </c>
      <c r="D62" s="766">
        <f>D68+D69+D70+D71+D72+D542+D73</f>
        <v>0</v>
      </c>
      <c r="E62" s="766">
        <f>SUM(E63:E72)</f>
        <v>1269411861</v>
      </c>
      <c r="F62" s="766">
        <f>SUM(F63:F72)</f>
        <v>1269411861</v>
      </c>
      <c r="I62" s="916"/>
      <c r="J62" s="917"/>
    </row>
    <row r="63" spans="1:10">
      <c r="A63" s="1026" t="s">
        <v>2076</v>
      </c>
      <c r="B63" s="1380" t="s">
        <v>2077</v>
      </c>
      <c r="D63" s="766"/>
      <c r="E63" s="1421">
        <v>1657599</v>
      </c>
      <c r="F63" s="1421">
        <v>1657599</v>
      </c>
      <c r="I63" s="916"/>
      <c r="J63" s="917"/>
    </row>
    <row r="64" spans="1:10">
      <c r="A64" s="1026" t="s">
        <v>2083</v>
      </c>
      <c r="B64" s="1380" t="s">
        <v>2078</v>
      </c>
      <c r="C64" s="766"/>
      <c r="D64" s="766"/>
      <c r="E64" s="1421">
        <v>876510519</v>
      </c>
      <c r="F64" s="1421">
        <v>876510519</v>
      </c>
      <c r="I64" s="916"/>
      <c r="J64" s="917"/>
    </row>
    <row r="65" spans="1:11">
      <c r="A65" s="1026" t="s">
        <v>2080</v>
      </c>
      <c r="B65" s="1380" t="s">
        <v>2079</v>
      </c>
      <c r="C65" s="766"/>
      <c r="D65" s="766"/>
      <c r="E65" s="1421">
        <v>67812535</v>
      </c>
      <c r="F65" s="1421">
        <v>67812535</v>
      </c>
      <c r="I65" s="916"/>
      <c r="J65" s="917"/>
    </row>
    <row r="66" spans="1:11">
      <c r="A66" s="1026" t="s">
        <v>2082</v>
      </c>
      <c r="B66" s="1380" t="s">
        <v>2081</v>
      </c>
      <c r="C66" s="766"/>
      <c r="D66" s="766"/>
      <c r="E66" s="1421">
        <v>292611236</v>
      </c>
      <c r="F66" s="1421">
        <v>292611236</v>
      </c>
      <c r="I66" s="916"/>
      <c r="J66" s="917"/>
    </row>
    <row r="67" spans="1:11">
      <c r="A67" s="1026" t="s">
        <v>2084</v>
      </c>
      <c r="B67" s="1380" t="s">
        <v>2085</v>
      </c>
      <c r="C67" s="766"/>
      <c r="D67" s="766"/>
      <c r="E67" s="1421">
        <v>25419972</v>
      </c>
      <c r="F67" s="1421">
        <v>25419972</v>
      </c>
      <c r="I67" s="916"/>
      <c r="J67" s="917"/>
    </row>
    <row r="68" spans="1:11">
      <c r="A68" s="1019"/>
      <c r="B68" s="1006" t="s">
        <v>1345</v>
      </c>
      <c r="C68" s="767">
        <v>0</v>
      </c>
      <c r="D68" s="767"/>
      <c r="E68" s="767"/>
      <c r="F68" s="767"/>
      <c r="H68" s="796"/>
      <c r="I68" s="916"/>
      <c r="J68" s="916"/>
    </row>
    <row r="69" spans="1:11">
      <c r="A69" s="1019"/>
      <c r="B69" s="1006" t="s">
        <v>1346</v>
      </c>
      <c r="C69" s="767"/>
      <c r="D69" s="767"/>
      <c r="E69" s="767"/>
      <c r="F69" s="767"/>
      <c r="H69" s="796"/>
    </row>
    <row r="70" spans="1:11">
      <c r="A70" s="1019"/>
      <c r="B70" s="1006" t="s">
        <v>1347</v>
      </c>
      <c r="C70" s="767">
        <v>0</v>
      </c>
      <c r="D70" s="767"/>
      <c r="E70" s="767"/>
      <c r="F70" s="767"/>
      <c r="H70" s="796"/>
    </row>
    <row r="71" spans="1:11">
      <c r="A71" s="1019"/>
      <c r="B71" s="1006" t="s">
        <v>1348</v>
      </c>
      <c r="C71" s="767"/>
      <c r="D71" s="767"/>
      <c r="E71" s="767"/>
      <c r="F71" s="767"/>
    </row>
    <row r="72" spans="1:11">
      <c r="A72" s="1007"/>
      <c r="B72" s="1006" t="s">
        <v>2099</v>
      </c>
      <c r="C72" s="767">
        <v>0</v>
      </c>
      <c r="D72" s="767"/>
      <c r="E72" s="767">
        <v>5400000</v>
      </c>
      <c r="F72" s="767">
        <v>5400000</v>
      </c>
    </row>
    <row r="73" spans="1:11">
      <c r="A73" s="1027" t="s">
        <v>1553</v>
      </c>
      <c r="B73" s="1028" t="s">
        <v>1554</v>
      </c>
      <c r="C73" s="1029">
        <v>0</v>
      </c>
      <c r="D73" s="1029">
        <v>0</v>
      </c>
      <c r="E73" s="1029">
        <v>0</v>
      </c>
      <c r="F73" s="1029">
        <v>0</v>
      </c>
    </row>
    <row r="74" spans="1:11">
      <c r="A74" s="1030"/>
      <c r="B74" s="1020" t="s">
        <v>1349</v>
      </c>
      <c r="C74" s="1031">
        <v>0</v>
      </c>
      <c r="D74" s="1031"/>
      <c r="E74" s="1031"/>
      <c r="F74" s="1031"/>
    </row>
    <row r="75" spans="1:11">
      <c r="A75" s="1032" t="s">
        <v>1555</v>
      </c>
      <c r="B75" s="1033" t="s">
        <v>1556</v>
      </c>
      <c r="C75" s="998">
        <f>SUM(C76:C79)</f>
        <v>12260000000</v>
      </c>
      <c r="D75" s="998">
        <f>SUM(D76:D79)</f>
        <v>6225627278</v>
      </c>
      <c r="E75" s="998">
        <f>SUM(E76:E79)</f>
        <v>6225627278</v>
      </c>
      <c r="F75" s="998">
        <f>SUM(F76:F79)</f>
        <v>1307037370</v>
      </c>
      <c r="G75" s="1287">
        <f>F75/E75</f>
        <v>0.21</v>
      </c>
    </row>
    <row r="76" spans="1:11">
      <c r="A76" s="769" t="s">
        <v>1557</v>
      </c>
      <c r="B76" s="1338" t="s">
        <v>1350</v>
      </c>
      <c r="C76" s="1008">
        <v>3280000000</v>
      </c>
      <c r="D76" s="1284">
        <v>3429762000</v>
      </c>
      <c r="E76" s="1422">
        <v>3429762000</v>
      </c>
      <c r="F76" s="1423">
        <v>1307037370</v>
      </c>
    </row>
    <row r="77" spans="1:11">
      <c r="A77" s="769"/>
      <c r="B77" s="770" t="s">
        <v>1558</v>
      </c>
      <c r="C77" s="768"/>
      <c r="D77" s="768"/>
      <c r="E77" s="768"/>
      <c r="F77" s="1320"/>
      <c r="H77" s="812"/>
      <c r="I77" s="1171" t="s">
        <v>1982</v>
      </c>
      <c r="J77" s="1171" t="s">
        <v>1980</v>
      </c>
      <c r="K77" s="1172" t="s">
        <v>1432</v>
      </c>
    </row>
    <row r="78" spans="1:11">
      <c r="A78" s="769"/>
      <c r="B78" s="770" t="s">
        <v>1559</v>
      </c>
      <c r="C78" s="1034">
        <v>1580000000</v>
      </c>
      <c r="D78" s="1320">
        <v>2795865278</v>
      </c>
      <c r="E78" s="1422">
        <v>2795865278</v>
      </c>
      <c r="F78" s="1424">
        <v>0</v>
      </c>
      <c r="H78" s="812" t="str">
        <f>B9</f>
        <v>Ingresos Corrientes</v>
      </c>
      <c r="I78" s="1169">
        <f>E9</f>
        <v>12114975818</v>
      </c>
      <c r="J78" s="1169">
        <f>F9</f>
        <v>6328537699.1400003</v>
      </c>
      <c r="K78" s="1170">
        <f>J78/I78</f>
        <v>0.52</v>
      </c>
    </row>
    <row r="79" spans="1:11">
      <c r="A79" s="769"/>
      <c r="B79" s="770" t="s">
        <v>1560</v>
      </c>
      <c r="C79" s="768">
        <v>7400000000</v>
      </c>
      <c r="D79" s="768"/>
      <c r="E79" s="768"/>
      <c r="F79" s="1035"/>
      <c r="H79" s="812" t="s">
        <v>1981</v>
      </c>
      <c r="I79" s="1169">
        <f>E42</f>
        <v>1404411861</v>
      </c>
      <c r="J79" s="1169">
        <f>F42</f>
        <v>1274472946.48</v>
      </c>
      <c r="K79" s="1170">
        <f>J79/I79</f>
        <v>0.91</v>
      </c>
    </row>
    <row r="80" spans="1:11">
      <c r="A80" s="1036" t="s">
        <v>1849</v>
      </c>
      <c r="B80" s="1037" t="s">
        <v>1850</v>
      </c>
      <c r="C80" s="1038">
        <v>4778700000</v>
      </c>
      <c r="D80" s="1038"/>
      <c r="E80" s="1038">
        <f>13311605618.67+37738762087.21</f>
        <v>51050367705.879997</v>
      </c>
      <c r="F80" s="1038">
        <f>13311605618.67+37738762087.21</f>
        <v>51050367705.879997</v>
      </c>
      <c r="H80" s="813" t="s">
        <v>1986</v>
      </c>
      <c r="I80" s="1169">
        <f>E75</f>
        <v>6225627278</v>
      </c>
      <c r="J80" s="1169">
        <f>F75</f>
        <v>1307037370</v>
      </c>
      <c r="K80" s="1170">
        <f>J80/I80</f>
        <v>0.21</v>
      </c>
    </row>
    <row r="81" spans="1:11">
      <c r="A81" s="1384"/>
      <c r="B81" s="1385"/>
      <c r="C81" s="1386"/>
      <c r="D81" s="1386"/>
      <c r="E81" s="1386"/>
      <c r="F81" s="1386"/>
      <c r="H81" s="813" t="s">
        <v>1994</v>
      </c>
      <c r="I81" s="1169">
        <f>E80</f>
        <v>51050367705.879997</v>
      </c>
      <c r="J81" s="1169">
        <f>F80</f>
        <v>51050367705.879997</v>
      </c>
      <c r="K81" s="1170">
        <f>J81/I81</f>
        <v>1</v>
      </c>
    </row>
    <row r="82" spans="1:11">
      <c r="A82" s="995"/>
      <c r="B82" s="1039" t="s">
        <v>1561</v>
      </c>
      <c r="C82" s="998">
        <f>+C8+C75+C80</f>
        <v>29171550000</v>
      </c>
      <c r="D82" s="998">
        <f>+D8+D75+D80</f>
        <v>19106177278</v>
      </c>
      <c r="E82" s="998">
        <f>+E8+E75+E80</f>
        <v>70795382662.880005</v>
      </c>
      <c r="F82" s="998">
        <f>+F8+F75+F80</f>
        <v>59960415721.5</v>
      </c>
      <c r="G82" s="1287">
        <f>F82/E82</f>
        <v>0.85</v>
      </c>
      <c r="H82" s="812" t="s">
        <v>1987</v>
      </c>
      <c r="I82" s="1169">
        <f>SUM(I78:I81)</f>
        <v>70795382662.880005</v>
      </c>
      <c r="J82" s="1169">
        <f>SUM(J78:J81)</f>
        <v>59960415721.5</v>
      </c>
      <c r="K82" s="1170">
        <f>J82/I82</f>
        <v>0.85</v>
      </c>
    </row>
    <row r="86" spans="1:11">
      <c r="J86" s="797"/>
    </row>
    <row r="87" spans="1:11">
      <c r="E87" s="797"/>
    </row>
    <row r="88" spans="1:11">
      <c r="A88" s="796"/>
      <c r="F88" s="796"/>
    </row>
    <row r="89" spans="1:11">
      <c r="A89" s="796"/>
    </row>
    <row r="90" spans="1:11">
      <c r="A90" s="796"/>
    </row>
    <row r="91" spans="1:11">
      <c r="A91" s="796"/>
    </row>
    <row r="92" spans="1:11">
      <c r="A92" s="796"/>
    </row>
    <row r="93" spans="1:11">
      <c r="A93" s="796"/>
    </row>
  </sheetData>
  <mergeCells count="5">
    <mergeCell ref="A1:F1"/>
    <mergeCell ref="A4:D4"/>
    <mergeCell ref="A5:D5"/>
    <mergeCell ref="A3:D3"/>
    <mergeCell ref="A6:F6"/>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topLeftCell="A33" zoomScale="110" zoomScaleNormal="110" zoomScaleSheetLayoutView="100" workbookViewId="0">
      <selection activeCell="H28" sqref="H28"/>
    </sheetView>
  </sheetViews>
  <sheetFormatPr baseColWidth="10" defaultRowHeight="12.75"/>
  <cols>
    <col min="1" max="1" width="48.85546875" style="522" customWidth="1"/>
    <col min="2" max="2" width="17" style="522" customWidth="1"/>
    <col min="3" max="3" width="15" style="522" customWidth="1"/>
    <col min="4" max="4" width="15.85546875" style="522" customWidth="1"/>
    <col min="5" max="5" width="15.42578125" style="522" customWidth="1"/>
    <col min="6" max="6" width="15" style="522" customWidth="1"/>
    <col min="7" max="11" width="15.7109375" style="522" customWidth="1"/>
    <col min="12" max="12" width="15" style="522" customWidth="1"/>
    <col min="13" max="13" width="15.85546875" style="522" customWidth="1"/>
    <col min="14" max="14" width="11.42578125" style="522"/>
    <col min="15" max="15" width="20.7109375" style="522" customWidth="1"/>
    <col min="16" max="16" width="20.5703125" style="522" customWidth="1"/>
    <col min="17" max="17" width="22.28515625" style="522" customWidth="1"/>
    <col min="18" max="18" width="21" style="522" customWidth="1"/>
    <col min="19" max="19" width="17.5703125" style="522" bestFit="1" customWidth="1"/>
    <col min="20" max="20" width="11.42578125" style="522"/>
    <col min="21" max="21" width="15.7109375" style="522" customWidth="1"/>
    <col min="22" max="22" width="20" style="522" customWidth="1"/>
    <col min="23" max="24" width="18.85546875" style="522" customWidth="1"/>
    <col min="25" max="16384" width="11.42578125" style="522"/>
  </cols>
  <sheetData>
    <row r="1" spans="1:17" ht="130.5" customHeight="1">
      <c r="A1" s="1584"/>
      <c r="B1" s="1584"/>
      <c r="C1" s="1584"/>
      <c r="D1" s="1584"/>
      <c r="E1" s="1584"/>
      <c r="F1" s="1584"/>
      <c r="G1" s="1584"/>
      <c r="H1" s="1584"/>
      <c r="I1" s="1584"/>
      <c r="J1" s="1584"/>
      <c r="K1" s="1584"/>
      <c r="L1" s="1584"/>
      <c r="M1" s="529"/>
    </row>
    <row r="2" spans="1:17" ht="15.75" thickBot="1">
      <c r="A2" s="1585" t="s">
        <v>1562</v>
      </c>
      <c r="B2" s="1585"/>
      <c r="C2" s="1585"/>
      <c r="D2" s="1585"/>
      <c r="E2" s="1585"/>
      <c r="F2" s="1585"/>
      <c r="G2" s="1585"/>
      <c r="H2" s="1585"/>
      <c r="I2" s="1585"/>
      <c r="J2" s="1585"/>
      <c r="K2" s="1585"/>
      <c r="L2" s="1585"/>
      <c r="M2" s="403"/>
      <c r="O2" s="798"/>
    </row>
    <row r="3" spans="1:17" ht="13.5" thickBot="1">
      <c r="A3" s="1578" t="s">
        <v>1563</v>
      </c>
      <c r="B3" s="1579"/>
      <c r="C3" s="1579"/>
      <c r="D3" s="1579"/>
      <c r="E3" s="1579"/>
      <c r="F3" s="1579"/>
      <c r="G3" s="1579"/>
      <c r="H3" s="1579"/>
      <c r="I3" s="1579"/>
      <c r="J3" s="1579"/>
      <c r="K3" s="1579"/>
      <c r="L3" s="1579"/>
      <c r="M3" s="1580"/>
      <c r="O3" s="798"/>
    </row>
    <row r="4" spans="1:17" ht="13.5" thickBot="1">
      <c r="A4" s="1578" t="s">
        <v>1564</v>
      </c>
      <c r="B4" s="1579"/>
      <c r="C4" s="1579"/>
      <c r="D4" s="1579"/>
      <c r="E4" s="1579"/>
      <c r="F4" s="1579"/>
      <c r="G4" s="1579"/>
      <c r="H4" s="1579"/>
      <c r="I4" s="1579"/>
      <c r="J4" s="1579"/>
      <c r="K4" s="1579"/>
      <c r="L4" s="1579"/>
      <c r="M4" s="1580"/>
      <c r="O4" s="798"/>
      <c r="Q4" s="798"/>
    </row>
    <row r="5" spans="1:17" ht="15.75" thickBot="1">
      <c r="A5" s="771" t="s">
        <v>2050</v>
      </c>
      <c r="B5" s="772"/>
      <c r="C5" s="773"/>
      <c r="D5" s="773"/>
      <c r="E5" s="1579" t="s">
        <v>2100</v>
      </c>
      <c r="F5" s="1579"/>
      <c r="G5" s="1579"/>
      <c r="H5" s="844"/>
      <c r="I5" s="844"/>
      <c r="J5" s="844"/>
      <c r="K5" s="772"/>
      <c r="L5" s="772"/>
      <c r="M5" s="13"/>
      <c r="O5" s="798"/>
      <c r="Q5" s="798"/>
    </row>
    <row r="6" spans="1:17" ht="26.25" customHeight="1" thickBot="1">
      <c r="A6" s="1586" t="s">
        <v>1351</v>
      </c>
      <c r="B6" s="1581" t="s">
        <v>1352</v>
      </c>
      <c r="C6" s="1582"/>
      <c r="D6" s="1583"/>
      <c r="E6" s="1581" t="s">
        <v>1796</v>
      </c>
      <c r="F6" s="1582"/>
      <c r="G6" s="1583"/>
      <c r="H6" s="1581" t="s">
        <v>2053</v>
      </c>
      <c r="I6" s="1582"/>
      <c r="J6" s="1583"/>
      <c r="K6" s="1581" t="s">
        <v>1565</v>
      </c>
      <c r="L6" s="1582"/>
      <c r="M6" s="1583"/>
      <c r="Q6" s="798"/>
    </row>
    <row r="7" spans="1:17" ht="13.5" thickBot="1">
      <c r="A7" s="1587"/>
      <c r="B7" s="1317" t="s">
        <v>1566</v>
      </c>
      <c r="C7" s="845" t="s">
        <v>1567</v>
      </c>
      <c r="D7" s="776" t="s">
        <v>1593</v>
      </c>
      <c r="E7" s="845" t="s">
        <v>1566</v>
      </c>
      <c r="F7" s="845" t="s">
        <v>1567</v>
      </c>
      <c r="G7" s="776" t="s">
        <v>1593</v>
      </c>
      <c r="H7" s="774" t="s">
        <v>1566</v>
      </c>
      <c r="I7" s="775" t="s">
        <v>1567</v>
      </c>
      <c r="J7" s="845" t="s">
        <v>1593</v>
      </c>
      <c r="K7" s="774" t="s">
        <v>1566</v>
      </c>
      <c r="L7" s="775" t="s">
        <v>1567</v>
      </c>
      <c r="M7" s="777" t="s">
        <v>1593</v>
      </c>
      <c r="Q7" s="798"/>
    </row>
    <row r="8" spans="1:17" ht="13.5" thickBot="1">
      <c r="A8" s="778" t="s">
        <v>1353</v>
      </c>
      <c r="B8" s="1401">
        <f>1058957487-52000000</f>
        <v>1006957487</v>
      </c>
      <c r="C8" s="1402">
        <v>34233752</v>
      </c>
      <c r="D8" s="1289">
        <v>34233752</v>
      </c>
      <c r="E8" s="1413">
        <v>3101106000</v>
      </c>
      <c r="F8" s="1173">
        <v>1323339789</v>
      </c>
      <c r="G8" s="1173">
        <v>1323112889</v>
      </c>
      <c r="H8" s="1382">
        <f>3200279+273150666</f>
        <v>276350945</v>
      </c>
      <c r="I8" s="1383">
        <v>24800000</v>
      </c>
      <c r="J8" s="1316">
        <v>2600000</v>
      </c>
      <c r="K8" s="1315">
        <f>+B8+E8+H8</f>
        <v>4384414432</v>
      </c>
      <c r="L8" s="1180">
        <f>+C8+F8+I8</f>
        <v>1382373541</v>
      </c>
      <c r="M8" s="1180">
        <f>+D8+G8+J8</f>
        <v>1359946641</v>
      </c>
      <c r="Q8" s="798"/>
    </row>
    <row r="9" spans="1:17" ht="13.5" thickBot="1">
      <c r="A9" s="779" t="s">
        <v>1354</v>
      </c>
      <c r="B9" s="1176">
        <f>B10+B11</f>
        <v>3383435627</v>
      </c>
      <c r="C9" s="1177">
        <f>C10+C11</f>
        <v>1475362098.6800001</v>
      </c>
      <c r="D9" s="1240">
        <f>D10+D11</f>
        <v>778498946.00999999</v>
      </c>
      <c r="E9" s="1241">
        <f>SUM(E10:E11)</f>
        <v>328656000</v>
      </c>
      <c r="F9" s="1242">
        <f>F10+F11</f>
        <v>248288092</v>
      </c>
      <c r="G9" s="1242">
        <f>G10+G11</f>
        <v>83868087</v>
      </c>
      <c r="H9" s="1242">
        <f>H10+H11</f>
        <v>41150666</v>
      </c>
      <c r="I9" s="1242">
        <f>I10+I11</f>
        <v>0</v>
      </c>
      <c r="J9" s="1242"/>
      <c r="K9" s="1177">
        <f>+B9+E9</f>
        <v>3712091627</v>
      </c>
      <c r="L9" s="1181">
        <f>+C9+F9</f>
        <v>1723650190.6800001</v>
      </c>
      <c r="M9" s="1180">
        <f>+D9+G9</f>
        <v>862367033.00999999</v>
      </c>
    </row>
    <row r="10" spans="1:17">
      <c r="A10" s="780" t="s">
        <v>1568</v>
      </c>
      <c r="B10" s="1285">
        <f>3047318112+99042916+207074599</f>
        <v>3353435627</v>
      </c>
      <c r="C10" s="1290">
        <v>1475362098.6800001</v>
      </c>
      <c r="D10" s="1239">
        <v>778498946.00999999</v>
      </c>
      <c r="E10" s="1174">
        <v>299066000</v>
      </c>
      <c r="F10" s="1175">
        <v>248288092</v>
      </c>
      <c r="G10" s="1175">
        <v>83868087</v>
      </c>
      <c r="H10" s="1175">
        <v>41150666</v>
      </c>
      <c r="I10" s="1175">
        <v>0</v>
      </c>
      <c r="J10" s="1175"/>
      <c r="K10" s="791">
        <f t="shared" ref="K10:M11" si="0">+B10+E10+H10</f>
        <v>3693652293</v>
      </c>
      <c r="L10" s="791">
        <f t="shared" si="0"/>
        <v>1723650190.6800001</v>
      </c>
      <c r="M10" s="791">
        <f t="shared" si="0"/>
        <v>862367033.00999999</v>
      </c>
    </row>
    <row r="11" spans="1:17" ht="13.5" thickBot="1">
      <c r="A11" s="781" t="s">
        <v>1355</v>
      </c>
      <c r="B11" s="1291">
        <f>29000000+1000000</f>
        <v>30000000</v>
      </c>
      <c r="C11" s="1175"/>
      <c r="D11" s="1292"/>
      <c r="E11" s="1174">
        <v>29590000</v>
      </c>
      <c r="F11" s="1175">
        <v>0</v>
      </c>
      <c r="G11" s="1175">
        <v>0</v>
      </c>
      <c r="H11" s="1243"/>
      <c r="I11" s="1243"/>
      <c r="J11" s="1243"/>
      <c r="K11" s="795">
        <f t="shared" si="0"/>
        <v>59590000</v>
      </c>
      <c r="L11" s="795">
        <f t="shared" si="0"/>
        <v>0</v>
      </c>
      <c r="M11" s="795">
        <f t="shared" si="0"/>
        <v>0</v>
      </c>
    </row>
    <row r="12" spans="1:17" ht="13.5" thickBot="1">
      <c r="A12" s="782" t="s">
        <v>1356</v>
      </c>
      <c r="B12" s="1177">
        <f>+B13+B16+B21</f>
        <v>1401625059</v>
      </c>
      <c r="C12" s="1177">
        <f>+C13+C16</f>
        <v>515621084</v>
      </c>
      <c r="D12" s="1244">
        <f>+D13+D16</f>
        <v>515621084</v>
      </c>
      <c r="E12" s="1245">
        <f>+E13+E16+E21</f>
        <v>0</v>
      </c>
      <c r="F12" s="1178">
        <f>+F13+F16+F21</f>
        <v>0</v>
      </c>
      <c r="G12" s="1178">
        <f>+G13+G16+G21</f>
        <v>0</v>
      </c>
      <c r="H12" s="1178"/>
      <c r="I12" s="1178"/>
      <c r="J12" s="1178"/>
      <c r="K12" s="1178">
        <f t="shared" ref="K12:M13" si="1">+B12+E12</f>
        <v>1401625059</v>
      </c>
      <c r="L12" s="1178">
        <f t="shared" si="1"/>
        <v>515621084</v>
      </c>
      <c r="M12" s="1180">
        <f t="shared" si="1"/>
        <v>515621084</v>
      </c>
    </row>
    <row r="13" spans="1:17" ht="13.5" thickBot="1">
      <c r="A13" s="783" t="s">
        <v>1357</v>
      </c>
      <c r="B13" s="1178">
        <f>SUM(B14:B15)</f>
        <v>1300478757</v>
      </c>
      <c r="C13" s="1178">
        <f>SUM(C14+C15)</f>
        <v>492704764</v>
      </c>
      <c r="D13" s="1244">
        <f>SUM(D14+D15)</f>
        <v>492704764</v>
      </c>
      <c r="E13" s="1246">
        <f>SUM(E14:E15)</f>
        <v>0</v>
      </c>
      <c r="F13" s="1178">
        <f>SUM(F14:F15)</f>
        <v>0</v>
      </c>
      <c r="G13" s="1178">
        <f>SUM(G14:G15)</f>
        <v>0</v>
      </c>
      <c r="H13" s="1178"/>
      <c r="I13" s="1178"/>
      <c r="J13" s="1178"/>
      <c r="K13" s="1178">
        <f t="shared" si="1"/>
        <v>1300478757</v>
      </c>
      <c r="L13" s="1182">
        <f t="shared" si="1"/>
        <v>492704764</v>
      </c>
      <c r="M13" s="1180">
        <f t="shared" si="1"/>
        <v>492704764</v>
      </c>
    </row>
    <row r="14" spans="1:17" ht="13.5" thickBot="1">
      <c r="A14" s="780" t="s">
        <v>1359</v>
      </c>
      <c r="B14" s="1285">
        <f>1135055000-500000+165923757</f>
        <v>1300478757</v>
      </c>
      <c r="C14" s="1175">
        <v>492704764</v>
      </c>
      <c r="D14" s="1175">
        <v>492704764</v>
      </c>
      <c r="E14" s="1174"/>
      <c r="F14" s="1175">
        <v>0</v>
      </c>
      <c r="G14" s="1175"/>
      <c r="H14" s="1175"/>
      <c r="I14" s="1175"/>
      <c r="J14" s="1175"/>
      <c r="K14" s="791">
        <f>+B14+E14+H14</f>
        <v>1300478757</v>
      </c>
      <c r="L14" s="791">
        <f>+C14+F14+I14</f>
        <v>492704764</v>
      </c>
      <c r="M14" s="791">
        <f>+D14+G14+J14</f>
        <v>492704764</v>
      </c>
    </row>
    <row r="15" spans="1:17" ht="13.5" thickBot="1">
      <c r="A15" s="780" t="s">
        <v>1569</v>
      </c>
      <c r="B15" s="1175">
        <v>0</v>
      </c>
      <c r="C15" s="1247">
        <v>0</v>
      </c>
      <c r="D15" s="1248"/>
      <c r="E15" s="1174">
        <v>0</v>
      </c>
      <c r="F15" s="1175">
        <v>0</v>
      </c>
      <c r="G15" s="1175"/>
      <c r="H15" s="1175"/>
      <c r="I15" s="1175"/>
      <c r="J15" s="1175"/>
      <c r="K15" s="791">
        <f t="shared" ref="K15:K23" si="2">+B15+E15</f>
        <v>0</v>
      </c>
      <c r="L15" s="1183">
        <f t="shared" ref="L15:L23" si="3">+C15+F15</f>
        <v>0</v>
      </c>
      <c r="M15" s="1180">
        <f t="shared" ref="M15:M23" si="4">+D15+G15</f>
        <v>0</v>
      </c>
    </row>
    <row r="16" spans="1:17" ht="13.5" thickBot="1">
      <c r="A16" s="783" t="s">
        <v>1360</v>
      </c>
      <c r="B16" s="1178">
        <f>SUM(B17:B20)</f>
        <v>51584009</v>
      </c>
      <c r="C16" s="1178">
        <f>SUM(C17:C20)</f>
        <v>22916320</v>
      </c>
      <c r="D16" s="1178">
        <f>SUM(D17:D20)</f>
        <v>22916320</v>
      </c>
      <c r="E16" s="1246">
        <f>SUM(E17:E20)</f>
        <v>0</v>
      </c>
      <c r="F16" s="1178">
        <f>SUM(F17:F20)</f>
        <v>0</v>
      </c>
      <c r="G16" s="1178"/>
      <c r="H16" s="1178"/>
      <c r="I16" s="1178"/>
      <c r="J16" s="1178"/>
      <c r="K16" s="791">
        <f t="shared" si="2"/>
        <v>51584009</v>
      </c>
      <c r="L16" s="1182">
        <f t="shared" si="3"/>
        <v>22916320</v>
      </c>
      <c r="M16" s="1180">
        <f t="shared" si="4"/>
        <v>22916320</v>
      </c>
    </row>
    <row r="17" spans="1:19" ht="13.5" thickBot="1">
      <c r="A17" s="780" t="s">
        <v>1361</v>
      </c>
      <c r="B17" s="1175">
        <v>0</v>
      </c>
      <c r="C17" s="1175">
        <v>0</v>
      </c>
      <c r="D17" s="1239"/>
      <c r="E17" s="1174">
        <v>0</v>
      </c>
      <c r="F17" s="1175">
        <v>0</v>
      </c>
      <c r="G17" s="1175"/>
      <c r="H17" s="1175"/>
      <c r="I17" s="1175"/>
      <c r="J17" s="1175"/>
      <c r="K17" s="791">
        <f t="shared" si="2"/>
        <v>0</v>
      </c>
      <c r="L17" s="1182">
        <f t="shared" si="3"/>
        <v>0</v>
      </c>
      <c r="M17" s="1180">
        <f t="shared" si="4"/>
        <v>0</v>
      </c>
    </row>
    <row r="18" spans="1:19" ht="13.5" thickBot="1">
      <c r="A18" s="1364" t="s">
        <v>2052</v>
      </c>
      <c r="B18" s="1175">
        <f>30000000-15000000</f>
        <v>15000000</v>
      </c>
      <c r="C18" s="1175">
        <v>4827061</v>
      </c>
      <c r="D18" s="1175">
        <v>4827061</v>
      </c>
      <c r="E18" s="1174"/>
      <c r="F18" s="1175"/>
      <c r="G18" s="1175"/>
      <c r="H18" s="1175"/>
      <c r="I18" s="1175"/>
      <c r="J18" s="1175"/>
      <c r="K18" s="791">
        <f t="shared" si="2"/>
        <v>15000000</v>
      </c>
      <c r="L18" s="1183">
        <f t="shared" si="3"/>
        <v>4827061</v>
      </c>
      <c r="M18" s="1180">
        <f t="shared" si="4"/>
        <v>4827061</v>
      </c>
    </row>
    <row r="19" spans="1:19" ht="15.75" thickBot="1">
      <c r="A19" s="530" t="s">
        <v>2051</v>
      </c>
      <c r="B19" s="1175">
        <f>10000000+15000000+11584009</f>
        <v>36584009</v>
      </c>
      <c r="C19" s="1175">
        <v>18089259</v>
      </c>
      <c r="D19" s="1175">
        <v>18089259</v>
      </c>
      <c r="E19" s="1174"/>
      <c r="F19" s="1175"/>
      <c r="G19" s="1175"/>
      <c r="H19" s="1175"/>
      <c r="I19" s="1175"/>
      <c r="J19" s="1175"/>
      <c r="K19" s="791">
        <f t="shared" si="2"/>
        <v>36584009</v>
      </c>
      <c r="L19" s="1183">
        <f t="shared" si="3"/>
        <v>18089259</v>
      </c>
      <c r="M19" s="1381">
        <f t="shared" si="4"/>
        <v>18089259</v>
      </c>
    </row>
    <row r="20" spans="1:19" ht="13.5" thickBot="1">
      <c r="A20" s="780" t="s">
        <v>1362</v>
      </c>
      <c r="B20" s="1175">
        <v>0</v>
      </c>
      <c r="C20" s="1175">
        <v>0</v>
      </c>
      <c r="D20" s="1239"/>
      <c r="E20" s="1174">
        <v>0</v>
      </c>
      <c r="F20" s="1175">
        <v>0</v>
      </c>
      <c r="G20" s="1175"/>
      <c r="H20" s="1175"/>
      <c r="I20" s="1175"/>
      <c r="J20" s="1175"/>
      <c r="K20" s="791">
        <f t="shared" si="2"/>
        <v>0</v>
      </c>
      <c r="L20" s="1183">
        <f t="shared" si="3"/>
        <v>0</v>
      </c>
      <c r="M20" s="1180">
        <f t="shared" si="4"/>
        <v>0</v>
      </c>
    </row>
    <row r="21" spans="1:19" ht="13.5" thickBot="1">
      <c r="A21" s="783" t="s">
        <v>1363</v>
      </c>
      <c r="B21" s="1178">
        <f>B22+B24+B25</f>
        <v>49562293</v>
      </c>
      <c r="C21" s="1178">
        <f>+C22+C24+C25</f>
        <v>20562293</v>
      </c>
      <c r="D21" s="1244">
        <f>+D22+D24+D25</f>
        <v>20562293</v>
      </c>
      <c r="E21" s="1246">
        <f>+E22+E25</f>
        <v>0</v>
      </c>
      <c r="F21" s="1178">
        <f>+F22+F25</f>
        <v>0</v>
      </c>
      <c r="G21" s="1178">
        <f>+G22+G25</f>
        <v>0</v>
      </c>
      <c r="H21" s="1178"/>
      <c r="I21" s="1178"/>
      <c r="J21" s="1178"/>
      <c r="K21" s="1178">
        <f t="shared" si="2"/>
        <v>49562293</v>
      </c>
      <c r="L21" s="1178">
        <f t="shared" si="3"/>
        <v>20562293</v>
      </c>
      <c r="M21" s="1180">
        <f t="shared" si="4"/>
        <v>20562293</v>
      </c>
      <c r="P21" s="814"/>
      <c r="Q21" s="814" t="s">
        <v>1350</v>
      </c>
      <c r="R21" s="814" t="s">
        <v>1594</v>
      </c>
      <c r="S21" s="814" t="s">
        <v>157</v>
      </c>
    </row>
    <row r="22" spans="1:19" ht="13.5" thickBot="1">
      <c r="A22" s="783" t="s">
        <v>1364</v>
      </c>
      <c r="B22" s="1178">
        <f>B23</f>
        <v>0</v>
      </c>
      <c r="C22" s="1178">
        <f>+C23</f>
        <v>0</v>
      </c>
      <c r="D22" s="1178">
        <f>+D23</f>
        <v>0</v>
      </c>
      <c r="E22" s="1246">
        <f>+E23</f>
        <v>0</v>
      </c>
      <c r="F22" s="1178">
        <f>+F23</f>
        <v>0</v>
      </c>
      <c r="G22" s="1178">
        <f>+G23</f>
        <v>0</v>
      </c>
      <c r="H22" s="1178"/>
      <c r="I22" s="1178"/>
      <c r="J22" s="1178"/>
      <c r="K22" s="1178">
        <f t="shared" si="2"/>
        <v>0</v>
      </c>
      <c r="L22" s="1182">
        <f t="shared" si="3"/>
        <v>0</v>
      </c>
      <c r="M22" s="1180">
        <f t="shared" si="4"/>
        <v>0</v>
      </c>
      <c r="P22" s="814" t="str">
        <f>K7</f>
        <v>PRESUPUESTADO</v>
      </c>
      <c r="Q22" s="815">
        <f>K26</f>
        <v>9539281784</v>
      </c>
      <c r="R22" s="815">
        <f>K28</f>
        <v>61256080866</v>
      </c>
      <c r="S22" s="815">
        <f>Q22+R22</f>
        <v>70795362650</v>
      </c>
    </row>
    <row r="23" spans="1:19" ht="13.5" thickBot="1">
      <c r="A23" s="780" t="s">
        <v>1365</v>
      </c>
      <c r="B23" s="1175"/>
      <c r="C23" s="1175"/>
      <c r="D23" s="1239"/>
      <c r="E23" s="1174"/>
      <c r="F23" s="1175"/>
      <c r="G23" s="1175"/>
      <c r="H23" s="1175"/>
      <c r="I23" s="1175"/>
      <c r="J23" s="1175"/>
      <c r="K23" s="791">
        <f t="shared" si="2"/>
        <v>0</v>
      </c>
      <c r="L23" s="791">
        <f t="shared" si="3"/>
        <v>0</v>
      </c>
      <c r="M23" s="1180">
        <f t="shared" si="4"/>
        <v>0</v>
      </c>
      <c r="P23" s="814" t="str">
        <f>L7</f>
        <v>COMPROMETIDO</v>
      </c>
      <c r="Q23" s="815">
        <f>L26</f>
        <v>3642207109</v>
      </c>
      <c r="R23" s="815">
        <f>L28</f>
        <v>12325110007</v>
      </c>
      <c r="S23" s="815">
        <f>Q23+R23</f>
        <v>15967317116</v>
      </c>
    </row>
    <row r="24" spans="1:19">
      <c r="A24" s="780" t="s">
        <v>1358</v>
      </c>
      <c r="B24" s="1175">
        <v>29000000</v>
      </c>
      <c r="C24" s="1175"/>
      <c r="D24" s="1239"/>
      <c r="E24" s="1249">
        <v>0</v>
      </c>
      <c r="F24" s="1175">
        <v>0</v>
      </c>
      <c r="G24" s="1175"/>
      <c r="H24" s="1175"/>
      <c r="I24" s="1175"/>
      <c r="J24" s="1175"/>
      <c r="K24" s="791">
        <f t="shared" ref="K24:M26" si="5">+B24+E24+H24</f>
        <v>29000000</v>
      </c>
      <c r="L24" s="791">
        <f t="shared" si="5"/>
        <v>0</v>
      </c>
      <c r="M24" s="791">
        <f t="shared" si="5"/>
        <v>0</v>
      </c>
      <c r="P24" s="814" t="str">
        <f>M7</f>
        <v>PAGOS</v>
      </c>
      <c r="Q24" s="815">
        <f>M26</f>
        <v>2758497051</v>
      </c>
      <c r="R24" s="815">
        <f>M28</f>
        <v>3811645735</v>
      </c>
      <c r="S24" s="815">
        <f>Q24+R24</f>
        <v>6570142786</v>
      </c>
    </row>
    <row r="25" spans="1:19" ht="13.5" thickBot="1">
      <c r="A25" s="784" t="s">
        <v>1592</v>
      </c>
      <c r="B25" s="1179">
        <v>20562293</v>
      </c>
      <c r="C25" s="1179">
        <v>20562293</v>
      </c>
      <c r="D25" s="1250">
        <v>20562293</v>
      </c>
      <c r="E25" s="1251">
        <v>0</v>
      </c>
      <c r="F25" s="1252">
        <v>0</v>
      </c>
      <c r="G25" s="1179"/>
      <c r="H25" s="1179"/>
      <c r="I25" s="1179"/>
      <c r="J25" s="1179"/>
      <c r="K25" s="1184">
        <f t="shared" si="5"/>
        <v>20562293</v>
      </c>
      <c r="L25" s="1184">
        <f t="shared" si="5"/>
        <v>20562293</v>
      </c>
      <c r="M25" s="1184">
        <f t="shared" si="5"/>
        <v>20562293</v>
      </c>
      <c r="N25" s="522" t="s">
        <v>1595</v>
      </c>
      <c r="O25" s="522" t="s">
        <v>1596</v>
      </c>
    </row>
    <row r="26" spans="1:19" ht="13.5" thickBot="1">
      <c r="A26" s="908" t="s">
        <v>1366</v>
      </c>
      <c r="B26" s="1185">
        <f>B8+B9+B12</f>
        <v>5792018173</v>
      </c>
      <c r="C26" s="1185">
        <f>+C8+C9+C12+C21</f>
        <v>2045779227.6800001</v>
      </c>
      <c r="D26" s="1253">
        <f>+D8+D9+D12+D21</f>
        <v>1348916075.01</v>
      </c>
      <c r="E26" s="1238">
        <f>+E8+E9+E12</f>
        <v>3429762000</v>
      </c>
      <c r="F26" s="1254">
        <f>F8+F9+F12</f>
        <v>1571627881</v>
      </c>
      <c r="G26" s="1254">
        <f>G8+G9+G12</f>
        <v>1406980976</v>
      </c>
      <c r="H26" s="1254">
        <f>H8+H9</f>
        <v>317501611</v>
      </c>
      <c r="I26" s="1254">
        <f>I8+I9</f>
        <v>24800000</v>
      </c>
      <c r="J26" s="1254">
        <f>J8+J9</f>
        <v>2600000</v>
      </c>
      <c r="K26" s="1185">
        <f t="shared" si="5"/>
        <v>9539281784</v>
      </c>
      <c r="L26" s="1185">
        <f t="shared" si="5"/>
        <v>3642207108.6799998</v>
      </c>
      <c r="M26" s="1185">
        <f t="shared" si="5"/>
        <v>2758497051.0100002</v>
      </c>
      <c r="N26" s="811">
        <f>L26/K26</f>
        <v>0.38</v>
      </c>
      <c r="O26" s="811">
        <f>M26/L26</f>
        <v>0.76</v>
      </c>
    </row>
    <row r="27" spans="1:19" ht="13.5" thickBot="1">
      <c r="A27" s="785"/>
      <c r="B27" s="786"/>
      <c r="C27" s="786"/>
      <c r="D27" s="786"/>
      <c r="E27" s="786"/>
      <c r="F27" s="786"/>
      <c r="G27" s="786"/>
      <c r="H27" s="786"/>
      <c r="I27" s="786"/>
      <c r="J27" s="786"/>
      <c r="K27" s="787"/>
      <c r="L27" s="787"/>
      <c r="M27" s="787"/>
    </row>
    <row r="28" spans="1:19" ht="13.5" thickBot="1">
      <c r="A28" s="1255" t="s">
        <v>1367</v>
      </c>
      <c r="B28" s="1186">
        <f>B29+B33+B36+B40+B43+B46+B49</f>
        <v>7727369506</v>
      </c>
      <c r="C28" s="1186">
        <f>C29+C33+C36+C40+C43+C46+C49</f>
        <v>2394207096</v>
      </c>
      <c r="D28" s="1186">
        <f>D29+D33+D36+D40+D43+D46+D49</f>
        <v>2081875549</v>
      </c>
      <c r="E28" s="1187">
        <f>E29+E33+E36+E40+E43+E46+E49+E50</f>
        <v>2795865278</v>
      </c>
      <c r="F28" s="1188">
        <f>F29+F33+F36+F40+F43+F46+F49+F50</f>
        <v>348577000</v>
      </c>
      <c r="G28" s="1186">
        <f>G29+G33+G36+G40+G43+G46+G49+G50</f>
        <v>83064000</v>
      </c>
      <c r="H28" s="1186">
        <f>H29+H33+H36+H40+H43+H46</f>
        <v>50732846081.879997</v>
      </c>
      <c r="I28" s="1186">
        <f>I29+I33+I36+I40+I43+I46+I49+I50</f>
        <v>9582325911.2199993</v>
      </c>
      <c r="J28" s="1186">
        <f>J29+J33+J36+J40+J43+J46+J49+J50</f>
        <v>1646706186</v>
      </c>
      <c r="K28" s="1186">
        <f t="shared" ref="K28:M29" si="6">+B28+E28+H28</f>
        <v>61256080865.879997</v>
      </c>
      <c r="L28" s="1186">
        <f t="shared" si="6"/>
        <v>12325110007.219999</v>
      </c>
      <c r="M28" s="1186">
        <f t="shared" si="6"/>
        <v>3811645735</v>
      </c>
      <c r="N28" s="811">
        <f>L28/K28</f>
        <v>0.2</v>
      </c>
      <c r="O28" s="811">
        <f>M28/L28</f>
        <v>0.31</v>
      </c>
    </row>
    <row r="29" spans="1:19">
      <c r="A29" s="1256" t="s">
        <v>1570</v>
      </c>
      <c r="B29" s="1189">
        <f>SUM(B30:B32)</f>
        <v>945373272</v>
      </c>
      <c r="C29" s="1189">
        <f>SUM(C30:C32)</f>
        <v>293067406</v>
      </c>
      <c r="D29" s="1190">
        <f>SUM(D30:D32)</f>
        <v>262085626</v>
      </c>
      <c r="E29" s="1191">
        <f>SUM(E30:E31)</f>
        <v>579289389</v>
      </c>
      <c r="F29" s="1192">
        <f>SUM(F30:F31)</f>
        <v>348577000</v>
      </c>
      <c r="G29" s="1189">
        <f>SUM(G30:G31)</f>
        <v>83064000</v>
      </c>
      <c r="H29" s="1189">
        <f>SUM(H30:H32)</f>
        <v>4575645143.4899998</v>
      </c>
      <c r="I29" s="1189">
        <f>SUM(I30:I31)</f>
        <v>1511384876.4000001</v>
      </c>
      <c r="J29" s="1189">
        <f>SUM(J30:J31)</f>
        <v>224906379</v>
      </c>
      <c r="K29" s="1193">
        <f t="shared" si="6"/>
        <v>6100307804.4899998</v>
      </c>
      <c r="L29" s="1193">
        <f t="shared" si="6"/>
        <v>2153029282.4000001</v>
      </c>
      <c r="M29" s="1193">
        <f t="shared" si="6"/>
        <v>570056005</v>
      </c>
    </row>
    <row r="30" spans="1:19" ht="21.75" customHeight="1">
      <c r="A30" s="1257" t="s">
        <v>1571</v>
      </c>
      <c r="B30" s="1284">
        <f>422925366+97024354</f>
        <v>519949720</v>
      </c>
      <c r="C30" s="1196">
        <v>105929782</v>
      </c>
      <c r="D30" s="1403">
        <v>86220202</v>
      </c>
      <c r="E30" s="1194">
        <v>579289389</v>
      </c>
      <c r="F30" s="1195">
        <v>348577000</v>
      </c>
      <c r="G30" s="1196">
        <v>83064000</v>
      </c>
      <c r="H30" s="1411">
        <f>0.09+172089077+11907720+334579365+28647000</f>
        <v>547223162.09000003</v>
      </c>
      <c r="I30" s="1408">
        <f>172089077+11907720+334079150+28647000</f>
        <v>546722947</v>
      </c>
      <c r="J30" s="1196">
        <f>213958200</f>
        <v>213958200</v>
      </c>
      <c r="K30" s="1197">
        <f>SUM(B30+E30+H30)</f>
        <v>1646462271.0899999</v>
      </c>
      <c r="L30" s="1197">
        <f t="shared" ref="L30:M32" si="7">C30+F30+I30</f>
        <v>1001229729</v>
      </c>
      <c r="M30" s="1197">
        <f t="shared" si="7"/>
        <v>383242402</v>
      </c>
      <c r="Q30" s="798"/>
    </row>
    <row r="31" spans="1:19">
      <c r="A31" s="1258" t="s">
        <v>1572</v>
      </c>
      <c r="B31" s="1404">
        <f>234115723-17948211</f>
        <v>216167512</v>
      </c>
      <c r="C31" s="1405">
        <v>80756304</v>
      </c>
      <c r="D31" s="1406">
        <v>80384104</v>
      </c>
      <c r="E31" s="1199"/>
      <c r="F31" s="1199"/>
      <c r="G31" s="1200"/>
      <c r="H31" s="1412">
        <f>7030529.4+1013447+10948220+1360817967+363771100+750926429.99+1381834957.01+152079331</f>
        <v>4028421981.4000001</v>
      </c>
      <c r="I31" s="1205">
        <f>27050.4+10948179+953686700</f>
        <v>964661929.39999998</v>
      </c>
      <c r="J31" s="1205">
        <v>10948179</v>
      </c>
      <c r="K31" s="1197">
        <f>SUM(B31+E31+H31)</f>
        <v>4244589493.4000001</v>
      </c>
      <c r="L31" s="1197">
        <f t="shared" si="7"/>
        <v>1045418233.4</v>
      </c>
      <c r="M31" s="1197">
        <f t="shared" si="7"/>
        <v>91332283</v>
      </c>
    </row>
    <row r="32" spans="1:19">
      <c r="A32" s="1259" t="s">
        <v>1573</v>
      </c>
      <c r="B32" s="1285">
        <f>209388889-132849</f>
        <v>209256040</v>
      </c>
      <c r="C32" s="1200">
        <v>106381320</v>
      </c>
      <c r="D32" s="1198">
        <v>95481320</v>
      </c>
      <c r="E32" s="1199"/>
      <c r="F32" s="1200"/>
      <c r="G32" s="1200"/>
      <c r="H32" s="1200"/>
      <c r="I32" s="1200"/>
      <c r="J32" s="1200"/>
      <c r="K32" s="1197">
        <f>SUM(B32+E32+H32)</f>
        <v>209256040</v>
      </c>
      <c r="L32" s="1197">
        <f t="shared" si="7"/>
        <v>106381320</v>
      </c>
      <c r="M32" s="1197">
        <f t="shared" si="7"/>
        <v>95481320</v>
      </c>
    </row>
    <row r="33" spans="1:17">
      <c r="A33" s="1260" t="s">
        <v>1574</v>
      </c>
      <c r="B33" s="1201">
        <f t="shared" ref="B33:J33" si="8">SUM(B34:B35)</f>
        <v>1902313385</v>
      </c>
      <c r="C33" s="1201">
        <f t="shared" si="8"/>
        <v>433312980</v>
      </c>
      <c r="D33" s="1202">
        <f t="shared" si="8"/>
        <v>387651837</v>
      </c>
      <c r="E33" s="1203">
        <f t="shared" si="8"/>
        <v>0</v>
      </c>
      <c r="F33" s="1201">
        <f t="shared" si="8"/>
        <v>0</v>
      </c>
      <c r="G33" s="1201">
        <f t="shared" si="8"/>
        <v>0</v>
      </c>
      <c r="H33" s="1201">
        <f t="shared" si="8"/>
        <v>25959504563.459999</v>
      </c>
      <c r="I33" s="1201">
        <f t="shared" si="8"/>
        <v>4840573796.46</v>
      </c>
      <c r="J33" s="1201">
        <f t="shared" si="8"/>
        <v>499229955</v>
      </c>
      <c r="K33" s="1204">
        <f>+B33+E33+H33</f>
        <v>27861817948.459999</v>
      </c>
      <c r="L33" s="1204">
        <f>+C33+F33+I33</f>
        <v>5273886776.46</v>
      </c>
      <c r="M33" s="1204">
        <f>+D33+G33+J33</f>
        <v>886881792</v>
      </c>
    </row>
    <row r="34" spans="1:17" ht="22.5">
      <c r="A34" s="1258" t="s">
        <v>1575</v>
      </c>
      <c r="B34" s="1404">
        <f>1221848985+6434838</f>
        <v>1228283823</v>
      </c>
      <c r="C34" s="1205">
        <v>227573807</v>
      </c>
      <c r="D34" s="1205">
        <v>227573807</v>
      </c>
      <c r="E34" s="1199"/>
      <c r="F34" s="1199"/>
      <c r="G34" s="1200"/>
      <c r="H34" s="1411">
        <f>357658579.5+0.96+196719112+19307750+1105509518+11487971+184885294+1952098024+195209802+705479902+70547990+52788400+7586661496+463484476+8536298553+521499721+3669603645.7+330264328.3</f>
        <v>25959504563.459999</v>
      </c>
      <c r="I34" s="1408">
        <f>352804407.5+0.96+195027208+19307750+1101433874+64255240+184438734+1952087900+195209790+705461750+70547142</f>
        <v>4840573796.46</v>
      </c>
      <c r="J34" s="1205">
        <v>499229955</v>
      </c>
      <c r="K34" s="1197">
        <f t="shared" ref="K34:M35" si="9">B34+E34+H34</f>
        <v>27187788386.459999</v>
      </c>
      <c r="L34" s="1197">
        <f t="shared" si="9"/>
        <v>5068147603.46</v>
      </c>
      <c r="M34" s="1197">
        <f t="shared" si="9"/>
        <v>726803762</v>
      </c>
      <c r="Q34" s="798"/>
    </row>
    <row r="35" spans="1:17">
      <c r="A35" s="1258" t="s">
        <v>1576</v>
      </c>
      <c r="B35" s="1200">
        <v>674029562</v>
      </c>
      <c r="C35" s="1200">
        <v>205739173</v>
      </c>
      <c r="D35" s="1198">
        <v>160078030</v>
      </c>
      <c r="E35" s="1199"/>
      <c r="F35" s="1200"/>
      <c r="G35" s="1200"/>
      <c r="H35" s="1200"/>
      <c r="I35" s="1200"/>
      <c r="J35" s="1200"/>
      <c r="K35" s="1197">
        <f t="shared" si="9"/>
        <v>674029562</v>
      </c>
      <c r="L35" s="1197">
        <f t="shared" si="9"/>
        <v>205739173</v>
      </c>
      <c r="M35" s="1197">
        <f t="shared" si="9"/>
        <v>160078030</v>
      </c>
    </row>
    <row r="36" spans="1:17" ht="13.5" customHeight="1">
      <c r="A36" s="1261" t="s">
        <v>1577</v>
      </c>
      <c r="B36" s="1208">
        <f>SUM(B37:B39)</f>
        <v>1967270160</v>
      </c>
      <c r="C36" s="1209">
        <f>SUM(C37:C39)</f>
        <v>481366751</v>
      </c>
      <c r="D36" s="1210">
        <f>SUM(D37:D39)</f>
        <v>480262751</v>
      </c>
      <c r="E36" s="1210">
        <f>SUM(E37:E39)</f>
        <v>0</v>
      </c>
      <c r="F36" s="1210">
        <f>SUM(F37:F39)</f>
        <v>0</v>
      </c>
      <c r="G36" s="1209">
        <f>SUM(G37:G38)</f>
        <v>0</v>
      </c>
      <c r="H36" s="1209">
        <f>SUM(H37:H39)</f>
        <v>17701557109.220001</v>
      </c>
      <c r="I36" s="1209">
        <f>SUM(I37:I39)</f>
        <v>2353412994.8600001</v>
      </c>
      <c r="J36" s="1209">
        <f>SUM(J37:J39)</f>
        <v>922569852</v>
      </c>
      <c r="K36" s="1211">
        <f>+B36+E36+H36</f>
        <v>19668827269.220001</v>
      </c>
      <c r="L36" s="1211">
        <f>+C36+F36+I36</f>
        <v>2834779745.8600001</v>
      </c>
      <c r="M36" s="1211">
        <f>+D36+G36+J36</f>
        <v>1402832603</v>
      </c>
    </row>
    <row r="37" spans="1:17" ht="22.5">
      <c r="A37" s="1262" t="s">
        <v>1578</v>
      </c>
      <c r="B37" s="1404">
        <f>954649384+165425485</f>
        <v>1120074869</v>
      </c>
      <c r="C37" s="1207">
        <v>254525303</v>
      </c>
      <c r="D37" s="1406">
        <v>253421303</v>
      </c>
      <c r="E37" s="1212"/>
      <c r="F37" s="1212"/>
      <c r="G37" s="1207"/>
      <c r="H37" s="1411">
        <f>2158427756.5+40762610+21382851+352480995+200000000+30448100+12348337026+617416851+347205579+34720558</f>
        <v>16151182326.5</v>
      </c>
      <c r="I37" s="1408">
        <f>289559615.5+40782610+21382851+352000000+200000000+30446875</f>
        <v>934171951.5</v>
      </c>
      <c r="J37" s="1205">
        <f>352000000+13923575</f>
        <v>365923575</v>
      </c>
      <c r="K37" s="1213">
        <f>B37+E37+H37</f>
        <v>17271257195.5</v>
      </c>
      <c r="L37" s="1213">
        <f>C37+F37+I37</f>
        <v>1188697254.5</v>
      </c>
      <c r="M37" s="1213">
        <f t="shared" ref="K37:M39" si="10">D37+G37+J37</f>
        <v>619344878</v>
      </c>
    </row>
    <row r="38" spans="1:17">
      <c r="A38" s="1263" t="s">
        <v>1579</v>
      </c>
      <c r="B38" s="1407">
        <v>745582314</v>
      </c>
      <c r="C38" s="1200">
        <v>208087313</v>
      </c>
      <c r="D38" s="1200">
        <v>208087313</v>
      </c>
      <c r="E38" s="1199"/>
      <c r="F38" s="1200"/>
      <c r="G38" s="1200"/>
      <c r="H38" s="1408">
        <f>74024838.62+36656.5+27688+164416498+20598189.6+412175598+41502269+9944960+213574514+21443000+538406397+54224174</f>
        <v>1550374782.72</v>
      </c>
      <c r="I38" s="1411">
        <f>66626806.68+164416497+20598189.6+0.5+0.5+291198815+41423156+9944960+212080603+21122500+538375500+53454015.08</f>
        <v>1419241043.3599999</v>
      </c>
      <c r="J38" s="1408">
        <f>170399814+120571113+15583050+250092300</f>
        <v>556646277</v>
      </c>
      <c r="K38" s="1213">
        <f>B38+E38+H38</f>
        <v>2295957096.7199998</v>
      </c>
      <c r="L38" s="1213">
        <f>C38+F38+I38</f>
        <v>1627328356.3599999</v>
      </c>
      <c r="M38" s="1213">
        <f>D38+G38+J54</f>
        <v>208087313</v>
      </c>
    </row>
    <row r="39" spans="1:17">
      <c r="A39" s="1262" t="s">
        <v>1580</v>
      </c>
      <c r="B39" s="1214">
        <f>131841700-30228723</f>
        <v>101612977</v>
      </c>
      <c r="C39" s="1200">
        <v>18754135</v>
      </c>
      <c r="D39" s="1200">
        <v>18754135</v>
      </c>
      <c r="E39" s="1199"/>
      <c r="F39" s="1199"/>
      <c r="G39" s="1200"/>
      <c r="H39" s="1200"/>
      <c r="I39" s="1200"/>
      <c r="J39" s="1200"/>
      <c r="K39" s="1213">
        <f t="shared" si="10"/>
        <v>101612977</v>
      </c>
      <c r="L39" s="1213">
        <f t="shared" si="10"/>
        <v>18754135</v>
      </c>
      <c r="M39" s="1213">
        <f t="shared" si="10"/>
        <v>18754135</v>
      </c>
    </row>
    <row r="40" spans="1:17">
      <c r="A40" s="1261" t="s">
        <v>1581</v>
      </c>
      <c r="B40" s="1215">
        <f t="shared" ref="B40:J40" si="11">SUM(B41:B42)</f>
        <v>683626488</v>
      </c>
      <c r="C40" s="1201">
        <f t="shared" si="11"/>
        <v>264244041</v>
      </c>
      <c r="D40" s="1201">
        <f t="shared" si="11"/>
        <v>258844041</v>
      </c>
      <c r="E40" s="1203">
        <f t="shared" si="11"/>
        <v>0</v>
      </c>
      <c r="F40" s="1201">
        <f t="shared" si="11"/>
        <v>0</v>
      </c>
      <c r="G40" s="1201">
        <f t="shared" si="11"/>
        <v>0</v>
      </c>
      <c r="H40" s="1201">
        <f>SUM(H41:H42)</f>
        <v>541560091.5</v>
      </c>
      <c r="I40" s="1201">
        <f t="shared" si="11"/>
        <v>541193381.5</v>
      </c>
      <c r="J40" s="1201">
        <f t="shared" si="11"/>
        <v>0</v>
      </c>
      <c r="K40" s="1204">
        <f>+B40+E40+H40</f>
        <v>1225186579.5</v>
      </c>
      <c r="L40" s="1204">
        <f>+C40+F40+I40</f>
        <v>805437422.5</v>
      </c>
      <c r="M40" s="1204">
        <f>+D40+G40+J40</f>
        <v>258844041</v>
      </c>
    </row>
    <row r="41" spans="1:17">
      <c r="A41" s="1264" t="s">
        <v>1582</v>
      </c>
      <c r="B41" s="1214">
        <f>384893710-47726083</f>
        <v>337167627</v>
      </c>
      <c r="C41" s="1216">
        <v>126506716</v>
      </c>
      <c r="D41" s="1216">
        <v>126506716</v>
      </c>
      <c r="E41" s="1217"/>
      <c r="F41" s="1200"/>
      <c r="G41" s="1216"/>
      <c r="H41" s="1411">
        <f>43300130+1449+340842</f>
        <v>43642421</v>
      </c>
      <c r="I41" s="1408">
        <f>43275711</f>
        <v>43275711</v>
      </c>
      <c r="J41" s="1288"/>
      <c r="K41" s="788">
        <f>SUM(B41+E41+H41)</f>
        <v>380810048</v>
      </c>
      <c r="L41" s="788">
        <f>C41+F41+I54</f>
        <v>126506716</v>
      </c>
      <c r="M41" s="788">
        <f>D41+G41+J41</f>
        <v>126506716</v>
      </c>
      <c r="Q41" s="798"/>
    </row>
    <row r="42" spans="1:17">
      <c r="A42" s="1262" t="s">
        <v>1583</v>
      </c>
      <c r="B42" s="1205">
        <f>362445290-15986429</f>
        <v>346458861</v>
      </c>
      <c r="C42" s="1205">
        <v>137737325</v>
      </c>
      <c r="D42" s="1206">
        <v>132337325</v>
      </c>
      <c r="E42" s="1199"/>
      <c r="F42" s="1200"/>
      <c r="G42" s="1200"/>
      <c r="H42" s="1200">
        <f>0.5+452807357+45110313</f>
        <v>497917670.5</v>
      </c>
      <c r="I42" s="1200">
        <f>0.5+452807357+45110313</f>
        <v>497917670.5</v>
      </c>
      <c r="J42" s="1200"/>
      <c r="K42" s="788">
        <f>SUM(B42+E42+H42)</f>
        <v>844376531.5</v>
      </c>
      <c r="L42" s="788">
        <f>C42+F42+I42</f>
        <v>635654995.5</v>
      </c>
      <c r="M42" s="788">
        <f>D42+G42+J42</f>
        <v>132337325</v>
      </c>
    </row>
    <row r="43" spans="1:17">
      <c r="A43" s="1265" t="s">
        <v>1584</v>
      </c>
      <c r="B43" s="1218">
        <f t="shared" ref="B43:J43" si="12">SUM(B44:B45)</f>
        <v>710786934</v>
      </c>
      <c r="C43" s="1218">
        <f t="shared" si="12"/>
        <v>222739858</v>
      </c>
      <c r="D43" s="1218">
        <f t="shared" si="12"/>
        <v>205692134</v>
      </c>
      <c r="E43" s="1219">
        <f t="shared" si="12"/>
        <v>0</v>
      </c>
      <c r="F43" s="1201">
        <f t="shared" si="12"/>
        <v>0</v>
      </c>
      <c r="G43" s="1201">
        <f t="shared" si="12"/>
        <v>0</v>
      </c>
      <c r="H43" s="1201">
        <f t="shared" si="12"/>
        <v>335760771</v>
      </c>
      <c r="I43" s="1201">
        <f t="shared" si="12"/>
        <v>335760771</v>
      </c>
      <c r="J43" s="1201">
        <f t="shared" si="12"/>
        <v>0</v>
      </c>
      <c r="K43" s="1220">
        <f>+B43+E43+H43</f>
        <v>1046547705</v>
      </c>
      <c r="L43" s="1220">
        <f t="shared" ref="L43:M46" si="13">+C43+F43+I43</f>
        <v>558500629</v>
      </c>
      <c r="M43" s="1220">
        <f t="shared" si="13"/>
        <v>205692134</v>
      </c>
    </row>
    <row r="44" spans="1:17">
      <c r="A44" s="1262" t="s">
        <v>1585</v>
      </c>
      <c r="B44" s="1214">
        <f>472214308-18812401</f>
        <v>453401907</v>
      </c>
      <c r="C44" s="1200">
        <v>150930033</v>
      </c>
      <c r="D44" s="1198">
        <v>141210273</v>
      </c>
      <c r="E44" s="1221"/>
      <c r="F44" s="1200"/>
      <c r="G44" s="1222"/>
      <c r="H44" s="1408">
        <f>305237064+30523707</f>
        <v>335760771</v>
      </c>
      <c r="I44" s="1408">
        <f>305237064+30523707</f>
        <v>335760771</v>
      </c>
      <c r="J44" s="1222"/>
      <c r="K44" s="1223">
        <f>B44+E44+H44</f>
        <v>789162678</v>
      </c>
      <c r="L44" s="1223">
        <f t="shared" ref="K44:M45" si="14">C44+F44+I44</f>
        <v>486690804</v>
      </c>
      <c r="M44" s="1223">
        <f t="shared" si="14"/>
        <v>141210273</v>
      </c>
    </row>
    <row r="45" spans="1:17">
      <c r="A45" s="1262" t="s">
        <v>1586</v>
      </c>
      <c r="B45" s="1224">
        <f>278367454-20982427</f>
        <v>257385027</v>
      </c>
      <c r="C45" s="1205">
        <v>71809825</v>
      </c>
      <c r="D45" s="1206">
        <v>64481861</v>
      </c>
      <c r="E45" s="1199"/>
      <c r="F45" s="1200"/>
      <c r="G45" s="1222"/>
      <c r="H45" s="1222"/>
      <c r="I45" s="1222"/>
      <c r="J45" s="1222"/>
      <c r="K45" s="1223">
        <f t="shared" si="14"/>
        <v>257385027</v>
      </c>
      <c r="L45" s="1223">
        <f t="shared" si="14"/>
        <v>71809825</v>
      </c>
      <c r="M45" s="1223">
        <f t="shared" si="14"/>
        <v>64481861</v>
      </c>
    </row>
    <row r="46" spans="1:17">
      <c r="A46" s="1261" t="s">
        <v>1587</v>
      </c>
      <c r="B46" s="1215">
        <f>SUM(B47:B48)</f>
        <v>1517999267</v>
      </c>
      <c r="C46" s="1215">
        <f t="shared" ref="C46:J46" si="15">SUM(C47:C48)</f>
        <v>699476060</v>
      </c>
      <c r="D46" s="1215">
        <f t="shared" si="15"/>
        <v>487339160</v>
      </c>
      <c r="E46" s="1215">
        <f t="shared" si="15"/>
        <v>2216575889</v>
      </c>
      <c r="F46" s="1215">
        <f t="shared" si="15"/>
        <v>0</v>
      </c>
      <c r="G46" s="1215">
        <f t="shared" si="15"/>
        <v>0</v>
      </c>
      <c r="H46" s="1215">
        <f t="shared" si="15"/>
        <v>1618818403.21</v>
      </c>
      <c r="I46" s="1215">
        <f t="shared" si="15"/>
        <v>91</v>
      </c>
      <c r="J46" s="1215">
        <f t="shared" si="15"/>
        <v>0</v>
      </c>
      <c r="K46" s="1204">
        <f>+B46+E46+H46</f>
        <v>5353393559.21</v>
      </c>
      <c r="L46" s="1204">
        <f t="shared" si="13"/>
        <v>699476151</v>
      </c>
      <c r="M46" s="1204">
        <f t="shared" si="13"/>
        <v>487339160</v>
      </c>
    </row>
    <row r="47" spans="1:17" ht="22.5">
      <c r="A47" s="1262" t="s">
        <v>1588</v>
      </c>
      <c r="B47" s="1205">
        <f>1000524998+210574607</f>
        <v>1211099605</v>
      </c>
      <c r="C47" s="1205">
        <v>618411345</v>
      </c>
      <c r="D47" s="1205">
        <v>409534308</v>
      </c>
      <c r="E47" s="1207"/>
      <c r="F47" s="1207"/>
      <c r="G47" s="1207"/>
      <c r="H47" s="1200"/>
      <c r="I47" s="1200"/>
      <c r="J47" s="1200"/>
      <c r="K47" s="1197">
        <f t="shared" ref="K47:M48" si="16">B47+E47+H47</f>
        <v>1211099605</v>
      </c>
      <c r="L47" s="1197">
        <f t="shared" si="16"/>
        <v>618411345</v>
      </c>
      <c r="M47" s="1197">
        <f t="shared" si="16"/>
        <v>409534308</v>
      </c>
    </row>
    <row r="48" spans="1:17" ht="13.5" thickBot="1">
      <c r="A48" s="1266" t="s">
        <v>1589</v>
      </c>
      <c r="B48" s="1205">
        <f>328286509-21386847</f>
        <v>306899662</v>
      </c>
      <c r="C48" s="1225">
        <v>81064715</v>
      </c>
      <c r="D48" s="1226">
        <v>77804852</v>
      </c>
      <c r="E48" s="1221">
        <v>2216575889</v>
      </c>
      <c r="F48" s="1200">
        <v>0</v>
      </c>
      <c r="G48" s="1222"/>
      <c r="H48" s="1225">
        <f>100+1288143300+63106700+231618980.52+35949322.69</f>
        <v>1618818403.21</v>
      </c>
      <c r="I48" s="1225">
        <v>91</v>
      </c>
      <c r="J48" s="1225"/>
      <c r="K48" s="1197">
        <f t="shared" si="16"/>
        <v>4142293954.21</v>
      </c>
      <c r="L48" s="788">
        <f t="shared" si="16"/>
        <v>81064806</v>
      </c>
      <c r="M48" s="788">
        <f t="shared" si="16"/>
        <v>77804852</v>
      </c>
    </row>
    <row r="49" spans="1:18" ht="13.5" thickBot="1">
      <c r="A49" s="1267" t="s">
        <v>1590</v>
      </c>
      <c r="B49" s="788"/>
      <c r="C49" s="788"/>
      <c r="D49" s="789"/>
      <c r="E49" s="790"/>
      <c r="F49" s="791"/>
      <c r="G49" s="791"/>
      <c r="H49" s="791"/>
      <c r="I49" s="791"/>
      <c r="J49" s="791"/>
      <c r="K49" s="788">
        <f>+B49+E49</f>
        <v>0</v>
      </c>
      <c r="L49" s="1227">
        <f>+C49+F49</f>
        <v>0</v>
      </c>
      <c r="M49" s="1228">
        <f>+D49+G49+L49</f>
        <v>0</v>
      </c>
    </row>
    <row r="50" spans="1:18" ht="13.5" thickBot="1">
      <c r="A50" s="1268" t="s">
        <v>1591</v>
      </c>
      <c r="B50" s="792"/>
      <c r="C50" s="792"/>
      <c r="D50" s="793"/>
      <c r="E50" s="794"/>
      <c r="F50" s="795"/>
      <c r="G50" s="795"/>
      <c r="H50" s="795"/>
      <c r="I50" s="795"/>
      <c r="J50" s="795"/>
      <c r="K50" s="792"/>
      <c r="L50" s="1229"/>
      <c r="M50" s="1228">
        <f>+D50+G50+L50</f>
        <v>0</v>
      </c>
    </row>
    <row r="51" spans="1:18" ht="13.5" thickBot="1">
      <c r="A51" s="1269"/>
      <c r="B51" s="1230"/>
      <c r="C51" s="1230"/>
      <c r="D51" s="1230"/>
      <c r="E51" s="1231"/>
      <c r="F51" s="1232"/>
      <c r="G51" s="1230"/>
      <c r="H51" s="1230"/>
      <c r="I51" s="1230"/>
      <c r="J51" s="1230"/>
      <c r="K51" s="1233"/>
      <c r="L51" s="1234">
        <f>+C51+F51</f>
        <v>0</v>
      </c>
      <c r="M51" s="1228">
        <f>+D51+G51+L51</f>
        <v>0</v>
      </c>
    </row>
    <row r="52" spans="1:18" ht="13.5" thickBot="1">
      <c r="A52" s="1270" t="s">
        <v>1368</v>
      </c>
      <c r="B52" s="1235">
        <f t="shared" ref="B52:M52" si="17">B26+B28</f>
        <v>13519387679</v>
      </c>
      <c r="C52" s="1235">
        <f t="shared" si="17"/>
        <v>4439986323.6800003</v>
      </c>
      <c r="D52" s="1236">
        <f t="shared" si="17"/>
        <v>3430791624.0100002</v>
      </c>
      <c r="E52" s="1237">
        <f t="shared" si="17"/>
        <v>6225627278</v>
      </c>
      <c r="F52" s="1238">
        <f t="shared" si="17"/>
        <v>1920204881</v>
      </c>
      <c r="G52" s="1238">
        <f t="shared" si="17"/>
        <v>1490044976</v>
      </c>
      <c r="H52" s="1238">
        <f t="shared" si="17"/>
        <v>51050347692.879997</v>
      </c>
      <c r="I52" s="1238">
        <f t="shared" si="17"/>
        <v>9607125911.2199993</v>
      </c>
      <c r="J52" s="1238">
        <f t="shared" si="17"/>
        <v>1649306186</v>
      </c>
      <c r="K52" s="1238">
        <f t="shared" si="17"/>
        <v>70795362649.880005</v>
      </c>
      <c r="L52" s="1238">
        <f t="shared" si="17"/>
        <v>15967317115.9</v>
      </c>
      <c r="M52" s="1238">
        <f t="shared" si="17"/>
        <v>6570142786.0100002</v>
      </c>
      <c r="N52" s="811">
        <f>L52/K52</f>
        <v>0.23</v>
      </c>
      <c r="O52" s="811">
        <f>M52/L52</f>
        <v>0.41</v>
      </c>
    </row>
    <row r="54" spans="1:18">
      <c r="H54" s="1410"/>
      <c r="I54" s="1410"/>
      <c r="J54" s="1410"/>
      <c r="L54" s="1394">
        <f>SUM(L29+L33+L36+L40+L43+L46)</f>
        <v>12325110007.219999</v>
      </c>
      <c r="O54" s="814"/>
      <c r="P54" s="814" t="s">
        <v>1350</v>
      </c>
      <c r="Q54" s="814" t="s">
        <v>1594</v>
      </c>
      <c r="R54" s="814" t="s">
        <v>157</v>
      </c>
    </row>
    <row r="55" spans="1:18">
      <c r="B55" s="1311"/>
      <c r="H55" s="1409"/>
      <c r="O55" s="814" t="s">
        <v>1567</v>
      </c>
      <c r="P55" s="918">
        <f>L26</f>
        <v>3642207109</v>
      </c>
      <c r="Q55" s="918">
        <f>L28</f>
        <v>12325110007</v>
      </c>
      <c r="R55" s="918">
        <f>P55+Q55</f>
        <v>15967317116</v>
      </c>
    </row>
    <row r="56" spans="1:18">
      <c r="B56" s="1312"/>
      <c r="O56" s="814" t="s">
        <v>1593</v>
      </c>
      <c r="P56" s="918">
        <f>M26</f>
        <v>2758497051</v>
      </c>
      <c r="Q56" s="918">
        <f>M28</f>
        <v>3811645735</v>
      </c>
      <c r="R56" s="918">
        <f>P56+Q56</f>
        <v>6570142786</v>
      </c>
    </row>
    <row r="58" spans="1:18">
      <c r="E58" s="811"/>
    </row>
    <row r="59" spans="1:18">
      <c r="E59" s="798"/>
    </row>
    <row r="66" spans="1:1">
      <c r="A66" s="798"/>
    </row>
  </sheetData>
  <mergeCells count="10">
    <mergeCell ref="E6:G6"/>
    <mergeCell ref="K6:M6"/>
    <mergeCell ref="A1:L1"/>
    <mergeCell ref="A2:L2"/>
    <mergeCell ref="A3:M3"/>
    <mergeCell ref="A4:M4"/>
    <mergeCell ref="E5:G5"/>
    <mergeCell ref="A6:A7"/>
    <mergeCell ref="B6:D6"/>
    <mergeCell ref="H6:J6"/>
  </mergeCells>
  <printOptions horizontalCentered="1" verticalCentered="1"/>
  <pageMargins left="0.78740157480314965" right="0.78740157480314965" top="0.98425196850393704" bottom="0.98425196850393704" header="0" footer="0"/>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topLeftCell="A7" zoomScale="98" zoomScaleNormal="98" workbookViewId="0">
      <selection activeCell="D8" sqref="D8"/>
    </sheetView>
  </sheetViews>
  <sheetFormatPr baseColWidth="10" defaultColWidth="11.5703125" defaultRowHeight="15"/>
  <cols>
    <col min="1" max="1" width="1.85546875" style="1" customWidth="1"/>
    <col min="2" max="2" width="12.85546875" style="6" customWidth="1"/>
    <col min="3" max="3" width="5" style="86" bestFit="1" customWidth="1"/>
    <col min="4" max="4" width="34.85546875" style="1" customWidth="1"/>
    <col min="5" max="5" width="12.140625" style="1" customWidth="1"/>
    <col min="6" max="6" width="13.5703125" style="1" customWidth="1"/>
    <col min="7" max="16384" width="11.5703125" style="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0</v>
      </c>
      <c r="B5" s="1556"/>
      <c r="C5" s="1556"/>
      <c r="D5" s="1556"/>
      <c r="E5" s="1556"/>
      <c r="F5" s="1556"/>
      <c r="G5" s="1556"/>
      <c r="H5" s="1556"/>
      <c r="I5" s="1556"/>
      <c r="J5" s="1556"/>
      <c r="K5" s="1556"/>
      <c r="L5" s="1556"/>
      <c r="M5" s="1556"/>
      <c r="N5" s="1556"/>
      <c r="O5" s="1556"/>
      <c r="P5" s="1557"/>
    </row>
    <row r="6" spans="1:21" s="237" customFormat="1">
      <c r="B6" s="241" t="s">
        <v>1</v>
      </c>
      <c r="C6" s="242"/>
      <c r="D6" s="240"/>
      <c r="E6" s="543"/>
      <c r="F6" s="240" t="s">
        <v>133</v>
      </c>
      <c r="G6" s="240"/>
      <c r="H6" s="240"/>
      <c r="I6" s="240"/>
      <c r="J6" s="240"/>
      <c r="K6" s="240"/>
      <c r="L6" s="240"/>
      <c r="P6" s="403"/>
    </row>
    <row r="7" spans="1:21" s="237" customFormat="1" ht="15.75" thickBot="1">
      <c r="B7" s="243"/>
      <c r="C7" s="244"/>
      <c r="D7" s="240"/>
      <c r="E7" s="245"/>
      <c r="F7" s="246" t="s">
        <v>134</v>
      </c>
      <c r="G7" s="240"/>
      <c r="H7" s="240"/>
      <c r="I7" s="240"/>
      <c r="J7" s="240"/>
      <c r="K7" s="240"/>
      <c r="L7" s="240"/>
      <c r="P7" s="403"/>
    </row>
    <row r="8" spans="1:21" s="237" customFormat="1" ht="15.75" thickBot="1">
      <c r="B8" s="247" t="s">
        <v>1203</v>
      </c>
      <c r="C8" s="248">
        <v>2018</v>
      </c>
      <c r="D8" s="249" t="str">
        <f ca="1">IF(E10="NO APLICA","NO APLICA",IF(E11="NO SE REPORTA","SIN INFORMACION",+J100))</f>
        <v>N.A.</v>
      </c>
      <c r="E8" s="250"/>
      <c r="F8" s="240" t="s">
        <v>135</v>
      </c>
      <c r="G8" s="240"/>
      <c r="H8" s="240"/>
      <c r="I8" s="240"/>
      <c r="J8" s="240"/>
      <c r="K8" s="240"/>
    </row>
    <row r="9" spans="1:21" customFormat="1">
      <c r="A9" s="237"/>
      <c r="B9" s="483" t="s">
        <v>1204</v>
      </c>
      <c r="C9" s="296"/>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517" t="str">
        <f>IF(E11="SI SE REPORTA","¿Qué programas o proyectos del Plan de Acción están asociados al indicador? ","")</f>
        <v xml:space="preserve">¿Qué programas o proyectos del Plan de Acción están asociados al indicador? </v>
      </c>
      <c r="E12" s="1591" t="s">
        <v>1836</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1837</v>
      </c>
      <c r="F13" s="1593"/>
      <c r="G13" s="1593"/>
      <c r="H13" s="1593"/>
      <c r="I13" s="1593"/>
      <c r="J13" s="1593"/>
      <c r="K13" s="1593"/>
      <c r="L13" s="1593"/>
      <c r="M13" s="1593"/>
      <c r="N13" s="1593"/>
      <c r="O13" s="1593"/>
      <c r="P13" s="1593"/>
      <c r="Q13" s="1593"/>
      <c r="R13" s="1594"/>
    </row>
    <row r="14" spans="1:21" s="403" customFormat="1" ht="6.95" customHeight="1" thickBot="1">
      <c r="A14" s="237"/>
      <c r="B14" s="483"/>
      <c r="C14" s="296"/>
      <c r="D14" s="240"/>
      <c r="E14" s="240"/>
      <c r="F14" s="240"/>
      <c r="G14" s="240"/>
      <c r="H14" s="240"/>
      <c r="I14" s="240"/>
      <c r="J14" s="240"/>
      <c r="K14" s="240"/>
    </row>
    <row r="15" spans="1:21" ht="15.6" customHeight="1" thickBot="1">
      <c r="A15" s="350"/>
      <c r="B15" s="1636" t="s">
        <v>2</v>
      </c>
      <c r="C15" s="351"/>
      <c r="D15" s="1609" t="s">
        <v>3</v>
      </c>
      <c r="E15" s="1610"/>
      <c r="F15" s="1610"/>
      <c r="G15" s="1610"/>
      <c r="H15" s="1610"/>
      <c r="I15" s="1610"/>
      <c r="J15" s="1610"/>
      <c r="K15" s="1611"/>
    </row>
    <row r="16" spans="1:21" ht="36.75" thickBot="1">
      <c r="A16" s="350"/>
      <c r="B16" s="1637"/>
      <c r="C16" s="352"/>
      <c r="D16" s="279" t="s">
        <v>4</v>
      </c>
      <c r="E16" s="210">
        <v>9</v>
      </c>
      <c r="F16" s="240"/>
      <c r="G16" s="240"/>
      <c r="H16" s="240"/>
      <c r="I16" s="240"/>
      <c r="J16" s="240"/>
      <c r="K16" s="266"/>
    </row>
    <row r="17" spans="1:11" ht="36.75" thickBot="1">
      <c r="A17" s="350"/>
      <c r="B17" s="1637"/>
      <c r="C17" s="352"/>
      <c r="D17" s="270" t="s">
        <v>5</v>
      </c>
      <c r="E17" s="210">
        <v>7</v>
      </c>
      <c r="F17" s="240"/>
      <c r="G17" s="240"/>
      <c r="H17" s="240"/>
      <c r="I17" s="240"/>
      <c r="J17" s="240"/>
      <c r="K17" s="266"/>
    </row>
    <row r="18" spans="1:11" ht="48.75" thickBot="1">
      <c r="A18" s="350"/>
      <c r="B18" s="1637"/>
      <c r="C18" s="352"/>
      <c r="D18" s="270" t="s">
        <v>6</v>
      </c>
      <c r="E18" s="210">
        <v>0</v>
      </c>
      <c r="F18" s="240"/>
      <c r="G18" s="240"/>
      <c r="H18" s="240"/>
      <c r="I18" s="240"/>
      <c r="J18" s="240"/>
      <c r="K18" s="266"/>
    </row>
    <row r="19" spans="1:11" ht="24.75" thickBot="1">
      <c r="A19" s="350"/>
      <c r="B19" s="1637"/>
      <c r="C19" s="352"/>
      <c r="D19" s="270" t="s">
        <v>7</v>
      </c>
      <c r="E19" s="210">
        <v>4</v>
      </c>
      <c r="F19" s="240"/>
      <c r="G19" s="240"/>
      <c r="H19" s="240"/>
      <c r="I19" s="240"/>
      <c r="J19" s="240"/>
      <c r="K19" s="266"/>
    </row>
    <row r="20" spans="1:11" ht="24.75" thickBot="1">
      <c r="A20" s="350"/>
      <c r="B20" s="1637"/>
      <c r="C20" s="352"/>
      <c r="D20" s="270" t="s">
        <v>8</v>
      </c>
      <c r="E20" s="210">
        <v>2</v>
      </c>
      <c r="F20" s="240"/>
      <c r="G20" s="240"/>
      <c r="H20" s="240"/>
      <c r="I20" s="240"/>
      <c r="J20" s="240"/>
      <c r="K20" s="266"/>
    </row>
    <row r="21" spans="1:11" ht="24.75" thickBot="1">
      <c r="A21" s="350"/>
      <c r="B21" s="1638"/>
      <c r="C21" s="352"/>
      <c r="D21" s="270" t="s">
        <v>9</v>
      </c>
      <c r="E21" s="210">
        <v>0</v>
      </c>
      <c r="F21" s="240"/>
      <c r="G21" s="240"/>
      <c r="H21" s="240"/>
      <c r="I21" s="240"/>
      <c r="J21" s="240"/>
      <c r="K21" s="266"/>
    </row>
    <row r="22" spans="1:11" ht="14.1" customHeight="1">
      <c r="A22" s="350"/>
      <c r="B22" s="369"/>
      <c r="C22" s="353"/>
      <c r="D22" s="1612" t="s">
        <v>10</v>
      </c>
      <c r="E22" s="1613"/>
      <c r="F22" s="1613"/>
      <c r="G22" s="1613"/>
      <c r="H22" s="1613"/>
      <c r="I22" s="1613"/>
      <c r="J22" s="1613"/>
      <c r="K22" s="1614"/>
    </row>
    <row r="23" spans="1:11" ht="14.1" customHeight="1" thickBot="1">
      <c r="A23" s="350"/>
      <c r="B23" s="369"/>
      <c r="C23" s="353"/>
      <c r="D23" s="1612" t="s">
        <v>11</v>
      </c>
      <c r="E23" s="1613"/>
      <c r="F23" s="1613"/>
      <c r="G23" s="1613"/>
      <c r="H23" s="1613"/>
      <c r="I23" s="1613"/>
      <c r="J23" s="1613"/>
      <c r="K23" s="1614"/>
    </row>
    <row r="24" spans="1:11" ht="49.5" customHeight="1" thickBot="1">
      <c r="A24" s="350"/>
      <c r="B24" s="369"/>
      <c r="C24" s="232"/>
      <c r="D24" s="271" t="s">
        <v>12</v>
      </c>
      <c r="E24" s="271" t="s">
        <v>13</v>
      </c>
      <c r="F24" s="271" t="s">
        <v>14</v>
      </c>
      <c r="G24" s="271" t="s">
        <v>1205</v>
      </c>
      <c r="H24" s="354" t="s">
        <v>15</v>
      </c>
      <c r="I24" s="354" t="s">
        <v>1215</v>
      </c>
      <c r="J24" s="19"/>
      <c r="K24" s="20"/>
    </row>
    <row r="25" spans="1:11" s="235" customFormat="1" ht="14.1" customHeight="1" thickBot="1">
      <c r="B25" s="227"/>
      <c r="C25" s="232">
        <v>1</v>
      </c>
      <c r="D25" s="163" t="s">
        <v>16</v>
      </c>
      <c r="E25" s="163">
        <v>1504</v>
      </c>
      <c r="F25" s="163" t="s">
        <v>1597</v>
      </c>
      <c r="G25" s="193">
        <v>107853</v>
      </c>
      <c r="H25" s="30" t="s">
        <v>1600</v>
      </c>
      <c r="I25" s="234">
        <v>0.15</v>
      </c>
      <c r="J25" s="19"/>
      <c r="K25" s="20"/>
    </row>
    <row r="26" spans="1:11" s="235" customFormat="1" ht="14.1" customHeight="1" thickBot="1">
      <c r="B26" s="227"/>
      <c r="C26" s="232">
        <v>2</v>
      </c>
      <c r="D26" s="163" t="s">
        <v>16</v>
      </c>
      <c r="E26" s="163">
        <v>1505</v>
      </c>
      <c r="F26" s="163" t="s">
        <v>1598</v>
      </c>
      <c r="G26" s="193">
        <v>89477</v>
      </c>
      <c r="H26" s="30" t="s">
        <v>1599</v>
      </c>
      <c r="I26" s="234">
        <v>0.15</v>
      </c>
      <c r="J26" s="19"/>
      <c r="K26" s="20"/>
    </row>
    <row r="27" spans="1:11" s="235" customFormat="1" ht="14.1" customHeight="1" thickBot="1">
      <c r="B27" s="227"/>
      <c r="C27" s="232">
        <v>3</v>
      </c>
      <c r="D27" s="163" t="s">
        <v>16</v>
      </c>
      <c r="E27" s="163" t="s">
        <v>1601</v>
      </c>
      <c r="F27" s="163" t="s">
        <v>1602</v>
      </c>
      <c r="G27" s="193">
        <v>117222</v>
      </c>
      <c r="H27" s="30"/>
      <c r="I27" s="234">
        <v>0</v>
      </c>
      <c r="J27" s="19"/>
      <c r="K27" s="20"/>
    </row>
    <row r="28" spans="1:11" s="235" customFormat="1" ht="14.1" customHeight="1" thickBot="1">
      <c r="B28" s="227"/>
      <c r="C28" s="232">
        <v>4</v>
      </c>
      <c r="D28" s="163" t="s">
        <v>16</v>
      </c>
      <c r="E28" s="163" t="s">
        <v>1603</v>
      </c>
      <c r="F28" s="163" t="s">
        <v>1604</v>
      </c>
      <c r="G28" s="193">
        <v>38837</v>
      </c>
      <c r="H28" s="30"/>
      <c r="I28" s="234">
        <v>0</v>
      </c>
      <c r="J28" s="19"/>
      <c r="K28" s="20"/>
    </row>
    <row r="29" spans="1:11" s="235" customFormat="1" ht="14.1" customHeight="1" thickBot="1">
      <c r="B29" s="227"/>
      <c r="C29" s="232">
        <v>5</v>
      </c>
      <c r="D29" s="163" t="s">
        <v>17</v>
      </c>
      <c r="E29" s="163" t="s">
        <v>1608</v>
      </c>
      <c r="F29" s="163" t="s">
        <v>1611</v>
      </c>
      <c r="G29" s="193">
        <v>65000</v>
      </c>
      <c r="H29" s="30"/>
      <c r="I29" s="234">
        <v>1</v>
      </c>
      <c r="J29" s="19"/>
      <c r="K29" s="20"/>
    </row>
    <row r="30" spans="1:11" s="235" customFormat="1" ht="14.1" customHeight="1" thickBot="1">
      <c r="B30" s="227"/>
      <c r="C30" s="232">
        <v>6</v>
      </c>
      <c r="D30" s="163" t="s">
        <v>16</v>
      </c>
      <c r="E30" s="163"/>
      <c r="F30" s="163"/>
      <c r="G30" s="193"/>
      <c r="H30" s="30"/>
      <c r="I30" s="234"/>
      <c r="J30" s="19"/>
      <c r="K30" s="20"/>
    </row>
    <row r="31" spans="1:11" s="235" customFormat="1" ht="14.1" customHeight="1" thickBot="1">
      <c r="B31" s="227"/>
      <c r="C31" s="232">
        <v>7</v>
      </c>
      <c r="D31" s="163" t="s">
        <v>16</v>
      </c>
      <c r="E31" s="163"/>
      <c r="F31" s="163"/>
      <c r="G31" s="193"/>
      <c r="H31" s="30"/>
      <c r="I31" s="234"/>
      <c r="J31" s="19"/>
      <c r="K31" s="20"/>
    </row>
    <row r="32" spans="1:11" s="235" customFormat="1" ht="14.1" customHeight="1" thickBot="1">
      <c r="B32" s="227"/>
      <c r="C32" s="232">
        <v>8</v>
      </c>
      <c r="D32" s="163" t="s">
        <v>17</v>
      </c>
      <c r="E32" s="163" t="s">
        <v>1609</v>
      </c>
      <c r="F32" s="163" t="s">
        <v>1610</v>
      </c>
      <c r="G32" s="193">
        <v>0</v>
      </c>
      <c r="H32" s="30"/>
      <c r="I32" s="234">
        <v>0</v>
      </c>
      <c r="J32" s="19"/>
      <c r="K32" s="20"/>
    </row>
    <row r="33" spans="1:11" s="235" customFormat="1" ht="14.1" customHeight="1" thickBot="1">
      <c r="B33" s="227"/>
      <c r="C33" s="232">
        <v>9</v>
      </c>
      <c r="D33" s="163" t="s">
        <v>16</v>
      </c>
      <c r="E33" s="163"/>
      <c r="F33" s="163"/>
      <c r="G33" s="193"/>
      <c r="H33" s="30"/>
      <c r="I33" s="234"/>
      <c r="J33" s="19"/>
      <c r="K33" s="20"/>
    </row>
    <row r="34" spans="1:11" s="235" customFormat="1" ht="14.1" customHeight="1" thickBot="1">
      <c r="B34" s="227"/>
      <c r="C34" s="232">
        <v>10</v>
      </c>
      <c r="D34" s="163" t="s">
        <v>16</v>
      </c>
      <c r="E34" s="163"/>
      <c r="F34" s="163"/>
      <c r="G34" s="193"/>
      <c r="H34" s="30"/>
      <c r="I34" s="234"/>
      <c r="J34" s="19"/>
      <c r="K34" s="20"/>
    </row>
    <row r="35" spans="1:11" s="235" customFormat="1" ht="14.1" customHeight="1" thickBot="1">
      <c r="B35" s="227"/>
      <c r="C35" s="232">
        <v>11</v>
      </c>
      <c r="D35" s="163" t="s">
        <v>17</v>
      </c>
      <c r="E35" s="163" t="s">
        <v>1612</v>
      </c>
      <c r="F35" s="163" t="s">
        <v>1613</v>
      </c>
      <c r="G35" s="193">
        <v>0</v>
      </c>
      <c r="H35" s="30"/>
      <c r="I35" s="234">
        <v>0</v>
      </c>
      <c r="J35" s="19"/>
      <c r="K35" s="20"/>
    </row>
    <row r="36" spans="1:11" s="235" customFormat="1" ht="14.1" customHeight="1" thickBot="1">
      <c r="B36" s="227"/>
      <c r="C36" s="232">
        <v>12</v>
      </c>
      <c r="D36" s="163" t="s">
        <v>17</v>
      </c>
      <c r="E36" s="163" t="s">
        <v>1614</v>
      </c>
      <c r="F36" s="163" t="s">
        <v>1615</v>
      </c>
      <c r="G36" s="193">
        <v>422300</v>
      </c>
      <c r="H36" s="30"/>
      <c r="I36" s="234">
        <v>0</v>
      </c>
      <c r="J36" s="19"/>
      <c r="K36" s="20"/>
    </row>
    <row r="37" spans="1:11" s="235" customFormat="1" ht="14.1" customHeight="1" thickBot="1">
      <c r="B37" s="227"/>
      <c r="C37" s="232">
        <v>13</v>
      </c>
      <c r="D37" s="163" t="s">
        <v>18</v>
      </c>
      <c r="E37" s="163"/>
      <c r="F37" s="163"/>
      <c r="G37" s="193"/>
      <c r="H37" s="30"/>
      <c r="I37" s="234"/>
      <c r="J37" s="19"/>
      <c r="K37" s="20"/>
    </row>
    <row r="38" spans="1:11" s="235" customFormat="1" ht="14.1" customHeight="1" thickBot="1">
      <c r="B38" s="227"/>
      <c r="C38" s="232">
        <v>14</v>
      </c>
      <c r="D38" s="163" t="s">
        <v>18</v>
      </c>
      <c r="E38" s="163"/>
      <c r="F38" s="163"/>
      <c r="G38" s="193"/>
      <c r="H38" s="30"/>
      <c r="I38" s="234"/>
      <c r="J38" s="19"/>
      <c r="K38" s="20"/>
    </row>
    <row r="39" spans="1:11" ht="14.1" customHeight="1">
      <c r="A39" s="350"/>
      <c r="B39" s="369"/>
      <c r="C39" s="353"/>
      <c r="D39" s="1600" t="s">
        <v>19</v>
      </c>
      <c r="E39" s="1601"/>
      <c r="F39" s="1601"/>
      <c r="G39" s="1601"/>
      <c r="H39" s="1601"/>
      <c r="I39" s="1601"/>
      <c r="J39" s="1601"/>
      <c r="K39" s="1602"/>
    </row>
    <row r="40" spans="1:11" ht="14.1" customHeight="1">
      <c r="A40" s="350"/>
      <c r="B40" s="369"/>
      <c r="C40" s="353"/>
      <c r="D40" s="1639" t="s">
        <v>20</v>
      </c>
      <c r="E40" s="1640"/>
      <c r="F40" s="1640"/>
      <c r="G40" s="1640"/>
      <c r="H40" s="1640"/>
      <c r="I40" s="1640"/>
      <c r="J40" s="1640"/>
      <c r="K40" s="1641"/>
    </row>
    <row r="41" spans="1:11" ht="14.1" customHeight="1">
      <c r="A41" s="350"/>
      <c r="B41" s="369"/>
      <c r="C41" s="353"/>
      <c r="D41" s="1639" t="s">
        <v>21</v>
      </c>
      <c r="E41" s="1640"/>
      <c r="F41" s="1640"/>
      <c r="G41" s="1640"/>
      <c r="H41" s="1640"/>
      <c r="I41" s="1640"/>
      <c r="J41" s="1640"/>
      <c r="K41" s="1641"/>
    </row>
    <row r="42" spans="1:11" ht="14.1" customHeight="1">
      <c r="A42" s="350"/>
      <c r="B42" s="369"/>
      <c r="C42" s="353"/>
      <c r="D42" s="1639" t="s">
        <v>22</v>
      </c>
      <c r="E42" s="1640"/>
      <c r="F42" s="1640"/>
      <c r="G42" s="1640"/>
      <c r="H42" s="1640"/>
      <c r="I42" s="1640"/>
      <c r="J42" s="1640"/>
      <c r="K42" s="1641"/>
    </row>
    <row r="43" spans="1:11" ht="14.1" customHeight="1" thickBot="1">
      <c r="A43" s="350"/>
      <c r="B43" s="369"/>
      <c r="C43" s="353"/>
      <c r="D43" s="1603" t="s">
        <v>23</v>
      </c>
      <c r="E43" s="1604"/>
      <c r="F43" s="1604"/>
      <c r="G43" s="1604"/>
      <c r="H43" s="1604"/>
      <c r="I43" s="1604"/>
      <c r="J43" s="1604"/>
      <c r="K43" s="1605"/>
    </row>
    <row r="44" spans="1:11" ht="14.1" customHeight="1" thickBot="1">
      <c r="A44" s="350"/>
      <c r="B44" s="369"/>
      <c r="C44" s="271" t="s">
        <v>24</v>
      </c>
      <c r="D44" s="279" t="s">
        <v>12</v>
      </c>
      <c r="E44" s="279" t="s">
        <v>13</v>
      </c>
      <c r="F44" s="272" t="s">
        <v>14</v>
      </c>
      <c r="G44" s="1301" t="s">
        <v>25</v>
      </c>
      <c r="H44" s="1301" t="s">
        <v>26</v>
      </c>
      <c r="I44" s="1301" t="s">
        <v>27</v>
      </c>
      <c r="J44" s="1301" t="s">
        <v>28</v>
      </c>
      <c r="K44" s="273"/>
    </row>
    <row r="45" spans="1:11" s="235" customFormat="1" ht="14.1" customHeight="1" thickBot="1">
      <c r="B45" s="227"/>
      <c r="C45" s="232">
        <v>1</v>
      </c>
      <c r="D45" s="163" t="s">
        <v>16</v>
      </c>
      <c r="E45" s="163">
        <v>1504</v>
      </c>
      <c r="F45" s="163" t="s">
        <v>1597</v>
      </c>
      <c r="G45" s="32">
        <v>0.5</v>
      </c>
      <c r="H45" s="32">
        <v>0.3</v>
      </c>
      <c r="I45" s="32">
        <v>0.1</v>
      </c>
      <c r="J45" s="32">
        <v>0.1</v>
      </c>
      <c r="K45" s="113"/>
    </row>
    <row r="46" spans="1:11" s="235" customFormat="1" ht="14.1" customHeight="1" thickBot="1">
      <c r="B46" s="227"/>
      <c r="C46" s="232">
        <v>2</v>
      </c>
      <c r="D46" s="163" t="s">
        <v>16</v>
      </c>
      <c r="E46" s="163">
        <v>1505</v>
      </c>
      <c r="F46" s="163" t="s">
        <v>1598</v>
      </c>
      <c r="G46" s="32">
        <v>0.5</v>
      </c>
      <c r="H46" s="32">
        <v>0.3</v>
      </c>
      <c r="I46" s="32">
        <v>0.1</v>
      </c>
      <c r="J46" s="32">
        <v>0.1</v>
      </c>
      <c r="K46" s="113"/>
    </row>
    <row r="47" spans="1:11" s="235" customFormat="1" ht="14.1" customHeight="1" thickBot="1">
      <c r="B47" s="227"/>
      <c r="C47" s="232">
        <v>3</v>
      </c>
      <c r="D47" s="163" t="s">
        <v>16</v>
      </c>
      <c r="E47" s="163" t="s">
        <v>1601</v>
      </c>
      <c r="F47" s="163" t="s">
        <v>1602</v>
      </c>
      <c r="G47" s="32">
        <v>0.2</v>
      </c>
      <c r="H47" s="32">
        <v>0.2</v>
      </c>
      <c r="I47" s="32">
        <v>0.5</v>
      </c>
      <c r="J47" s="32">
        <v>0.1</v>
      </c>
      <c r="K47" s="113"/>
    </row>
    <row r="48" spans="1:11" s="235" customFormat="1" ht="14.1" customHeight="1" thickBot="1">
      <c r="B48" s="227"/>
      <c r="C48" s="232">
        <v>4</v>
      </c>
      <c r="D48" s="163" t="s">
        <v>17</v>
      </c>
      <c r="E48" s="163" t="s">
        <v>1608</v>
      </c>
      <c r="F48" s="163" t="s">
        <v>1611</v>
      </c>
      <c r="G48" s="32">
        <v>0</v>
      </c>
      <c r="H48" s="32"/>
      <c r="I48" s="32"/>
      <c r="J48" s="32"/>
      <c r="K48" s="113"/>
    </row>
    <row r="49" spans="1:11" s="235" customFormat="1" ht="14.1" customHeight="1" thickBot="1">
      <c r="B49" s="227"/>
      <c r="C49" s="232">
        <v>5</v>
      </c>
      <c r="D49" s="163" t="s">
        <v>17</v>
      </c>
      <c r="E49" s="163"/>
      <c r="F49" s="163"/>
      <c r="G49" s="32"/>
      <c r="H49" s="32"/>
      <c r="I49" s="32"/>
      <c r="J49" s="32"/>
      <c r="K49" s="113"/>
    </row>
    <row r="50" spans="1:11" s="235" customFormat="1" ht="14.1" customHeight="1" thickBot="1">
      <c r="B50" s="227"/>
      <c r="C50" s="232">
        <v>6</v>
      </c>
      <c r="D50" s="163" t="s">
        <v>16</v>
      </c>
      <c r="E50" s="163" t="s">
        <v>1603</v>
      </c>
      <c r="F50" s="163" t="s">
        <v>1604</v>
      </c>
      <c r="G50" s="32">
        <v>0</v>
      </c>
      <c r="H50" s="32">
        <v>0</v>
      </c>
      <c r="I50" s="32">
        <v>0</v>
      </c>
      <c r="J50" s="32">
        <v>0</v>
      </c>
      <c r="K50" s="113"/>
    </row>
    <row r="51" spans="1:11" s="235" customFormat="1" ht="14.1" customHeight="1" thickBot="1">
      <c r="B51" s="227"/>
      <c r="C51" s="232">
        <v>7</v>
      </c>
      <c r="D51" s="163" t="s">
        <v>16</v>
      </c>
      <c r="E51" s="163"/>
      <c r="F51" s="163"/>
      <c r="G51" s="32"/>
      <c r="H51" s="32"/>
      <c r="I51" s="32"/>
      <c r="J51" s="32"/>
      <c r="K51" s="113"/>
    </row>
    <row r="52" spans="1:11" s="235" customFormat="1" ht="14.1" customHeight="1" thickBot="1">
      <c r="B52" s="227"/>
      <c r="C52" s="232">
        <v>8</v>
      </c>
      <c r="D52" s="163" t="s">
        <v>17</v>
      </c>
      <c r="E52" s="163" t="s">
        <v>1609</v>
      </c>
      <c r="F52" s="163" t="s">
        <v>1610</v>
      </c>
      <c r="G52" s="32">
        <v>0</v>
      </c>
      <c r="H52" s="32"/>
      <c r="I52" s="32"/>
      <c r="J52" s="32"/>
      <c r="K52" s="113"/>
    </row>
    <row r="53" spans="1:11" s="235" customFormat="1" ht="14.1" customHeight="1" thickBot="1">
      <c r="B53" s="227"/>
      <c r="C53" s="232">
        <v>9</v>
      </c>
      <c r="D53" s="163" t="s">
        <v>17</v>
      </c>
      <c r="E53" s="163"/>
      <c r="F53" s="163"/>
      <c r="G53" s="32"/>
      <c r="H53" s="32"/>
      <c r="I53" s="32"/>
      <c r="J53" s="32"/>
      <c r="K53" s="113"/>
    </row>
    <row r="54" spans="1:11" s="235" customFormat="1" ht="14.1" customHeight="1" thickBot="1">
      <c r="B54" s="227"/>
      <c r="C54" s="232">
        <v>10</v>
      </c>
      <c r="D54" s="163" t="s">
        <v>16</v>
      </c>
      <c r="E54" s="163"/>
      <c r="F54" s="163"/>
      <c r="G54" s="32"/>
      <c r="H54" s="32"/>
      <c r="I54" s="32"/>
      <c r="J54" s="32"/>
      <c r="K54" s="113"/>
    </row>
    <row r="55" spans="1:11" s="235" customFormat="1" ht="14.1" customHeight="1" thickBot="1">
      <c r="B55" s="227"/>
      <c r="C55" s="232">
        <v>11</v>
      </c>
      <c r="D55" s="163" t="s">
        <v>16</v>
      </c>
      <c r="E55" s="163"/>
      <c r="F55" s="163"/>
      <c r="G55" s="32"/>
      <c r="H55" s="32"/>
      <c r="I55" s="32"/>
      <c r="J55" s="32"/>
      <c r="K55" s="113"/>
    </row>
    <row r="56" spans="1:11" s="235" customFormat="1" ht="14.1" customHeight="1" thickBot="1">
      <c r="B56" s="227"/>
      <c r="C56" s="232">
        <v>12</v>
      </c>
      <c r="D56" s="163" t="s">
        <v>17</v>
      </c>
      <c r="E56" s="163" t="s">
        <v>1612</v>
      </c>
      <c r="F56" s="163" t="s">
        <v>1613</v>
      </c>
      <c r="G56" s="32">
        <v>0</v>
      </c>
      <c r="H56" s="32"/>
      <c r="I56" s="32"/>
      <c r="J56" s="32"/>
      <c r="K56" s="113"/>
    </row>
    <row r="57" spans="1:11" s="235" customFormat="1" ht="14.1" customHeight="1" thickBot="1">
      <c r="B57" s="227"/>
      <c r="C57" s="232">
        <v>13</v>
      </c>
      <c r="D57" s="163" t="s">
        <v>17</v>
      </c>
      <c r="E57" s="163" t="s">
        <v>1614</v>
      </c>
      <c r="F57" s="163" t="s">
        <v>1615</v>
      </c>
      <c r="G57" s="32">
        <v>0</v>
      </c>
      <c r="H57" s="32"/>
      <c r="I57" s="32"/>
      <c r="J57" s="32"/>
      <c r="K57" s="113"/>
    </row>
    <row r="58" spans="1:11" s="235" customFormat="1" ht="14.1" customHeight="1" thickBot="1">
      <c r="B58" s="227"/>
      <c r="C58" s="232">
        <v>14</v>
      </c>
      <c r="D58" s="163" t="s">
        <v>18</v>
      </c>
      <c r="E58" s="163"/>
      <c r="F58" s="163"/>
      <c r="G58" s="32"/>
      <c r="H58" s="32"/>
      <c r="I58" s="32"/>
      <c r="J58" s="32"/>
      <c r="K58" s="114"/>
    </row>
    <row r="59" spans="1:11" ht="14.1" customHeight="1">
      <c r="A59" s="350"/>
      <c r="B59" s="369"/>
      <c r="C59" s="353"/>
      <c r="D59" s="1609" t="s">
        <v>29</v>
      </c>
      <c r="E59" s="1610"/>
      <c r="F59" s="1610"/>
      <c r="G59" s="1610"/>
      <c r="H59" s="1610"/>
      <c r="I59" s="1610"/>
      <c r="J59" s="1610"/>
      <c r="K59" s="1611"/>
    </row>
    <row r="60" spans="1:11" ht="14.1" customHeight="1" thickBot="1">
      <c r="A60" s="350"/>
      <c r="B60" s="369"/>
      <c r="C60" s="353"/>
      <c r="D60" s="1603" t="s">
        <v>30</v>
      </c>
      <c r="E60" s="1604"/>
      <c r="F60" s="1604"/>
      <c r="G60" s="1604"/>
      <c r="H60" s="1604"/>
      <c r="I60" s="1604"/>
      <c r="J60" s="1604"/>
      <c r="K60" s="1605"/>
    </row>
    <row r="61" spans="1:11" ht="14.1" customHeight="1" thickBot="1">
      <c r="A61" s="350"/>
      <c r="B61" s="369"/>
      <c r="C61" s="271" t="s">
        <v>24</v>
      </c>
      <c r="D61" s="279" t="s">
        <v>12</v>
      </c>
      <c r="E61" s="279" t="s">
        <v>31</v>
      </c>
      <c r="F61" s="272" t="s">
        <v>14</v>
      </c>
      <c r="G61" s="1301" t="s">
        <v>25</v>
      </c>
      <c r="H61" s="1301" t="s">
        <v>26</v>
      </c>
      <c r="I61" s="1301" t="s">
        <v>27</v>
      </c>
      <c r="J61" s="1301" t="s">
        <v>28</v>
      </c>
      <c r="K61" s="273"/>
    </row>
    <row r="62" spans="1:11" s="235" customFormat="1" ht="14.1" customHeight="1" thickBot="1">
      <c r="B62" s="227"/>
      <c r="C62" s="232">
        <v>1</v>
      </c>
      <c r="D62" s="236" t="str">
        <f>IF(ISBLANK(D45),"",D45)</f>
        <v>POMCA</v>
      </c>
      <c r="E62" s="236">
        <f t="shared" ref="E62:F75" si="0">IF(ISBLANK(E45),"",E45)</f>
        <v>1504</v>
      </c>
      <c r="F62" s="236" t="str">
        <f>IF(ISBLANK(F45),"",F45)</f>
        <v>TAPIAS</v>
      </c>
      <c r="G62" s="32">
        <v>0.2</v>
      </c>
      <c r="H62" s="32">
        <v>0.09</v>
      </c>
      <c r="I62" s="32">
        <v>0.02</v>
      </c>
      <c r="J62" s="32"/>
      <c r="K62" s="113"/>
    </row>
    <row r="63" spans="1:11" s="235" customFormat="1" ht="14.1" customHeight="1" thickBot="1">
      <c r="B63" s="227"/>
      <c r="C63" s="232">
        <v>2</v>
      </c>
      <c r="D63" s="236" t="str">
        <f t="shared" ref="D63:D75" si="1">IF(ISBLANK(D46),"",D46)</f>
        <v>POMCA</v>
      </c>
      <c r="E63" s="236">
        <f t="shared" si="0"/>
        <v>1505</v>
      </c>
      <c r="F63" s="236" t="str">
        <f t="shared" si="0"/>
        <v>CAMARONES</v>
      </c>
      <c r="G63" s="32">
        <v>0.2</v>
      </c>
      <c r="H63" s="32">
        <v>0.1</v>
      </c>
      <c r="I63" s="32">
        <v>0.02</v>
      </c>
      <c r="J63" s="32"/>
      <c r="K63" s="113"/>
    </row>
    <row r="64" spans="1:11" s="235" customFormat="1" ht="14.1" customHeight="1" thickBot="1">
      <c r="B64" s="227"/>
      <c r="C64" s="232">
        <v>3</v>
      </c>
      <c r="D64" s="236" t="str">
        <f t="shared" si="1"/>
        <v>POMCA</v>
      </c>
      <c r="E64" s="236" t="str">
        <f t="shared" si="0"/>
        <v>1503-02</v>
      </c>
      <c r="F64" s="236" t="str">
        <f t="shared" si="0"/>
        <v>ANCHO Y OTROS DIRECTOS AL CARIBE</v>
      </c>
      <c r="G64" s="32">
        <v>0.15</v>
      </c>
      <c r="H64" s="32">
        <v>0.06</v>
      </c>
      <c r="I64" s="32">
        <v>0.39</v>
      </c>
      <c r="J64" s="32"/>
      <c r="K64" s="113"/>
    </row>
    <row r="65" spans="1:11" s="235" customFormat="1" ht="14.1" customHeight="1" thickBot="1">
      <c r="B65" s="227"/>
      <c r="C65" s="232">
        <v>4</v>
      </c>
      <c r="D65" s="236" t="str">
        <f t="shared" si="1"/>
        <v>PMA</v>
      </c>
      <c r="E65" s="236" t="str">
        <f t="shared" si="0"/>
        <v>SAC 3.1</v>
      </c>
      <c r="F65" s="236" t="str">
        <f t="shared" si="0"/>
        <v>Sistema Acuifero de Maicao</v>
      </c>
      <c r="G65" s="32">
        <v>0</v>
      </c>
      <c r="H65" s="32">
        <v>0</v>
      </c>
      <c r="I65" s="32"/>
      <c r="J65" s="32"/>
      <c r="K65" s="113"/>
    </row>
    <row r="66" spans="1:11" s="235" customFormat="1" ht="14.1" customHeight="1" thickBot="1">
      <c r="B66" s="227"/>
      <c r="C66" s="232">
        <v>5</v>
      </c>
      <c r="D66" s="236" t="str">
        <f t="shared" si="1"/>
        <v>PMA</v>
      </c>
      <c r="E66" s="236" t="str">
        <f t="shared" si="0"/>
        <v/>
      </c>
      <c r="F66" s="236" t="str">
        <f t="shared" si="0"/>
        <v/>
      </c>
      <c r="G66" s="32"/>
      <c r="H66" s="32"/>
      <c r="I66" s="32"/>
      <c r="J66" s="32"/>
      <c r="K66" s="113"/>
    </row>
    <row r="67" spans="1:11" s="235" customFormat="1" ht="14.1" customHeight="1" thickBot="1">
      <c r="B67" s="227"/>
      <c r="C67" s="232">
        <v>6</v>
      </c>
      <c r="D67" s="236" t="str">
        <f t="shared" si="1"/>
        <v>POMCA</v>
      </c>
      <c r="E67" s="236" t="str">
        <f t="shared" si="0"/>
        <v>1503-01</v>
      </c>
      <c r="F67" s="236" t="str">
        <f t="shared" si="0"/>
        <v>PALOMINO</v>
      </c>
      <c r="G67" s="32">
        <v>0</v>
      </c>
      <c r="H67" s="32">
        <v>0</v>
      </c>
      <c r="I67" s="32"/>
      <c r="J67" s="32"/>
      <c r="K67" s="113"/>
    </row>
    <row r="68" spans="1:11" s="235" customFormat="1" ht="14.1" customHeight="1" thickBot="1">
      <c r="B68" s="227"/>
      <c r="C68" s="232">
        <v>7</v>
      </c>
      <c r="D68" s="236" t="str">
        <f t="shared" si="1"/>
        <v>POMCA</v>
      </c>
      <c r="E68" s="236" t="str">
        <f t="shared" si="0"/>
        <v/>
      </c>
      <c r="F68" s="236" t="str">
        <f t="shared" si="0"/>
        <v/>
      </c>
      <c r="G68" s="32"/>
      <c r="H68" s="32"/>
      <c r="I68" s="32"/>
      <c r="J68" s="32"/>
      <c r="K68" s="113"/>
    </row>
    <row r="69" spans="1:11" s="235" customFormat="1" ht="14.1" customHeight="1" thickBot="1">
      <c r="B69" s="227"/>
      <c r="C69" s="232">
        <v>8</v>
      </c>
      <c r="D69" s="236" t="str">
        <f t="shared" si="1"/>
        <v>PMA</v>
      </c>
      <c r="E69" s="236" t="str">
        <f t="shared" si="0"/>
        <v>SAC 3.2</v>
      </c>
      <c r="F69" s="236" t="str">
        <f t="shared" si="0"/>
        <v>Sistema de Acuifero Riohacha - Manaure</v>
      </c>
      <c r="G69" s="32">
        <v>0</v>
      </c>
      <c r="H69" s="32">
        <v>0</v>
      </c>
      <c r="I69" s="32"/>
      <c r="J69" s="32"/>
      <c r="K69" s="113"/>
    </row>
    <row r="70" spans="1:11" s="235" customFormat="1" ht="14.1" customHeight="1" thickBot="1">
      <c r="B70" s="227"/>
      <c r="C70" s="232">
        <v>9</v>
      </c>
      <c r="D70" s="236" t="str">
        <f t="shared" si="1"/>
        <v>PMA</v>
      </c>
      <c r="E70" s="236" t="str">
        <f t="shared" si="0"/>
        <v/>
      </c>
      <c r="F70" s="236" t="str">
        <f t="shared" si="0"/>
        <v/>
      </c>
      <c r="G70" s="32"/>
      <c r="H70" s="32"/>
      <c r="I70" s="32"/>
      <c r="J70" s="32"/>
      <c r="K70" s="113"/>
    </row>
    <row r="71" spans="1:11" s="235" customFormat="1" ht="14.1" customHeight="1" thickBot="1">
      <c r="B71" s="227"/>
      <c r="C71" s="232">
        <v>10</v>
      </c>
      <c r="D71" s="236" t="str">
        <f t="shared" si="1"/>
        <v>POMCA</v>
      </c>
      <c r="E71" s="236" t="str">
        <f t="shared" si="0"/>
        <v/>
      </c>
      <c r="F71" s="236" t="str">
        <f t="shared" si="0"/>
        <v/>
      </c>
      <c r="G71" s="32"/>
      <c r="H71" s="32"/>
      <c r="I71" s="32"/>
      <c r="J71" s="32"/>
      <c r="K71" s="113"/>
    </row>
    <row r="72" spans="1:11" s="235" customFormat="1" ht="14.1" customHeight="1" thickBot="1">
      <c r="B72" s="227"/>
      <c r="C72" s="232">
        <v>11</v>
      </c>
      <c r="D72" s="236" t="str">
        <f t="shared" si="1"/>
        <v>POMCA</v>
      </c>
      <c r="E72" s="236" t="str">
        <f t="shared" si="0"/>
        <v/>
      </c>
      <c r="F72" s="236" t="str">
        <f t="shared" si="0"/>
        <v/>
      </c>
      <c r="G72" s="32"/>
      <c r="H72" s="32"/>
      <c r="I72" s="32"/>
      <c r="J72" s="32"/>
      <c r="K72" s="113"/>
    </row>
    <row r="73" spans="1:11" s="235" customFormat="1" ht="14.1" customHeight="1" thickBot="1">
      <c r="B73" s="227"/>
      <c r="C73" s="232">
        <v>12</v>
      </c>
      <c r="D73" s="236" t="str">
        <f t="shared" si="1"/>
        <v>PMA</v>
      </c>
      <c r="E73" s="236" t="str">
        <f t="shared" si="0"/>
        <v>SAC 3.3</v>
      </c>
      <c r="F73" s="236" t="str">
        <f t="shared" si="0"/>
        <v>Sistema de Acuifero Alta Guajira</v>
      </c>
      <c r="G73" s="32">
        <v>0</v>
      </c>
      <c r="H73" s="32">
        <v>0</v>
      </c>
      <c r="I73" s="32"/>
      <c r="J73" s="32"/>
      <c r="K73" s="113"/>
    </row>
    <row r="74" spans="1:11" s="235" customFormat="1" ht="14.1" customHeight="1" thickBot="1">
      <c r="B74" s="227"/>
      <c r="C74" s="232">
        <v>13</v>
      </c>
      <c r="D74" s="236" t="str">
        <f t="shared" si="1"/>
        <v>PMA</v>
      </c>
      <c r="E74" s="236" t="str">
        <f t="shared" si="0"/>
        <v>SAC 4.2</v>
      </c>
      <c r="F74" s="236" t="str">
        <f t="shared" si="0"/>
        <v>Sistema de Acuifero Ranchería</v>
      </c>
      <c r="G74" s="32">
        <v>0</v>
      </c>
      <c r="H74" s="32">
        <v>0</v>
      </c>
      <c r="I74" s="32"/>
      <c r="J74" s="32"/>
      <c r="K74" s="113"/>
    </row>
    <row r="75" spans="1:11" s="235" customFormat="1" ht="14.1" customHeight="1" thickBot="1">
      <c r="B75" s="227"/>
      <c r="C75" s="232">
        <v>14</v>
      </c>
      <c r="D75" s="236" t="str">
        <f t="shared" si="1"/>
        <v>PMM</v>
      </c>
      <c r="E75" s="236" t="str">
        <f t="shared" si="0"/>
        <v/>
      </c>
      <c r="F75" s="236" t="str">
        <f t="shared" si="0"/>
        <v/>
      </c>
      <c r="G75" s="32"/>
      <c r="H75" s="32"/>
      <c r="I75" s="32"/>
      <c r="J75" s="32"/>
      <c r="K75" s="113"/>
    </row>
    <row r="76" spans="1:11" ht="14.1" customHeight="1">
      <c r="A76" s="350"/>
      <c r="B76" s="369"/>
      <c r="C76" s="353"/>
      <c r="D76" s="1609" t="s">
        <v>19</v>
      </c>
      <c r="E76" s="1610"/>
      <c r="F76" s="1610"/>
      <c r="G76" s="1610"/>
      <c r="H76" s="1610"/>
      <c r="I76" s="1610"/>
      <c r="J76" s="1610"/>
      <c r="K76" s="1611"/>
    </row>
    <row r="77" spans="1:11" ht="14.1" customHeight="1">
      <c r="A77" s="350"/>
      <c r="B77" s="369"/>
      <c r="C77" s="353"/>
      <c r="D77" s="1600" t="s">
        <v>32</v>
      </c>
      <c r="E77" s="1601"/>
      <c r="F77" s="1601"/>
      <c r="G77" s="1601"/>
      <c r="H77" s="1601"/>
      <c r="I77" s="1601"/>
      <c r="J77" s="1601"/>
      <c r="K77" s="1602"/>
    </row>
    <row r="78" spans="1:11" ht="14.1" customHeight="1" thickBot="1">
      <c r="A78" s="350"/>
      <c r="B78" s="369"/>
      <c r="C78" s="353"/>
      <c r="D78" s="1603" t="s">
        <v>33</v>
      </c>
      <c r="E78" s="1604"/>
      <c r="F78" s="1604"/>
      <c r="G78" s="1604"/>
      <c r="H78" s="1604"/>
      <c r="I78" s="1604"/>
      <c r="J78" s="1604"/>
      <c r="K78" s="1605"/>
    </row>
    <row r="79" spans="1:11" ht="14.1" customHeight="1" thickBot="1">
      <c r="A79" s="350"/>
      <c r="B79" s="369"/>
      <c r="C79" s="356" t="s">
        <v>24</v>
      </c>
      <c r="D79" s="324" t="s">
        <v>12</v>
      </c>
      <c r="E79" s="324" t="s">
        <v>31</v>
      </c>
      <c r="F79" s="357" t="s">
        <v>14</v>
      </c>
      <c r="G79" s="1301" t="s">
        <v>25</v>
      </c>
      <c r="H79" s="1301" t="s">
        <v>26</v>
      </c>
      <c r="I79" s="1301" t="s">
        <v>27</v>
      </c>
      <c r="J79" s="1301" t="s">
        <v>28</v>
      </c>
      <c r="K79" s="273"/>
    </row>
    <row r="80" spans="1:11" ht="14.1" customHeight="1" thickBot="1">
      <c r="A80" s="350"/>
      <c r="B80" s="369"/>
      <c r="C80" s="336">
        <v>1</v>
      </c>
      <c r="D80" s="358" t="str">
        <f t="shared" ref="D80:F93" si="2">IF(ISBLANK(D62),"",D62)</f>
        <v>POMCA</v>
      </c>
      <c r="E80" s="358">
        <f t="shared" si="2"/>
        <v>1504</v>
      </c>
      <c r="F80" s="358" t="str">
        <f t="shared" si="2"/>
        <v>TAPIAS</v>
      </c>
      <c r="G80" s="359">
        <f t="shared" ref="G80:J93" si="3">IFERROR(G62/G45,"N.A.")</f>
        <v>0.4</v>
      </c>
      <c r="H80" s="359">
        <f t="shared" si="3"/>
        <v>0.3</v>
      </c>
      <c r="I80" s="359">
        <f t="shared" si="3"/>
        <v>0.2</v>
      </c>
      <c r="J80" s="359">
        <f t="shared" si="3"/>
        <v>0</v>
      </c>
      <c r="K80" s="355"/>
    </row>
    <row r="81" spans="1:11" ht="14.1" customHeight="1" thickBot="1">
      <c r="A81" s="350"/>
      <c r="B81" s="369"/>
      <c r="C81" s="336">
        <v>2</v>
      </c>
      <c r="D81" s="358" t="str">
        <f t="shared" si="2"/>
        <v>POMCA</v>
      </c>
      <c r="E81" s="358">
        <f t="shared" si="2"/>
        <v>1505</v>
      </c>
      <c r="F81" s="358" t="str">
        <f t="shared" si="2"/>
        <v>CAMARONES</v>
      </c>
      <c r="G81" s="359">
        <f t="shared" si="3"/>
        <v>0.4</v>
      </c>
      <c r="H81" s="359">
        <f t="shared" si="3"/>
        <v>0.33</v>
      </c>
      <c r="I81" s="359">
        <f t="shared" si="3"/>
        <v>0.2</v>
      </c>
      <c r="J81" s="359">
        <f t="shared" si="3"/>
        <v>0</v>
      </c>
      <c r="K81" s="355"/>
    </row>
    <row r="82" spans="1:11" ht="14.1" customHeight="1" thickBot="1">
      <c r="A82" s="350"/>
      <c r="B82" s="369"/>
      <c r="C82" s="336">
        <v>3</v>
      </c>
      <c r="D82" s="358" t="str">
        <f t="shared" si="2"/>
        <v>POMCA</v>
      </c>
      <c r="E82" s="358" t="str">
        <f t="shared" si="2"/>
        <v>1503-02</v>
      </c>
      <c r="F82" s="358" t="str">
        <f t="shared" si="2"/>
        <v>ANCHO Y OTROS DIRECTOS AL CARIBE</v>
      </c>
      <c r="G82" s="359">
        <f t="shared" si="3"/>
        <v>0.75</v>
      </c>
      <c r="H82" s="359">
        <f t="shared" si="3"/>
        <v>0.3</v>
      </c>
      <c r="I82" s="359">
        <f t="shared" si="3"/>
        <v>0.78</v>
      </c>
      <c r="J82" s="359">
        <f t="shared" si="3"/>
        <v>0</v>
      </c>
      <c r="K82" s="355"/>
    </row>
    <row r="83" spans="1:11" ht="14.1" customHeight="1" thickBot="1">
      <c r="A83" s="350"/>
      <c r="B83" s="369"/>
      <c r="C83" s="336">
        <v>4</v>
      </c>
      <c r="D83" s="358" t="str">
        <f t="shared" si="2"/>
        <v>PMA</v>
      </c>
      <c r="E83" s="358" t="str">
        <f t="shared" si="2"/>
        <v>SAC 3.1</v>
      </c>
      <c r="F83" s="358" t="str">
        <f t="shared" si="2"/>
        <v>Sistema Acuifero de Maicao</v>
      </c>
      <c r="G83" s="359" t="str">
        <f t="shared" si="3"/>
        <v>N.A.</v>
      </c>
      <c r="H83" s="359" t="str">
        <f t="shared" si="3"/>
        <v>N.A.</v>
      </c>
      <c r="I83" s="359" t="str">
        <f t="shared" si="3"/>
        <v>N.A.</v>
      </c>
      <c r="J83" s="359" t="str">
        <f t="shared" si="3"/>
        <v>N.A.</v>
      </c>
      <c r="K83" s="355"/>
    </row>
    <row r="84" spans="1:11" ht="14.1" customHeight="1" thickBot="1">
      <c r="A84" s="350"/>
      <c r="B84" s="369"/>
      <c r="C84" s="336">
        <v>5</v>
      </c>
      <c r="D84" s="358" t="str">
        <f t="shared" si="2"/>
        <v>PMA</v>
      </c>
      <c r="E84" s="358" t="str">
        <f t="shared" si="2"/>
        <v/>
      </c>
      <c r="F84" s="358" t="str">
        <f t="shared" si="2"/>
        <v/>
      </c>
      <c r="G84" s="359" t="str">
        <f t="shared" si="3"/>
        <v>N.A.</v>
      </c>
      <c r="H84" s="359" t="str">
        <f t="shared" si="3"/>
        <v>N.A.</v>
      </c>
      <c r="I84" s="359" t="str">
        <f t="shared" si="3"/>
        <v>N.A.</v>
      </c>
      <c r="J84" s="359" t="str">
        <f t="shared" si="3"/>
        <v>N.A.</v>
      </c>
      <c r="K84" s="355"/>
    </row>
    <row r="85" spans="1:11" ht="14.1" customHeight="1" thickBot="1">
      <c r="A85" s="350"/>
      <c r="B85" s="369"/>
      <c r="C85" s="336">
        <v>6</v>
      </c>
      <c r="D85" s="358" t="str">
        <f t="shared" si="2"/>
        <v>POMCA</v>
      </c>
      <c r="E85" s="358" t="str">
        <f t="shared" si="2"/>
        <v>1503-01</v>
      </c>
      <c r="F85" s="358" t="str">
        <f t="shared" si="2"/>
        <v>PALOMINO</v>
      </c>
      <c r="G85" s="359" t="str">
        <f t="shared" si="3"/>
        <v>N.A.</v>
      </c>
      <c r="H85" s="359" t="str">
        <f t="shared" si="3"/>
        <v>N.A.</v>
      </c>
      <c r="I85" s="359" t="str">
        <f t="shared" si="3"/>
        <v>N.A.</v>
      </c>
      <c r="J85" s="359" t="str">
        <f t="shared" si="3"/>
        <v>N.A.</v>
      </c>
      <c r="K85" s="276"/>
    </row>
    <row r="86" spans="1:11" ht="14.1" customHeight="1" thickBot="1">
      <c r="A86" s="350"/>
      <c r="B86" s="369"/>
      <c r="C86" s="336">
        <v>7</v>
      </c>
      <c r="D86" s="358" t="str">
        <f t="shared" si="2"/>
        <v>POMCA</v>
      </c>
      <c r="E86" s="358" t="str">
        <f t="shared" si="2"/>
        <v/>
      </c>
      <c r="F86" s="358" t="str">
        <f t="shared" si="2"/>
        <v/>
      </c>
      <c r="G86" s="359" t="str">
        <f t="shared" si="3"/>
        <v>N.A.</v>
      </c>
      <c r="H86" s="359" t="str">
        <f t="shared" si="3"/>
        <v>N.A.</v>
      </c>
      <c r="I86" s="359" t="str">
        <f t="shared" si="3"/>
        <v>N.A.</v>
      </c>
      <c r="J86" s="359" t="str">
        <f t="shared" si="3"/>
        <v>N.A.</v>
      </c>
      <c r="K86" s="355"/>
    </row>
    <row r="87" spans="1:11" ht="14.1" customHeight="1" thickBot="1">
      <c r="A87" s="350"/>
      <c r="B87" s="369"/>
      <c r="C87" s="336">
        <v>8</v>
      </c>
      <c r="D87" s="358" t="str">
        <f t="shared" si="2"/>
        <v>PMA</v>
      </c>
      <c r="E87" s="358" t="str">
        <f t="shared" si="2"/>
        <v>SAC 3.2</v>
      </c>
      <c r="F87" s="358" t="str">
        <f t="shared" si="2"/>
        <v>Sistema de Acuifero Riohacha - Manaure</v>
      </c>
      <c r="G87" s="359" t="str">
        <f t="shared" si="3"/>
        <v>N.A.</v>
      </c>
      <c r="H87" s="359" t="str">
        <f t="shared" si="3"/>
        <v>N.A.</v>
      </c>
      <c r="I87" s="359" t="str">
        <f t="shared" si="3"/>
        <v>N.A.</v>
      </c>
      <c r="J87" s="359" t="str">
        <f t="shared" si="3"/>
        <v>N.A.</v>
      </c>
      <c r="K87" s="355"/>
    </row>
    <row r="88" spans="1:11" ht="14.1" customHeight="1" thickBot="1">
      <c r="A88" s="350"/>
      <c r="B88" s="369"/>
      <c r="C88" s="336">
        <v>9</v>
      </c>
      <c r="D88" s="358" t="str">
        <f t="shared" si="2"/>
        <v>PMA</v>
      </c>
      <c r="E88" s="358" t="str">
        <f t="shared" si="2"/>
        <v/>
      </c>
      <c r="F88" s="358" t="str">
        <f t="shared" si="2"/>
        <v/>
      </c>
      <c r="G88" s="359" t="str">
        <f t="shared" si="3"/>
        <v>N.A.</v>
      </c>
      <c r="H88" s="359" t="str">
        <f t="shared" si="3"/>
        <v>N.A.</v>
      </c>
      <c r="I88" s="359" t="str">
        <f t="shared" si="3"/>
        <v>N.A.</v>
      </c>
      <c r="J88" s="359" t="str">
        <f t="shared" si="3"/>
        <v>N.A.</v>
      </c>
      <c r="K88" s="355"/>
    </row>
    <row r="89" spans="1:11" ht="14.1" customHeight="1" thickBot="1">
      <c r="A89" s="350"/>
      <c r="B89" s="369"/>
      <c r="C89" s="336">
        <v>10</v>
      </c>
      <c r="D89" s="358" t="str">
        <f t="shared" si="2"/>
        <v>POMCA</v>
      </c>
      <c r="E89" s="358" t="str">
        <f t="shared" si="2"/>
        <v/>
      </c>
      <c r="F89" s="358" t="str">
        <f t="shared" si="2"/>
        <v/>
      </c>
      <c r="G89" s="359" t="str">
        <f t="shared" si="3"/>
        <v>N.A.</v>
      </c>
      <c r="H89" s="359" t="str">
        <f t="shared" si="3"/>
        <v>N.A.</v>
      </c>
      <c r="I89" s="359" t="str">
        <f t="shared" si="3"/>
        <v>N.A.</v>
      </c>
      <c r="J89" s="359" t="str">
        <f t="shared" si="3"/>
        <v>N.A.</v>
      </c>
      <c r="K89" s="276"/>
    </row>
    <row r="90" spans="1:11" ht="14.1" customHeight="1" thickBot="1">
      <c r="A90" s="350"/>
      <c r="B90" s="369"/>
      <c r="C90" s="336">
        <v>11</v>
      </c>
      <c r="D90" s="358" t="str">
        <f t="shared" si="2"/>
        <v>POMCA</v>
      </c>
      <c r="E90" s="358" t="str">
        <f t="shared" si="2"/>
        <v/>
      </c>
      <c r="F90" s="358" t="str">
        <f t="shared" si="2"/>
        <v/>
      </c>
      <c r="G90" s="359" t="str">
        <f t="shared" si="3"/>
        <v>N.A.</v>
      </c>
      <c r="H90" s="359" t="str">
        <f t="shared" si="3"/>
        <v>N.A.</v>
      </c>
      <c r="I90" s="359" t="str">
        <f t="shared" si="3"/>
        <v>N.A.</v>
      </c>
      <c r="J90" s="359" t="str">
        <f t="shared" si="3"/>
        <v>N.A.</v>
      </c>
      <c r="K90" s="355"/>
    </row>
    <row r="91" spans="1:11" ht="14.1" customHeight="1" thickBot="1">
      <c r="A91" s="350"/>
      <c r="B91" s="369"/>
      <c r="C91" s="336">
        <v>12</v>
      </c>
      <c r="D91" s="358" t="str">
        <f t="shared" si="2"/>
        <v>PMA</v>
      </c>
      <c r="E91" s="358" t="str">
        <f t="shared" si="2"/>
        <v>SAC 3.3</v>
      </c>
      <c r="F91" s="358" t="str">
        <f t="shared" si="2"/>
        <v>Sistema de Acuifero Alta Guajira</v>
      </c>
      <c r="G91" s="359" t="str">
        <f t="shared" si="3"/>
        <v>N.A.</v>
      </c>
      <c r="H91" s="359" t="str">
        <f t="shared" si="3"/>
        <v>N.A.</v>
      </c>
      <c r="I91" s="359" t="str">
        <f t="shared" si="3"/>
        <v>N.A.</v>
      </c>
      <c r="J91" s="359" t="str">
        <f t="shared" si="3"/>
        <v>N.A.</v>
      </c>
      <c r="K91" s="355"/>
    </row>
    <row r="92" spans="1:11" ht="14.1" customHeight="1" thickBot="1">
      <c r="A92" s="350"/>
      <c r="B92" s="369"/>
      <c r="C92" s="336">
        <v>13</v>
      </c>
      <c r="D92" s="358" t="str">
        <f t="shared" si="2"/>
        <v>PMA</v>
      </c>
      <c r="E92" s="358" t="str">
        <f t="shared" si="2"/>
        <v>SAC 4.2</v>
      </c>
      <c r="F92" s="358" t="str">
        <f t="shared" si="2"/>
        <v>Sistema de Acuifero Ranchería</v>
      </c>
      <c r="G92" s="359" t="str">
        <f t="shared" si="3"/>
        <v>N.A.</v>
      </c>
      <c r="H92" s="359" t="str">
        <f t="shared" si="3"/>
        <v>N.A.</v>
      </c>
      <c r="I92" s="359" t="str">
        <f t="shared" si="3"/>
        <v>N.A.</v>
      </c>
      <c r="J92" s="359" t="str">
        <f t="shared" si="3"/>
        <v>N.A.</v>
      </c>
      <c r="K92" s="355"/>
    </row>
    <row r="93" spans="1:11" ht="14.1" customHeight="1" thickBot="1">
      <c r="A93" s="350"/>
      <c r="B93" s="369"/>
      <c r="C93" s="336">
        <v>14</v>
      </c>
      <c r="D93" s="358" t="str">
        <f t="shared" si="2"/>
        <v>PMM</v>
      </c>
      <c r="E93" s="358" t="str">
        <f t="shared" si="2"/>
        <v/>
      </c>
      <c r="F93" s="358" t="str">
        <f t="shared" si="2"/>
        <v/>
      </c>
      <c r="G93" s="359" t="str">
        <f t="shared" si="3"/>
        <v>N.A.</v>
      </c>
      <c r="H93" s="359" t="str">
        <f t="shared" si="3"/>
        <v>N.A.</v>
      </c>
      <c r="I93" s="359" t="str">
        <f t="shared" si="3"/>
        <v>N.A.</v>
      </c>
      <c r="J93" s="359" t="str">
        <f t="shared" si="3"/>
        <v>N.A.</v>
      </c>
      <c r="K93" s="276"/>
    </row>
    <row r="94" spans="1:11" ht="14.1" customHeight="1">
      <c r="A94" s="350"/>
      <c r="B94" s="369"/>
      <c r="C94" s="353"/>
      <c r="D94" s="1606"/>
      <c r="E94" s="1607"/>
      <c r="F94" s="1607"/>
      <c r="G94" s="1607"/>
      <c r="H94" s="1607"/>
      <c r="I94" s="1607"/>
      <c r="J94" s="1607"/>
      <c r="K94" s="1608"/>
    </row>
    <row r="95" spans="1:11" ht="14.1" customHeight="1" thickBot="1">
      <c r="A95" s="350"/>
      <c r="B95" s="369"/>
      <c r="C95" s="353"/>
      <c r="D95" s="1603" t="s">
        <v>34</v>
      </c>
      <c r="E95" s="1604"/>
      <c r="F95" s="1604"/>
      <c r="G95" s="1604"/>
      <c r="H95" s="1604"/>
      <c r="I95" s="1604"/>
      <c r="J95" s="1604"/>
      <c r="K95" s="1605"/>
    </row>
    <row r="96" spans="1:11" ht="14.1" customHeight="1" thickBot="1">
      <c r="A96" s="350"/>
      <c r="B96" s="369"/>
      <c r="C96" s="360" t="s">
        <v>24</v>
      </c>
      <c r="D96" s="357" t="s">
        <v>35</v>
      </c>
      <c r="E96" s="357" t="s">
        <v>36</v>
      </c>
      <c r="F96" s="361"/>
      <c r="G96" s="1301" t="s">
        <v>25</v>
      </c>
      <c r="H96" s="1301" t="s">
        <v>26</v>
      </c>
      <c r="I96" s="1301" t="s">
        <v>27</v>
      </c>
      <c r="J96" s="1301" t="s">
        <v>28</v>
      </c>
      <c r="K96" s="273"/>
    </row>
    <row r="97" spans="1:11" ht="14.1" customHeight="1" thickBot="1">
      <c r="A97" s="350"/>
      <c r="B97" s="369"/>
      <c r="C97" s="346">
        <v>1</v>
      </c>
      <c r="D97" s="282" t="s">
        <v>37</v>
      </c>
      <c r="E97" s="32">
        <v>0.8</v>
      </c>
      <c r="F97" s="33"/>
      <c r="G97" s="362">
        <f ca="1">IFERROR(AVERAGEIF($D$80:$J$93,"POMCA",G$80:G$93),0)</f>
        <v>0.52</v>
      </c>
      <c r="H97" s="362">
        <f ca="1">IFERROR(AVERAGEIF($D$80:$J$93,"POMCA",H$80:H$93),0)</f>
        <v>0.31</v>
      </c>
      <c r="I97" s="362">
        <f ca="1">IFERROR(AVERAGEIF($D$80:$J$93,"POMCA",I$80:I$93),0)</f>
        <v>0.39</v>
      </c>
      <c r="J97" s="362">
        <f ca="1">IFERROR(AVERAGEIF($D$80:$J$93,"POMCA",J$80:J$93),0)</f>
        <v>0</v>
      </c>
      <c r="K97" s="113"/>
    </row>
    <row r="98" spans="1:11" ht="14.1" customHeight="1" thickBot="1">
      <c r="A98" s="350"/>
      <c r="B98" s="369"/>
      <c r="C98" s="346">
        <v>2</v>
      </c>
      <c r="D98" s="282" t="s">
        <v>17</v>
      </c>
      <c r="E98" s="32">
        <v>0.2</v>
      </c>
      <c r="F98" s="33"/>
      <c r="G98" s="362">
        <f ca="1">IFERROR(AVERAGEIF($D$80:$J$93,"PMA",G$80:G$93),0)</f>
        <v>0</v>
      </c>
      <c r="H98" s="362">
        <f ca="1">IFERROR(AVERAGEIF($D$80:$J$93,"PMA",H$80:H$93),0)</f>
        <v>0</v>
      </c>
      <c r="I98" s="362">
        <f ca="1">IFERROR(AVERAGEIF($D$80:$J$93,"PMA",I$80:I$93),0)</f>
        <v>0</v>
      </c>
      <c r="J98" s="362">
        <f ca="1">IFERROR(AVERAGEIF($D$80:$J$93,"PMA",J$80:J$93),0)</f>
        <v>0</v>
      </c>
      <c r="K98" s="113"/>
    </row>
    <row r="99" spans="1:11" ht="14.1" customHeight="1" thickBot="1">
      <c r="A99" s="350"/>
      <c r="B99" s="369"/>
      <c r="C99" s="346">
        <v>3</v>
      </c>
      <c r="D99" s="282" t="s">
        <v>18</v>
      </c>
      <c r="E99" s="32">
        <v>0</v>
      </c>
      <c r="F99" s="33"/>
      <c r="G99" s="362">
        <f ca="1">IFERROR(AVERAGEIF($D$80:$J$93,"PMM",G$80:G$93),0)</f>
        <v>0</v>
      </c>
      <c r="H99" s="362">
        <f ca="1">IFERROR(AVERAGEIF($D$80:$J$93,"PMM",H$80:H$93),0)</f>
        <v>0</v>
      </c>
      <c r="I99" s="362">
        <f ca="1">IFERROR(AVERAGEIF($D$80:$J$93,"PMM",I$80:I$93),0)</f>
        <v>0</v>
      </c>
      <c r="J99" s="362">
        <f ca="1">IFERROR(AVERAGEIF($D$80:$J$93,"PMM",J$80:J$93),0)</f>
        <v>0</v>
      </c>
      <c r="K99" s="113"/>
    </row>
    <row r="100" spans="1:11" ht="14.1" customHeight="1" thickBot="1">
      <c r="A100" s="350"/>
      <c r="B100" s="369"/>
      <c r="C100" s="257"/>
      <c r="D100" s="1631">
        <f>Formulas!$D$5</f>
        <v>1</v>
      </c>
      <c r="E100" s="1632"/>
      <c r="F100" s="515" t="s">
        <v>1269</v>
      </c>
      <c r="G100" s="201">
        <f ca="1">Formulas!E5</f>
        <v>0.42</v>
      </c>
      <c r="H100" s="201">
        <f ca="1">Formulas!F5</f>
        <v>0.25</v>
      </c>
      <c r="I100" s="201">
        <f ca="1">Formulas!G5</f>
        <v>0.31</v>
      </c>
      <c r="J100" s="201" t="str">
        <f ca="1">Formulas!H5</f>
        <v>N.A.</v>
      </c>
      <c r="K100" s="114"/>
    </row>
    <row r="101" spans="1:11" ht="14.1" customHeight="1">
      <c r="A101" s="350"/>
      <c r="B101" s="369"/>
      <c r="C101" s="353"/>
      <c r="D101" s="1633"/>
      <c r="E101" s="1634"/>
      <c r="F101" s="1634"/>
      <c r="G101" s="1634"/>
      <c r="H101" s="1634"/>
      <c r="I101" s="1634"/>
      <c r="J101" s="1634"/>
      <c r="K101" s="1635"/>
    </row>
    <row r="102" spans="1:11" ht="14.1" customHeight="1">
      <c r="A102" s="350"/>
      <c r="B102" s="369"/>
      <c r="C102" s="353"/>
      <c r="D102" s="1600" t="s">
        <v>38</v>
      </c>
      <c r="E102" s="1601"/>
      <c r="F102" s="1601"/>
      <c r="G102" s="1601"/>
      <c r="H102" s="1601"/>
      <c r="I102" s="1601"/>
      <c r="J102" s="1601"/>
      <c r="K102" s="1602"/>
    </row>
    <row r="103" spans="1:11" ht="14.1" customHeight="1" thickBot="1">
      <c r="A103" s="350"/>
      <c r="B103" s="344"/>
      <c r="C103" s="345"/>
      <c r="D103" s="321"/>
      <c r="E103" s="269"/>
      <c r="F103" s="269"/>
      <c r="G103" s="269"/>
      <c r="H103" s="269"/>
      <c r="I103" s="269"/>
      <c r="J103" s="269"/>
      <c r="K103" s="270"/>
    </row>
    <row r="104" spans="1:11" ht="14.1" customHeight="1" thickBot="1">
      <c r="A104" s="350"/>
      <c r="B104" s="344" t="s">
        <v>39</v>
      </c>
      <c r="C104" s="345"/>
      <c r="D104" s="1621" t="s">
        <v>40</v>
      </c>
      <c r="E104" s="1622"/>
      <c r="F104" s="1622"/>
      <c r="G104" s="1622"/>
      <c r="H104" s="1622"/>
      <c r="I104" s="1622"/>
      <c r="J104" s="1622"/>
      <c r="K104" s="1623"/>
    </row>
    <row r="105" spans="1:11" ht="39" customHeight="1" thickBot="1">
      <c r="A105" s="350"/>
      <c r="B105" s="344" t="s">
        <v>41</v>
      </c>
      <c r="C105" s="345"/>
      <c r="D105" s="1621" t="s">
        <v>42</v>
      </c>
      <c r="E105" s="1622"/>
      <c r="F105" s="1622"/>
      <c r="G105" s="1622"/>
      <c r="H105" s="1622"/>
      <c r="I105" s="1622"/>
      <c r="J105" s="1622"/>
      <c r="K105" s="1623"/>
    </row>
    <row r="106" spans="1:11" ht="15.75" thickBot="1">
      <c r="A106" s="350"/>
      <c r="B106" s="241"/>
      <c r="C106" s="242"/>
      <c r="D106" s="240"/>
      <c r="E106" s="240"/>
      <c r="F106" s="240"/>
      <c r="G106" s="240"/>
      <c r="H106" s="240"/>
      <c r="I106" s="240"/>
      <c r="J106" s="240"/>
      <c r="K106" s="240"/>
    </row>
    <row r="107" spans="1:11" ht="24" customHeight="1" thickBot="1">
      <c r="A107" s="350"/>
      <c r="B107" s="1627" t="s">
        <v>43</v>
      </c>
      <c r="C107" s="1628"/>
      <c r="D107" s="1628"/>
      <c r="E107" s="1629"/>
      <c r="F107" s="240"/>
      <c r="G107" s="240"/>
      <c r="H107" s="240"/>
      <c r="I107" s="240"/>
      <c r="J107" s="240"/>
      <c r="K107" s="240"/>
    </row>
    <row r="108" spans="1:11" ht="15.75" thickBot="1">
      <c r="A108" s="350"/>
      <c r="B108" s="1618">
        <v>1</v>
      </c>
      <c r="C108" s="264"/>
      <c r="D108" s="281" t="s">
        <v>44</v>
      </c>
      <c r="E108" s="163" t="s">
        <v>1605</v>
      </c>
      <c r="F108" s="240"/>
      <c r="G108" s="240"/>
      <c r="H108" s="240"/>
      <c r="I108" s="240"/>
      <c r="J108" s="240"/>
      <c r="K108" s="240"/>
    </row>
    <row r="109" spans="1:11" ht="15.75" thickBot="1">
      <c r="A109" s="350"/>
      <c r="B109" s="1619"/>
      <c r="C109" s="264"/>
      <c r="D109" s="270" t="s">
        <v>45</v>
      </c>
      <c r="E109" s="163" t="s">
        <v>1832</v>
      </c>
      <c r="F109" s="240"/>
      <c r="G109" s="240"/>
      <c r="H109" s="240"/>
      <c r="I109" s="240"/>
      <c r="J109" s="240"/>
      <c r="K109" s="240"/>
    </row>
    <row r="110" spans="1:11" ht="15.75" thickBot="1">
      <c r="A110" s="350"/>
      <c r="B110" s="1619"/>
      <c r="C110" s="264"/>
      <c r="D110" s="270" t="s">
        <v>46</v>
      </c>
      <c r="E110" s="163" t="s">
        <v>1833</v>
      </c>
      <c r="F110" s="240"/>
      <c r="G110" s="240"/>
      <c r="H110" s="240"/>
      <c r="I110" s="240"/>
      <c r="J110" s="240"/>
      <c r="K110" s="240"/>
    </row>
    <row r="111" spans="1:11" ht="15.75" thickBot="1">
      <c r="A111" s="350"/>
      <c r="B111" s="1619"/>
      <c r="C111" s="264"/>
      <c r="D111" s="270" t="s">
        <v>47</v>
      </c>
      <c r="E111" s="163" t="s">
        <v>1626</v>
      </c>
      <c r="F111" s="240"/>
      <c r="G111" s="240"/>
      <c r="H111" s="240"/>
      <c r="I111" s="240"/>
      <c r="J111" s="240"/>
      <c r="K111" s="240"/>
    </row>
    <row r="112" spans="1:11" ht="15.75" thickBot="1">
      <c r="A112" s="350"/>
      <c r="B112" s="1619"/>
      <c r="C112" s="264"/>
      <c r="D112" s="270" t="s">
        <v>48</v>
      </c>
      <c r="E112" s="163" t="s">
        <v>1834</v>
      </c>
      <c r="F112" s="240"/>
      <c r="G112" s="240"/>
      <c r="H112" s="240"/>
      <c r="I112" s="240"/>
      <c r="J112" s="240"/>
      <c r="K112" s="240"/>
    </row>
    <row r="113" spans="1:11" ht="15.75" thickBot="1">
      <c r="A113" s="350"/>
      <c r="B113" s="1619"/>
      <c r="C113" s="264"/>
      <c r="D113" s="270" t="s">
        <v>49</v>
      </c>
      <c r="E113" s="163" t="s">
        <v>1644</v>
      </c>
      <c r="F113" s="240"/>
      <c r="G113" s="240"/>
      <c r="H113" s="240"/>
      <c r="I113" s="240"/>
      <c r="J113" s="240"/>
      <c r="K113" s="240"/>
    </row>
    <row r="114" spans="1:11" ht="15.75" thickBot="1">
      <c r="A114" s="350"/>
      <c r="B114" s="1620"/>
      <c r="C114" s="336"/>
      <c r="D114" s="270" t="s">
        <v>50</v>
      </c>
      <c r="E114" s="163" t="s">
        <v>1607</v>
      </c>
      <c r="F114" s="240"/>
      <c r="G114" s="240"/>
      <c r="H114" s="240"/>
      <c r="I114" s="240"/>
      <c r="J114" s="240"/>
      <c r="K114" s="240"/>
    </row>
    <row r="115" spans="1:11" ht="15.75" thickBot="1">
      <c r="A115" s="350"/>
      <c r="B115" s="241"/>
      <c r="C115" s="242"/>
      <c r="D115" s="240"/>
      <c r="E115" s="240"/>
      <c r="F115" s="240"/>
      <c r="G115" s="240"/>
      <c r="H115" s="240"/>
      <c r="I115" s="240"/>
      <c r="J115" s="240"/>
      <c r="K115" s="240"/>
    </row>
    <row r="116" spans="1:11" ht="15" customHeight="1" thickBot="1">
      <c r="A116" s="350"/>
      <c r="B116" s="1627" t="s">
        <v>51</v>
      </c>
      <c r="C116" s="1628"/>
      <c r="D116" s="1628"/>
      <c r="E116" s="1629"/>
      <c r="F116" s="240"/>
      <c r="G116" s="240"/>
      <c r="H116" s="240"/>
      <c r="I116" s="240"/>
      <c r="J116" s="240"/>
      <c r="K116" s="240"/>
    </row>
    <row r="117" spans="1:11" ht="15.75" thickBot="1">
      <c r="A117" s="350"/>
      <c r="B117" s="1618">
        <v>1</v>
      </c>
      <c r="C117" s="264"/>
      <c r="D117" s="281" t="s">
        <v>44</v>
      </c>
      <c r="E117" s="35" t="s">
        <v>52</v>
      </c>
      <c r="F117" s="240"/>
      <c r="G117" s="240"/>
      <c r="H117" s="240"/>
      <c r="I117" s="240"/>
      <c r="J117" s="240"/>
      <c r="K117" s="240"/>
    </row>
    <row r="118" spans="1:11" ht="15.75" thickBot="1">
      <c r="A118" s="350"/>
      <c r="B118" s="1619"/>
      <c r="C118" s="264"/>
      <c r="D118" s="270" t="s">
        <v>45</v>
      </c>
      <c r="E118" s="35" t="s">
        <v>53</v>
      </c>
      <c r="F118" s="240"/>
      <c r="G118" s="240"/>
      <c r="H118" s="240"/>
      <c r="I118" s="240"/>
      <c r="J118" s="240"/>
      <c r="K118" s="240"/>
    </row>
    <row r="119" spans="1:11" ht="15.75" thickBot="1">
      <c r="A119" s="350"/>
      <c r="B119" s="1619"/>
      <c r="C119" s="264"/>
      <c r="D119" s="270" t="s">
        <v>46</v>
      </c>
      <c r="E119" s="168"/>
      <c r="F119" s="240"/>
      <c r="G119" s="240"/>
      <c r="H119" s="240"/>
      <c r="I119" s="240"/>
      <c r="J119" s="240"/>
      <c r="K119" s="240"/>
    </row>
    <row r="120" spans="1:11" ht="15.75" thickBot="1">
      <c r="A120" s="350"/>
      <c r="B120" s="1619"/>
      <c r="C120" s="264"/>
      <c r="D120" s="270" t="s">
        <v>47</v>
      </c>
      <c r="E120" s="168"/>
      <c r="F120" s="240"/>
      <c r="G120" s="240"/>
      <c r="H120" s="240"/>
      <c r="I120" s="240"/>
      <c r="J120" s="240"/>
      <c r="K120" s="240"/>
    </row>
    <row r="121" spans="1:11" ht="15.75" thickBot="1">
      <c r="A121" s="350"/>
      <c r="B121" s="1619"/>
      <c r="C121" s="264"/>
      <c r="D121" s="270" t="s">
        <v>48</v>
      </c>
      <c r="E121" s="168"/>
      <c r="F121" s="240"/>
      <c r="G121" s="240"/>
      <c r="H121" s="240"/>
      <c r="I121" s="240"/>
      <c r="J121" s="240"/>
      <c r="K121" s="240"/>
    </row>
    <row r="122" spans="1:11" ht="15.75" thickBot="1">
      <c r="A122" s="350"/>
      <c r="B122" s="1619"/>
      <c r="C122" s="264"/>
      <c r="D122" s="270" t="s">
        <v>49</v>
      </c>
      <c r="E122" s="168"/>
      <c r="F122" s="240"/>
      <c r="G122" s="240"/>
      <c r="H122" s="240"/>
      <c r="I122" s="240"/>
      <c r="J122" s="240"/>
      <c r="K122" s="240"/>
    </row>
    <row r="123" spans="1:11" ht="15.75" thickBot="1">
      <c r="A123" s="350"/>
      <c r="B123" s="1620"/>
      <c r="C123" s="336"/>
      <c r="D123" s="270" t="s">
        <v>50</v>
      </c>
      <c r="E123" s="168"/>
      <c r="F123" s="240"/>
      <c r="G123" s="240"/>
      <c r="H123" s="240"/>
      <c r="I123" s="240"/>
      <c r="J123" s="240"/>
      <c r="K123" s="240"/>
    </row>
    <row r="124" spans="1:11" ht="15.75" thickBot="1">
      <c r="A124" s="350"/>
      <c r="B124" s="241"/>
      <c r="C124" s="242"/>
      <c r="D124" s="240"/>
      <c r="E124" s="240"/>
      <c r="F124" s="240"/>
      <c r="G124" s="240"/>
      <c r="H124" s="240"/>
      <c r="I124" s="240"/>
      <c r="J124" s="240"/>
      <c r="K124" s="240"/>
    </row>
    <row r="125" spans="1:11" ht="15" customHeight="1" thickBot="1">
      <c r="A125" s="350"/>
      <c r="B125" s="283" t="s">
        <v>54</v>
      </c>
      <c r="C125" s="284"/>
      <c r="D125" s="284"/>
      <c r="E125" s="363"/>
      <c r="F125" s="350"/>
      <c r="G125" s="240"/>
      <c r="H125" s="240"/>
      <c r="I125" s="240"/>
      <c r="J125" s="240"/>
      <c r="K125" s="240"/>
    </row>
    <row r="126" spans="1:11" ht="24.75" thickBot="1">
      <c r="A126" s="350"/>
      <c r="B126" s="277" t="s">
        <v>55</v>
      </c>
      <c r="C126" s="270" t="s">
        <v>56</v>
      </c>
      <c r="D126" s="269" t="s">
        <v>57</v>
      </c>
      <c r="E126" s="364" t="s">
        <v>58</v>
      </c>
      <c r="F126" s="240"/>
      <c r="G126" s="240"/>
      <c r="H126" s="240"/>
      <c r="I126" s="240"/>
      <c r="J126" s="240"/>
      <c r="K126" s="350"/>
    </row>
    <row r="127" spans="1:11" ht="96.75" thickBot="1">
      <c r="A127" s="350"/>
      <c r="B127" s="287">
        <v>42401</v>
      </c>
      <c r="C127" s="270">
        <v>1</v>
      </c>
      <c r="D127" s="299" t="s">
        <v>59</v>
      </c>
      <c r="E127" s="270"/>
      <c r="F127" s="240"/>
      <c r="G127" s="240"/>
      <c r="H127" s="240"/>
      <c r="I127" s="240"/>
      <c r="J127" s="240"/>
      <c r="K127" s="350"/>
    </row>
    <row r="128" spans="1:11" ht="15.75" thickBot="1">
      <c r="A128" s="350"/>
      <c r="B128" s="300"/>
      <c r="C128" s="301"/>
      <c r="D128" s="240"/>
      <c r="E128" s="240"/>
      <c r="F128" s="240"/>
      <c r="G128" s="240"/>
      <c r="H128" s="240"/>
      <c r="I128" s="240"/>
      <c r="J128" s="240"/>
      <c r="K128" s="240"/>
    </row>
    <row r="129" spans="1:11">
      <c r="A129" s="350"/>
      <c r="B129" s="289" t="s">
        <v>60</v>
      </c>
      <c r="C129" s="290"/>
      <c r="D129" s="240"/>
      <c r="E129" s="240"/>
      <c r="F129" s="240"/>
      <c r="G129" s="240"/>
      <c r="H129" s="240"/>
      <c r="I129" s="240"/>
      <c r="J129" s="240"/>
      <c r="K129" s="240"/>
    </row>
    <row r="130" spans="1:11">
      <c r="A130" s="350"/>
      <c r="B130" s="1630"/>
      <c r="C130" s="1630"/>
      <c r="D130" s="1630"/>
      <c r="E130" s="1630"/>
      <c r="F130" s="1630"/>
      <c r="G130" s="240"/>
      <c r="H130" s="240"/>
      <c r="I130" s="240"/>
      <c r="J130" s="240"/>
      <c r="K130" s="240"/>
    </row>
    <row r="131" spans="1:11" ht="44.1" customHeight="1">
      <c r="A131" s="350"/>
      <c r="B131" s="1630"/>
      <c r="C131" s="1630"/>
      <c r="D131" s="1630"/>
      <c r="E131" s="1630"/>
      <c r="F131" s="1630"/>
      <c r="G131" s="240"/>
      <c r="H131" s="240"/>
      <c r="I131" s="240"/>
      <c r="J131" s="240"/>
      <c r="K131" s="240"/>
    </row>
    <row r="132" spans="1:11">
      <c r="A132" s="350"/>
      <c r="B132" s="241"/>
      <c r="C132" s="242"/>
      <c r="D132" s="240"/>
      <c r="E132" s="240"/>
      <c r="F132" s="240"/>
      <c r="G132" s="240"/>
      <c r="H132" s="240"/>
      <c r="I132" s="240"/>
      <c r="J132" s="240"/>
      <c r="K132" s="240"/>
    </row>
    <row r="133" spans="1:11" ht="15.75" thickBot="1">
      <c r="A133" s="350"/>
      <c r="B133" s="310"/>
      <c r="C133" s="296"/>
      <c r="D133" s="240"/>
      <c r="E133" s="240"/>
      <c r="F133" s="240"/>
      <c r="G133" s="240"/>
      <c r="H133" s="240"/>
      <c r="I133" s="240"/>
      <c r="J133" s="240"/>
      <c r="K133" s="240"/>
    </row>
    <row r="134" spans="1:11" ht="15.75" thickBot="1">
      <c r="A134" s="350"/>
      <c r="B134" s="365" t="s">
        <v>61</v>
      </c>
      <c r="C134" s="303"/>
      <c r="D134" s="240"/>
      <c r="E134" s="240"/>
      <c r="F134" s="240"/>
      <c r="G134" s="240"/>
      <c r="H134" s="240"/>
      <c r="I134" s="240"/>
      <c r="J134" s="240"/>
      <c r="K134" s="240"/>
    </row>
    <row r="135" spans="1:11" ht="15.75" thickBot="1">
      <c r="A135" s="350"/>
      <c r="B135" s="310"/>
      <c r="C135" s="296"/>
      <c r="D135" s="240"/>
      <c r="E135" s="240"/>
      <c r="F135" s="240"/>
      <c r="G135" s="240"/>
      <c r="H135" s="240"/>
      <c r="I135" s="240"/>
      <c r="J135" s="240"/>
      <c r="K135" s="240"/>
    </row>
    <row r="136" spans="1:11" ht="15.75" thickBot="1">
      <c r="A136" s="350"/>
      <c r="B136" s="291" t="s">
        <v>62</v>
      </c>
      <c r="C136" s="292"/>
      <c r="D136" s="1621" t="s">
        <v>63</v>
      </c>
      <c r="E136" s="1622"/>
      <c r="F136" s="1623"/>
      <c r="G136" s="240"/>
      <c r="H136" s="240"/>
      <c r="I136" s="240"/>
      <c r="J136" s="240"/>
      <c r="K136" s="240"/>
    </row>
    <row r="137" spans="1:11">
      <c r="A137" s="350"/>
      <c r="B137" s="1618" t="s">
        <v>64</v>
      </c>
      <c r="C137" s="260"/>
      <c r="D137" s="1606" t="s">
        <v>65</v>
      </c>
      <c r="E137" s="1607"/>
      <c r="F137" s="1608"/>
      <c r="G137" s="240"/>
      <c r="H137" s="240"/>
      <c r="I137" s="240"/>
      <c r="J137" s="240"/>
      <c r="K137" s="240"/>
    </row>
    <row r="138" spans="1:11">
      <c r="A138" s="350"/>
      <c r="B138" s="1619"/>
      <c r="C138" s="268"/>
      <c r="D138" s="1600" t="s">
        <v>66</v>
      </c>
      <c r="E138" s="1601"/>
      <c r="F138" s="1602"/>
      <c r="G138" s="240"/>
      <c r="H138" s="240"/>
      <c r="I138" s="240"/>
      <c r="J138" s="240"/>
      <c r="K138" s="240"/>
    </row>
    <row r="139" spans="1:11">
      <c r="A139" s="350"/>
      <c r="B139" s="1619"/>
      <c r="C139" s="268"/>
      <c r="D139" s="1600" t="s">
        <v>67</v>
      </c>
      <c r="E139" s="1601"/>
      <c r="F139" s="1602"/>
      <c r="G139" s="240"/>
      <c r="H139" s="240"/>
      <c r="I139" s="240"/>
      <c r="J139" s="240"/>
      <c r="K139" s="240"/>
    </row>
    <row r="140" spans="1:11">
      <c r="A140" s="350"/>
      <c r="B140" s="1619"/>
      <c r="C140" s="268"/>
      <c r="D140" s="1612" t="s">
        <v>68</v>
      </c>
      <c r="E140" s="1613"/>
      <c r="F140" s="1614"/>
      <c r="G140" s="240"/>
      <c r="H140" s="240"/>
      <c r="I140" s="240"/>
      <c r="J140" s="240"/>
      <c r="K140" s="240"/>
    </row>
    <row r="141" spans="1:11">
      <c r="A141" s="350"/>
      <c r="B141" s="1619"/>
      <c r="C141" s="268"/>
      <c r="D141" s="1600" t="s">
        <v>69</v>
      </c>
      <c r="E141" s="1601"/>
      <c r="F141" s="1602"/>
      <c r="G141" s="240"/>
      <c r="H141" s="240"/>
      <c r="I141" s="240"/>
      <c r="J141" s="240"/>
      <c r="K141" s="240"/>
    </row>
    <row r="142" spans="1:11">
      <c r="A142" s="350"/>
      <c r="B142" s="1619"/>
      <c r="C142" s="268"/>
      <c r="D142" s="1600" t="s">
        <v>70</v>
      </c>
      <c r="E142" s="1601"/>
      <c r="F142" s="1602"/>
      <c r="G142" s="240"/>
      <c r="H142" s="240"/>
      <c r="I142" s="240"/>
      <c r="J142" s="240"/>
      <c r="K142" s="240"/>
    </row>
    <row r="143" spans="1:11">
      <c r="A143" s="350"/>
      <c r="B143" s="1619"/>
      <c r="C143" s="268"/>
      <c r="D143" s="1600" t="s">
        <v>71</v>
      </c>
      <c r="E143" s="1601"/>
      <c r="F143" s="1602"/>
      <c r="G143" s="240"/>
      <c r="H143" s="240"/>
      <c r="I143" s="240"/>
      <c r="J143" s="240"/>
      <c r="K143" s="240"/>
    </row>
    <row r="144" spans="1:11">
      <c r="A144" s="350"/>
      <c r="B144" s="1619"/>
      <c r="C144" s="268"/>
      <c r="D144" s="1600" t="s">
        <v>72</v>
      </c>
      <c r="E144" s="1601"/>
      <c r="F144" s="1602"/>
      <c r="G144" s="240"/>
      <c r="H144" s="240"/>
      <c r="I144" s="240"/>
      <c r="J144" s="240"/>
      <c r="K144" s="240"/>
    </row>
    <row r="145" spans="1:11">
      <c r="A145" s="350"/>
      <c r="B145" s="1619"/>
      <c r="C145" s="268"/>
      <c r="D145" s="1612" t="s">
        <v>73</v>
      </c>
      <c r="E145" s="1613"/>
      <c r="F145" s="1614"/>
      <c r="G145" s="240"/>
      <c r="H145" s="240"/>
      <c r="I145" s="240"/>
      <c r="J145" s="240"/>
      <c r="K145" s="240"/>
    </row>
    <row r="146" spans="1:11">
      <c r="A146" s="350"/>
      <c r="B146" s="1619"/>
      <c r="C146" s="268"/>
      <c r="D146" s="1600" t="s">
        <v>74</v>
      </c>
      <c r="E146" s="1601"/>
      <c r="F146" s="1602"/>
      <c r="G146" s="240"/>
      <c r="H146" s="240"/>
      <c r="I146" s="240"/>
      <c r="J146" s="240"/>
      <c r="K146" s="240"/>
    </row>
    <row r="147" spans="1:11">
      <c r="A147" s="350"/>
      <c r="B147" s="1619"/>
      <c r="C147" s="268"/>
      <c r="D147" s="1600" t="s">
        <v>75</v>
      </c>
      <c r="E147" s="1601"/>
      <c r="F147" s="1602"/>
      <c r="G147" s="240"/>
      <c r="H147" s="240"/>
      <c r="I147" s="240"/>
      <c r="J147" s="240"/>
      <c r="K147" s="240"/>
    </row>
    <row r="148" spans="1:11" ht="15.75" thickBot="1">
      <c r="A148" s="350"/>
      <c r="B148" s="1620"/>
      <c r="C148" s="278"/>
      <c r="D148" s="1624" t="s">
        <v>76</v>
      </c>
      <c r="E148" s="1625"/>
      <c r="F148" s="1626"/>
      <c r="G148" s="240"/>
      <c r="H148" s="240"/>
      <c r="I148" s="240"/>
      <c r="J148" s="240"/>
      <c r="K148" s="240"/>
    </row>
    <row r="149" spans="1:11" ht="24.75" thickBot="1">
      <c r="A149" s="350"/>
      <c r="B149" s="277" t="s">
        <v>77</v>
      </c>
      <c r="C149" s="278"/>
      <c r="D149" s="1621"/>
      <c r="E149" s="1622"/>
      <c r="F149" s="1623"/>
      <c r="G149" s="240"/>
      <c r="H149" s="240"/>
      <c r="I149" s="240"/>
      <c r="J149" s="240"/>
      <c r="K149" s="240"/>
    </row>
    <row r="150" spans="1:11">
      <c r="A150" s="350"/>
      <c r="B150" s="1618" t="s">
        <v>78</v>
      </c>
      <c r="C150" s="260"/>
      <c r="D150" s="1609" t="s">
        <v>79</v>
      </c>
      <c r="E150" s="1610"/>
      <c r="F150" s="1611"/>
      <c r="G150" s="240"/>
      <c r="H150" s="240"/>
      <c r="I150" s="240"/>
      <c r="J150" s="240"/>
      <c r="K150" s="240"/>
    </row>
    <row r="151" spans="1:11">
      <c r="A151" s="350"/>
      <c r="B151" s="1619"/>
      <c r="C151" s="268"/>
      <c r="D151" s="1612" t="s">
        <v>80</v>
      </c>
      <c r="E151" s="1613"/>
      <c r="F151" s="1614"/>
      <c r="G151" s="240"/>
      <c r="H151" s="240"/>
      <c r="I151" s="240"/>
      <c r="J151" s="240"/>
      <c r="K151" s="240"/>
    </row>
    <row r="152" spans="1:11">
      <c r="A152" s="350"/>
      <c r="B152" s="1619"/>
      <c r="C152" s="268"/>
      <c r="D152" s="1600" t="s">
        <v>81</v>
      </c>
      <c r="E152" s="1601"/>
      <c r="F152" s="1602"/>
      <c r="G152" s="240"/>
      <c r="H152" s="240"/>
      <c r="I152" s="240"/>
      <c r="J152" s="240"/>
      <c r="K152" s="240"/>
    </row>
    <row r="153" spans="1:11">
      <c r="A153" s="350"/>
      <c r="B153" s="1619"/>
      <c r="C153" s="268"/>
      <c r="D153" s="1600" t="s">
        <v>82</v>
      </c>
      <c r="E153" s="1601"/>
      <c r="F153" s="1602"/>
      <c r="G153" s="240"/>
      <c r="H153" s="240"/>
      <c r="I153" s="240"/>
      <c r="J153" s="240"/>
      <c r="K153" s="240"/>
    </row>
    <row r="154" spans="1:11">
      <c r="A154" s="350"/>
      <c r="B154" s="1619"/>
      <c r="C154" s="268"/>
      <c r="D154" s="1600" t="s">
        <v>83</v>
      </c>
      <c r="E154" s="1601"/>
      <c r="F154" s="1602"/>
      <c r="G154" s="240"/>
      <c r="H154" s="240"/>
      <c r="I154" s="240"/>
      <c r="J154" s="240"/>
      <c r="K154" s="240"/>
    </row>
    <row r="155" spans="1:11">
      <c r="A155" s="350"/>
      <c r="B155" s="1619"/>
      <c r="C155" s="268"/>
      <c r="D155" s="1600" t="s">
        <v>84</v>
      </c>
      <c r="E155" s="1601"/>
      <c r="F155" s="1602"/>
      <c r="G155" s="240"/>
      <c r="H155" s="240"/>
      <c r="I155" s="240"/>
      <c r="J155" s="240"/>
      <c r="K155" s="240"/>
    </row>
    <row r="156" spans="1:11">
      <c r="A156" s="350"/>
      <c r="B156" s="1619"/>
      <c r="C156" s="268"/>
      <c r="D156" s="1600" t="s">
        <v>85</v>
      </c>
      <c r="E156" s="1601"/>
      <c r="F156" s="1602"/>
      <c r="G156" s="240"/>
      <c r="H156" s="240"/>
      <c r="I156" s="240"/>
      <c r="J156" s="240"/>
      <c r="K156" s="240"/>
    </row>
    <row r="157" spans="1:11">
      <c r="A157" s="350"/>
      <c r="B157" s="1619"/>
      <c r="C157" s="268"/>
      <c r="D157" s="1600" t="s">
        <v>86</v>
      </c>
      <c r="E157" s="1601"/>
      <c r="F157" s="1602"/>
      <c r="G157" s="240"/>
      <c r="H157" s="240"/>
      <c r="I157" s="240"/>
      <c r="J157" s="240"/>
      <c r="K157" s="240"/>
    </row>
    <row r="158" spans="1:11">
      <c r="A158" s="350"/>
      <c r="B158" s="1619"/>
      <c r="C158" s="268"/>
      <c r="D158" s="1612" t="s">
        <v>87</v>
      </c>
      <c r="E158" s="1613"/>
      <c r="F158" s="1614"/>
      <c r="G158" s="240"/>
      <c r="H158" s="240"/>
      <c r="I158" s="240"/>
      <c r="J158" s="240"/>
      <c r="K158" s="240"/>
    </row>
    <row r="159" spans="1:11">
      <c r="A159" s="350"/>
      <c r="B159" s="1619"/>
      <c r="C159" s="268"/>
      <c r="D159" s="1600" t="s">
        <v>88</v>
      </c>
      <c r="E159" s="1601"/>
      <c r="F159" s="1602"/>
      <c r="G159" s="240"/>
      <c r="H159" s="240"/>
      <c r="I159" s="240"/>
      <c r="J159" s="240"/>
      <c r="K159" s="240"/>
    </row>
    <row r="160" spans="1:11">
      <c r="A160" s="350"/>
      <c r="B160" s="1619"/>
      <c r="C160" s="268"/>
      <c r="D160" s="1600" t="s">
        <v>89</v>
      </c>
      <c r="E160" s="1601"/>
      <c r="F160" s="1602"/>
      <c r="G160" s="240"/>
      <c r="H160" s="240"/>
      <c r="I160" s="240"/>
      <c r="J160" s="240"/>
      <c r="K160" s="240"/>
    </row>
    <row r="161" spans="1:11">
      <c r="A161" s="350"/>
      <c r="B161" s="1619"/>
      <c r="C161" s="268"/>
      <c r="D161" s="1600" t="s">
        <v>90</v>
      </c>
      <c r="E161" s="1601"/>
      <c r="F161" s="1602"/>
      <c r="G161" s="240"/>
      <c r="H161" s="240"/>
      <c r="I161" s="240"/>
      <c r="J161" s="240"/>
      <c r="K161" s="240"/>
    </row>
    <row r="162" spans="1:11">
      <c r="A162" s="350"/>
      <c r="B162" s="1619"/>
      <c r="C162" s="268"/>
      <c r="D162" s="1600" t="s">
        <v>91</v>
      </c>
      <c r="E162" s="1601"/>
      <c r="F162" s="1602"/>
      <c r="G162" s="240"/>
      <c r="H162" s="240"/>
      <c r="I162" s="240"/>
      <c r="J162" s="240"/>
      <c r="K162" s="240"/>
    </row>
    <row r="163" spans="1:11">
      <c r="A163" s="350"/>
      <c r="B163" s="1619"/>
      <c r="C163" s="268"/>
      <c r="D163" s="1612" t="s">
        <v>92</v>
      </c>
      <c r="E163" s="1613"/>
      <c r="F163" s="1614"/>
      <c r="G163" s="240"/>
      <c r="H163" s="240"/>
      <c r="I163" s="240"/>
      <c r="J163" s="240"/>
      <c r="K163" s="240"/>
    </row>
    <row r="164" spans="1:11">
      <c r="A164" s="350"/>
      <c r="B164" s="1619"/>
      <c r="C164" s="268"/>
      <c r="D164" s="1600" t="s">
        <v>93</v>
      </c>
      <c r="E164" s="1601"/>
      <c r="F164" s="1602"/>
      <c r="G164" s="240"/>
      <c r="H164" s="240"/>
      <c r="I164" s="240"/>
      <c r="J164" s="240"/>
      <c r="K164" s="240"/>
    </row>
    <row r="165" spans="1:11">
      <c r="A165" s="350"/>
      <c r="B165" s="1619"/>
      <c r="C165" s="268"/>
      <c r="D165" s="1600" t="s">
        <v>89</v>
      </c>
      <c r="E165" s="1601"/>
      <c r="F165" s="1602"/>
      <c r="G165" s="240"/>
      <c r="H165" s="240"/>
      <c r="I165" s="240"/>
      <c r="J165" s="240"/>
      <c r="K165" s="240"/>
    </row>
    <row r="166" spans="1:11">
      <c r="A166" s="350"/>
      <c r="B166" s="1619"/>
      <c r="C166" s="268"/>
      <c r="D166" s="1600" t="s">
        <v>90</v>
      </c>
      <c r="E166" s="1601"/>
      <c r="F166" s="1602"/>
      <c r="G166" s="240"/>
      <c r="H166" s="240"/>
      <c r="I166" s="240"/>
      <c r="J166" s="240"/>
      <c r="K166" s="240"/>
    </row>
    <row r="167" spans="1:11" ht="15.75" thickBot="1">
      <c r="A167" s="350"/>
      <c r="B167" s="1620"/>
      <c r="C167" s="278"/>
      <c r="D167" s="1615" t="s">
        <v>94</v>
      </c>
      <c r="E167" s="1616"/>
      <c r="F167" s="1617"/>
      <c r="G167" s="240"/>
      <c r="H167" s="240"/>
      <c r="I167" s="240"/>
      <c r="J167" s="240"/>
      <c r="K167" s="240"/>
    </row>
    <row r="168" spans="1:11">
      <c r="A168" s="350"/>
      <c r="B168" s="1618" t="s">
        <v>95</v>
      </c>
      <c r="C168" s="260"/>
      <c r="D168" s="1609"/>
      <c r="E168" s="1610"/>
      <c r="F168" s="1611"/>
      <c r="G168" s="240"/>
      <c r="H168" s="240"/>
      <c r="I168" s="240"/>
      <c r="J168" s="240"/>
      <c r="K168" s="240"/>
    </row>
    <row r="169" spans="1:11">
      <c r="A169" s="350"/>
      <c r="B169" s="1619"/>
      <c r="C169" s="268"/>
      <c r="D169" s="1597"/>
      <c r="E169" s="1598"/>
      <c r="F169" s="1599"/>
      <c r="G169" s="240"/>
      <c r="H169" s="240"/>
      <c r="I169" s="240"/>
      <c r="J169" s="240"/>
      <c r="K169" s="240"/>
    </row>
    <row r="170" spans="1:11">
      <c r="A170" s="350"/>
      <c r="B170" s="1619"/>
      <c r="C170" s="268"/>
      <c r="D170" s="1600" t="s">
        <v>96</v>
      </c>
      <c r="E170" s="1601"/>
      <c r="F170" s="1602"/>
      <c r="G170" s="240"/>
      <c r="H170" s="240"/>
      <c r="I170" s="240"/>
      <c r="J170" s="240"/>
      <c r="K170" s="240"/>
    </row>
    <row r="171" spans="1:11">
      <c r="A171" s="350"/>
      <c r="B171" s="1619"/>
      <c r="C171" s="268"/>
      <c r="D171" s="1600" t="s">
        <v>97</v>
      </c>
      <c r="E171" s="1601"/>
      <c r="F171" s="1602"/>
      <c r="G171" s="240"/>
      <c r="H171" s="240"/>
      <c r="I171" s="240"/>
      <c r="J171" s="240"/>
      <c r="K171" s="240"/>
    </row>
    <row r="172" spans="1:11">
      <c r="A172" s="350"/>
      <c r="B172" s="1619"/>
      <c r="C172" s="268"/>
      <c r="D172" s="1600" t="s">
        <v>98</v>
      </c>
      <c r="E172" s="1601"/>
      <c r="F172" s="1602"/>
      <c r="G172" s="240"/>
      <c r="H172" s="240"/>
      <c r="I172" s="240"/>
      <c r="J172" s="240"/>
      <c r="K172" s="240"/>
    </row>
    <row r="173" spans="1:11">
      <c r="A173" s="350"/>
      <c r="B173" s="1619"/>
      <c r="C173" s="268"/>
      <c r="D173" s="1600" t="s">
        <v>99</v>
      </c>
      <c r="E173" s="1601"/>
      <c r="F173" s="1602"/>
      <c r="G173" s="240"/>
      <c r="H173" s="240"/>
      <c r="I173" s="240"/>
      <c r="J173" s="240"/>
      <c r="K173" s="240"/>
    </row>
    <row r="174" spans="1:11">
      <c r="A174" s="350"/>
      <c r="B174" s="1619"/>
      <c r="C174" s="268"/>
      <c r="D174" s="1600" t="s">
        <v>100</v>
      </c>
      <c r="E174" s="1601"/>
      <c r="F174" s="1602"/>
      <c r="G174" s="240"/>
      <c r="H174" s="240"/>
      <c r="I174" s="240"/>
      <c r="J174" s="240"/>
      <c r="K174" s="240"/>
    </row>
    <row r="175" spans="1:11">
      <c r="A175" s="350"/>
      <c r="B175" s="1619"/>
      <c r="C175" s="268"/>
      <c r="D175" s="1600" t="s">
        <v>101</v>
      </c>
      <c r="E175" s="1601"/>
      <c r="F175" s="1602"/>
      <c r="G175" s="240"/>
      <c r="H175" s="240"/>
      <c r="I175" s="240"/>
      <c r="J175" s="240"/>
      <c r="K175" s="240"/>
    </row>
    <row r="176" spans="1:11">
      <c r="A176" s="350"/>
      <c r="B176" s="1619"/>
      <c r="C176" s="268"/>
      <c r="D176" s="1600" t="s">
        <v>102</v>
      </c>
      <c r="E176" s="1601"/>
      <c r="F176" s="1602"/>
      <c r="G176" s="240"/>
      <c r="H176" s="240"/>
      <c r="I176" s="240"/>
      <c r="J176" s="240"/>
      <c r="K176" s="240"/>
    </row>
    <row r="177" spans="1:11">
      <c r="A177" s="350"/>
      <c r="B177" s="1619"/>
      <c r="C177" s="268"/>
      <c r="D177" s="1600" t="s">
        <v>103</v>
      </c>
      <c r="E177" s="1601"/>
      <c r="F177" s="1602"/>
      <c r="G177" s="240"/>
      <c r="H177" s="240"/>
      <c r="I177" s="240"/>
      <c r="J177" s="240"/>
      <c r="K177" s="240"/>
    </row>
    <row r="178" spans="1:11">
      <c r="A178" s="350"/>
      <c r="B178" s="1619"/>
      <c r="C178" s="268"/>
      <c r="D178" s="1600" t="s">
        <v>104</v>
      </c>
      <c r="E178" s="1601"/>
      <c r="F178" s="1602"/>
      <c r="G178" s="240"/>
      <c r="H178" s="240"/>
      <c r="I178" s="240"/>
      <c r="J178" s="240"/>
      <c r="K178" s="240"/>
    </row>
    <row r="179" spans="1:11">
      <c r="A179" s="350"/>
      <c r="B179" s="1619"/>
      <c r="C179" s="268"/>
      <c r="D179" s="1600" t="s">
        <v>105</v>
      </c>
      <c r="E179" s="1601"/>
      <c r="F179" s="1602"/>
      <c r="G179" s="240"/>
      <c r="H179" s="240"/>
      <c r="I179" s="240"/>
      <c r="J179" s="240"/>
      <c r="K179" s="240"/>
    </row>
    <row r="180" spans="1:11">
      <c r="A180" s="350"/>
      <c r="B180" s="1619"/>
      <c r="C180" s="268"/>
      <c r="D180" s="1600" t="s">
        <v>106</v>
      </c>
      <c r="E180" s="1601"/>
      <c r="F180" s="1602"/>
      <c r="G180" s="240"/>
      <c r="H180" s="240"/>
      <c r="I180" s="240"/>
      <c r="J180" s="240"/>
      <c r="K180" s="240"/>
    </row>
    <row r="181" spans="1:11" ht="15.75" thickBot="1">
      <c r="A181" s="350"/>
      <c r="B181" s="1619"/>
      <c r="C181" s="268"/>
      <c r="D181" s="1603" t="s">
        <v>107</v>
      </c>
      <c r="E181" s="1604"/>
      <c r="F181" s="1605"/>
      <c r="G181" s="240"/>
      <c r="H181" s="240"/>
      <c r="I181" s="240"/>
      <c r="J181" s="240"/>
      <c r="K181" s="240"/>
    </row>
    <row r="182" spans="1:11" ht="24.75" thickBot="1">
      <c r="A182" s="350"/>
      <c r="B182" s="1619"/>
      <c r="C182" s="264"/>
      <c r="D182" s="279" t="s">
        <v>108</v>
      </c>
      <c r="E182" s="279" t="s">
        <v>109</v>
      </c>
      <c r="F182" s="279" t="s">
        <v>110</v>
      </c>
      <c r="G182" s="240"/>
      <c r="H182" s="240"/>
      <c r="I182" s="240"/>
      <c r="J182" s="240"/>
      <c r="K182" s="240"/>
    </row>
    <row r="183" spans="1:11" ht="15.75" thickBot="1">
      <c r="A183" s="350"/>
      <c r="B183" s="1619"/>
      <c r="C183" s="264"/>
      <c r="D183" s="270" t="s">
        <v>111</v>
      </c>
      <c r="E183" s="366">
        <v>0.15</v>
      </c>
      <c r="F183" s="366">
        <v>0.15</v>
      </c>
      <c r="G183" s="240"/>
      <c r="H183" s="240"/>
      <c r="I183" s="240"/>
      <c r="J183" s="240"/>
      <c r="K183" s="240"/>
    </row>
    <row r="184" spans="1:11" ht="15.75" thickBot="1">
      <c r="A184" s="350"/>
      <c r="B184" s="1619"/>
      <c r="C184" s="264"/>
      <c r="D184" s="270" t="s">
        <v>112</v>
      </c>
      <c r="E184" s="366">
        <v>0.18</v>
      </c>
      <c r="F184" s="366">
        <v>0.33</v>
      </c>
      <c r="G184" s="240"/>
      <c r="H184" s="367"/>
      <c r="I184" s="240"/>
      <c r="J184" s="240"/>
      <c r="K184" s="240"/>
    </row>
    <row r="185" spans="1:11" ht="15.75" thickBot="1">
      <c r="A185" s="350"/>
      <c r="B185" s="1619"/>
      <c r="C185" s="264"/>
      <c r="D185" s="270" t="s">
        <v>113</v>
      </c>
      <c r="E185" s="366">
        <v>0.33</v>
      </c>
      <c r="F185" s="366">
        <v>0.66</v>
      </c>
      <c r="G185" s="240"/>
      <c r="H185" s="367"/>
      <c r="I185" s="240"/>
      <c r="J185" s="240"/>
      <c r="K185" s="240"/>
    </row>
    <row r="186" spans="1:11" ht="24.75" thickBot="1">
      <c r="A186" s="350"/>
      <c r="B186" s="1619"/>
      <c r="C186" s="264"/>
      <c r="D186" s="270" t="s">
        <v>114</v>
      </c>
      <c r="E186" s="366">
        <v>0.16</v>
      </c>
      <c r="F186" s="366">
        <v>0.82</v>
      </c>
      <c r="G186" s="240"/>
      <c r="H186" s="367"/>
      <c r="I186" s="240"/>
      <c r="J186" s="240"/>
      <c r="K186" s="240"/>
    </row>
    <row r="187" spans="1:11" ht="15.75" thickBot="1">
      <c r="A187" s="350"/>
      <c r="B187" s="1619"/>
      <c r="C187" s="264"/>
      <c r="D187" s="270" t="s">
        <v>115</v>
      </c>
      <c r="E187" s="366">
        <v>0.18</v>
      </c>
      <c r="F187" s="366">
        <v>1</v>
      </c>
      <c r="G187" s="240"/>
      <c r="H187" s="367"/>
      <c r="I187" s="240"/>
      <c r="J187" s="240"/>
      <c r="K187" s="240"/>
    </row>
    <row r="188" spans="1:11">
      <c r="A188" s="350"/>
      <c r="B188" s="1619"/>
      <c r="C188" s="268"/>
      <c r="D188" s="1606"/>
      <c r="E188" s="1607"/>
      <c r="F188" s="1608"/>
      <c r="G188" s="240"/>
      <c r="H188" s="240"/>
      <c r="I188" s="240"/>
      <c r="J188" s="240"/>
      <c r="K188" s="240"/>
    </row>
    <row r="189" spans="1:11" ht="15.75" thickBot="1">
      <c r="A189" s="350"/>
      <c r="B189" s="1619"/>
      <c r="C189" s="268"/>
      <c r="D189" s="1603" t="s">
        <v>87</v>
      </c>
      <c r="E189" s="1604"/>
      <c r="F189" s="1605"/>
      <c r="G189" s="240"/>
      <c r="H189" s="240"/>
      <c r="I189" s="240"/>
      <c r="J189" s="240"/>
      <c r="K189" s="240"/>
    </row>
    <row r="190" spans="1:11" ht="24.75" thickBot="1">
      <c r="A190" s="350"/>
      <c r="B190" s="1619"/>
      <c r="C190" s="264"/>
      <c r="D190" s="279" t="s">
        <v>108</v>
      </c>
      <c r="E190" s="279" t="s">
        <v>109</v>
      </c>
      <c r="F190" s="279" t="s">
        <v>110</v>
      </c>
      <c r="G190" s="240"/>
      <c r="H190" s="240"/>
      <c r="I190" s="240"/>
      <c r="J190" s="240"/>
      <c r="K190" s="240"/>
    </row>
    <row r="191" spans="1:11" ht="15.75" thickBot="1">
      <c r="A191" s="350"/>
      <c r="B191" s="1619"/>
      <c r="C191" s="264"/>
      <c r="D191" s="270" t="s">
        <v>116</v>
      </c>
      <c r="E191" s="366">
        <v>0.2</v>
      </c>
      <c r="F191" s="366">
        <v>0.2</v>
      </c>
      <c r="G191" s="240"/>
      <c r="H191" s="240"/>
      <c r="I191" s="240"/>
      <c r="J191" s="240"/>
      <c r="K191" s="240"/>
    </row>
    <row r="192" spans="1:11" ht="15.75" thickBot="1">
      <c r="A192" s="350"/>
      <c r="B192" s="1619"/>
      <c r="C192" s="264"/>
      <c r="D192" s="270" t="s">
        <v>117</v>
      </c>
      <c r="E192" s="366">
        <v>0.5</v>
      </c>
      <c r="F192" s="366">
        <v>0.7</v>
      </c>
      <c r="G192" s="240"/>
      <c r="H192" s="367"/>
      <c r="I192" s="240"/>
      <c r="J192" s="240"/>
      <c r="K192" s="240"/>
    </row>
    <row r="193" spans="1:11" ht="15.75" thickBot="1">
      <c r="A193" s="350"/>
      <c r="B193" s="1619"/>
      <c r="C193" s="264"/>
      <c r="D193" s="270" t="s">
        <v>118</v>
      </c>
      <c r="E193" s="366">
        <v>0.3</v>
      </c>
      <c r="F193" s="366">
        <v>1</v>
      </c>
      <c r="G193" s="240"/>
      <c r="H193" s="367"/>
      <c r="I193" s="240"/>
      <c r="J193" s="240"/>
      <c r="K193" s="240"/>
    </row>
    <row r="194" spans="1:11">
      <c r="A194" s="350"/>
      <c r="B194" s="1619"/>
      <c r="C194" s="268"/>
      <c r="D194" s="1609"/>
      <c r="E194" s="1610"/>
      <c r="F194" s="1611"/>
      <c r="G194" s="240"/>
      <c r="H194" s="367"/>
      <c r="I194" s="240"/>
      <c r="J194" s="240"/>
      <c r="K194" s="240"/>
    </row>
    <row r="195" spans="1:11" ht="15.75" thickBot="1">
      <c r="A195" s="350"/>
      <c r="B195" s="1619"/>
      <c r="C195" s="268"/>
      <c r="D195" s="1603" t="s">
        <v>119</v>
      </c>
      <c r="E195" s="1604"/>
      <c r="F195" s="1605"/>
      <c r="G195" s="240"/>
      <c r="H195" s="367"/>
      <c r="I195" s="240"/>
      <c r="J195" s="240"/>
      <c r="K195" s="240"/>
    </row>
    <row r="196" spans="1:11" ht="24.75" thickBot="1">
      <c r="A196" s="350"/>
      <c r="B196" s="1619"/>
      <c r="C196" s="264"/>
      <c r="D196" s="279" t="s">
        <v>108</v>
      </c>
      <c r="E196" s="279" t="s">
        <v>109</v>
      </c>
      <c r="F196" s="279" t="s">
        <v>110</v>
      </c>
      <c r="G196" s="240"/>
      <c r="H196" s="240"/>
      <c r="I196" s="240"/>
      <c r="J196" s="240"/>
      <c r="K196" s="240"/>
    </row>
    <row r="197" spans="1:11" ht="15.75" thickBot="1">
      <c r="A197" s="350"/>
      <c r="B197" s="1619"/>
      <c r="C197" s="264"/>
      <c r="D197" s="270" t="s">
        <v>120</v>
      </c>
      <c r="E197" s="366">
        <v>0.2</v>
      </c>
      <c r="F197" s="366">
        <v>0.2</v>
      </c>
      <c r="G197" s="240"/>
      <c r="H197" s="367"/>
      <c r="I197" s="240"/>
      <c r="J197" s="240"/>
      <c r="K197" s="240"/>
    </row>
    <row r="198" spans="1:11" ht="15.75" thickBot="1">
      <c r="A198" s="350"/>
      <c r="B198" s="1619"/>
      <c r="C198" s="264"/>
      <c r="D198" s="270" t="s">
        <v>117</v>
      </c>
      <c r="E198" s="366">
        <v>0.5</v>
      </c>
      <c r="F198" s="366">
        <v>0.7</v>
      </c>
      <c r="G198" s="240"/>
      <c r="H198" s="367"/>
      <c r="I198" s="240"/>
      <c r="J198" s="240"/>
      <c r="K198" s="240"/>
    </row>
    <row r="199" spans="1:11" ht="15.75" thickBot="1">
      <c r="A199" s="350"/>
      <c r="B199" s="1619"/>
      <c r="C199" s="264"/>
      <c r="D199" s="270" t="s">
        <v>118</v>
      </c>
      <c r="E199" s="366">
        <v>0.3</v>
      </c>
      <c r="F199" s="366">
        <v>1</v>
      </c>
      <c r="G199" s="240"/>
      <c r="H199" s="367"/>
      <c r="I199" s="240"/>
      <c r="J199" s="240"/>
      <c r="K199" s="240"/>
    </row>
    <row r="200" spans="1:11">
      <c r="A200" s="350"/>
      <c r="B200" s="1619"/>
      <c r="C200" s="268"/>
      <c r="D200" s="1609"/>
      <c r="E200" s="1610"/>
      <c r="F200" s="1611"/>
      <c r="G200" s="240"/>
      <c r="H200" s="240"/>
      <c r="I200" s="240"/>
      <c r="J200" s="240"/>
      <c r="K200" s="240"/>
    </row>
    <row r="201" spans="1:11">
      <c r="A201" s="350"/>
      <c r="B201" s="1619"/>
      <c r="C201" s="268"/>
      <c r="D201" s="1612" t="s">
        <v>121</v>
      </c>
      <c r="E201" s="1613"/>
      <c r="F201" s="1614"/>
      <c r="G201" s="240"/>
      <c r="H201" s="240"/>
      <c r="I201" s="240"/>
      <c r="J201" s="240"/>
      <c r="K201" s="240"/>
    </row>
    <row r="202" spans="1:11">
      <c r="A202" s="350"/>
      <c r="B202" s="1619"/>
      <c r="C202" s="268"/>
      <c r="D202" s="1600" t="s">
        <v>122</v>
      </c>
      <c r="E202" s="1601"/>
      <c r="F202" s="1602"/>
      <c r="G202" s="240"/>
      <c r="H202" s="240"/>
      <c r="I202" s="240"/>
      <c r="J202" s="240"/>
      <c r="K202" s="240"/>
    </row>
    <row r="203" spans="1:11">
      <c r="A203" s="350"/>
      <c r="B203" s="1619"/>
      <c r="C203" s="268"/>
      <c r="D203" s="293"/>
      <c r="E203" s="368"/>
      <c r="F203" s="305"/>
      <c r="G203" s="240"/>
      <c r="H203" s="240"/>
      <c r="I203" s="240"/>
      <c r="J203" s="240"/>
      <c r="K203" s="240"/>
    </row>
    <row r="204" spans="1:11">
      <c r="A204" s="350"/>
      <c r="B204" s="1619"/>
      <c r="C204" s="268"/>
      <c r="D204" s="1600" t="s">
        <v>123</v>
      </c>
      <c r="E204" s="1601"/>
      <c r="F204" s="1602"/>
      <c r="G204" s="240"/>
      <c r="H204" s="240"/>
      <c r="I204" s="240"/>
      <c r="J204" s="240"/>
      <c r="K204" s="240"/>
    </row>
    <row r="205" spans="1:11">
      <c r="A205" s="350"/>
      <c r="B205" s="1619"/>
      <c r="C205" s="268"/>
      <c r="D205" s="1600" t="s">
        <v>124</v>
      </c>
      <c r="E205" s="1601"/>
      <c r="F205" s="1602"/>
      <c r="G205" s="240"/>
      <c r="H205" s="240"/>
      <c r="I205" s="240"/>
      <c r="J205" s="240"/>
      <c r="K205" s="240"/>
    </row>
    <row r="206" spans="1:11">
      <c r="A206" s="350"/>
      <c r="B206" s="1619"/>
      <c r="C206" s="268"/>
      <c r="D206" s="1600" t="s">
        <v>125</v>
      </c>
      <c r="E206" s="1601"/>
      <c r="F206" s="1602"/>
      <c r="G206" s="240"/>
      <c r="H206" s="240"/>
      <c r="I206" s="240"/>
      <c r="J206" s="240"/>
      <c r="K206" s="240"/>
    </row>
    <row r="207" spans="1:11">
      <c r="A207" s="350"/>
      <c r="B207" s="1619"/>
      <c r="C207" s="268"/>
      <c r="D207" s="1600" t="s">
        <v>126</v>
      </c>
      <c r="E207" s="1601"/>
      <c r="F207" s="1602"/>
      <c r="G207" s="240"/>
      <c r="H207" s="240"/>
      <c r="I207" s="240"/>
      <c r="J207" s="240"/>
      <c r="K207" s="240"/>
    </row>
    <row r="208" spans="1:11">
      <c r="A208" s="350"/>
      <c r="B208" s="1619"/>
      <c r="C208" s="268"/>
      <c r="D208" s="293"/>
      <c r="E208" s="368"/>
      <c r="F208" s="305"/>
      <c r="G208" s="240"/>
      <c r="H208" s="240"/>
      <c r="I208" s="240"/>
      <c r="J208" s="240"/>
      <c r="K208" s="240"/>
    </row>
    <row r="209" spans="1:11">
      <c r="A209" s="350"/>
      <c r="B209" s="1619"/>
      <c r="C209" s="268"/>
      <c r="D209" s="1612" t="s">
        <v>127</v>
      </c>
      <c r="E209" s="1613"/>
      <c r="F209" s="1614"/>
      <c r="G209" s="240"/>
      <c r="H209" s="240"/>
      <c r="I209" s="240"/>
      <c r="J209" s="240"/>
      <c r="K209" s="240"/>
    </row>
    <row r="210" spans="1:11">
      <c r="A210" s="350"/>
      <c r="B210" s="1619"/>
      <c r="C210" s="268"/>
      <c r="D210" s="1600" t="s">
        <v>128</v>
      </c>
      <c r="E210" s="1601"/>
      <c r="F210" s="1602"/>
      <c r="G210" s="240"/>
      <c r="H210" s="240"/>
      <c r="I210" s="240"/>
      <c r="J210" s="240"/>
      <c r="K210" s="240"/>
    </row>
    <row r="211" spans="1:11" ht="32.1" customHeight="1">
      <c r="A211" s="350"/>
      <c r="B211" s="1619"/>
      <c r="C211" s="268"/>
      <c r="D211" s="1597"/>
      <c r="E211" s="1598"/>
      <c r="F211" s="1599"/>
      <c r="G211" s="240"/>
      <c r="H211" s="240"/>
      <c r="I211" s="240"/>
      <c r="J211" s="240"/>
      <c r="K211" s="240"/>
    </row>
    <row r="212" spans="1:11">
      <c r="A212" s="350"/>
      <c r="B212" s="1619"/>
      <c r="C212" s="268"/>
      <c r="D212" s="1600" t="s">
        <v>129</v>
      </c>
      <c r="E212" s="1601"/>
      <c r="F212" s="1602"/>
      <c r="G212" s="240"/>
      <c r="H212" s="240"/>
      <c r="I212" s="240"/>
      <c r="J212" s="240"/>
      <c r="K212" s="240"/>
    </row>
    <row r="213" spans="1:11">
      <c r="A213" s="350"/>
      <c r="B213" s="1619"/>
      <c r="C213" s="268"/>
      <c r="D213" s="1600" t="s">
        <v>130</v>
      </c>
      <c r="E213" s="1601"/>
      <c r="F213" s="1602"/>
      <c r="G213" s="240"/>
      <c r="H213" s="240"/>
      <c r="I213" s="240"/>
      <c r="J213" s="240"/>
      <c r="K213" s="240"/>
    </row>
    <row r="214" spans="1:11">
      <c r="A214" s="350"/>
      <c r="B214" s="1619"/>
      <c r="C214" s="268"/>
      <c r="D214" s="1600" t="s">
        <v>131</v>
      </c>
      <c r="E214" s="1601"/>
      <c r="F214" s="1602"/>
      <c r="G214" s="240"/>
      <c r="H214" s="240"/>
      <c r="I214" s="240"/>
      <c r="J214" s="240"/>
      <c r="K214" s="240"/>
    </row>
    <row r="215" spans="1:11" ht="15.75" thickBot="1">
      <c r="A215" s="350"/>
      <c r="B215" s="1620"/>
      <c r="C215" s="278"/>
      <c r="D215" s="1615" t="s">
        <v>132</v>
      </c>
      <c r="E215" s="1616"/>
      <c r="F215" s="1617"/>
      <c r="G215" s="240"/>
      <c r="H215" s="240"/>
      <c r="I215" s="240"/>
      <c r="J215" s="240"/>
      <c r="K215" s="240"/>
    </row>
  </sheetData>
  <sheetProtection sheet="1" objects="1" scenarios="1" insertRows="0"/>
  <mergeCells count="103">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 ref="B107:E107"/>
    <mergeCell ref="B108:B114"/>
    <mergeCell ref="B116:E116"/>
    <mergeCell ref="B117:B123"/>
    <mergeCell ref="B130:F131"/>
    <mergeCell ref="D100:E100"/>
    <mergeCell ref="D101:K101"/>
    <mergeCell ref="D102:K102"/>
    <mergeCell ref="D104:K104"/>
    <mergeCell ref="D105:K105"/>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A5:P5"/>
    <mergeCell ref="A1:P1"/>
    <mergeCell ref="A2:P2"/>
    <mergeCell ref="A3:P3"/>
    <mergeCell ref="A4:D4"/>
    <mergeCell ref="B10:D10"/>
    <mergeCell ref="F11:S11"/>
    <mergeCell ref="E12:R12"/>
    <mergeCell ref="E13:R13"/>
    <mergeCell ref="F10:S10"/>
  </mergeCells>
  <conditionalFormatting sqref="D100">
    <cfRule type="containsText" dxfId="129" priority="9" operator="containsText" text="ERROR">
      <formula>NOT(ISERROR(SEARCH("ERROR",D100)))</formula>
    </cfRule>
  </conditionalFormatting>
  <conditionalFormatting sqref="F10">
    <cfRule type="notContainsBlanks" dxfId="128" priority="8">
      <formula>LEN(TRIM(F10))&gt;0</formula>
    </cfRule>
  </conditionalFormatting>
  <conditionalFormatting sqref="F11:S11">
    <cfRule type="expression" dxfId="127" priority="5">
      <formula>E11="NO SE REPORTA"</formula>
    </cfRule>
    <cfRule type="expression" dxfId="126" priority="6">
      <formula>E10="NO APLICA"</formula>
    </cfRule>
  </conditionalFormatting>
  <conditionalFormatting sqref="E12:R12">
    <cfRule type="expression" dxfId="125"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opLeftCell="A10" zoomScale="98" zoomScaleNormal="98" workbookViewId="0">
      <selection activeCell="E18" sqref="E18"/>
    </sheetView>
  </sheetViews>
  <sheetFormatPr baseColWidth="10" defaultRowHeight="15"/>
  <cols>
    <col min="1" max="1" width="1.85546875" customWidth="1"/>
    <col min="2" max="2" width="12.85546875" customWidth="1"/>
    <col min="3" max="3" width="6.14062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136</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52"/>
      <c r="D7" s="240"/>
      <c r="E7" s="245"/>
      <c r="F7" s="240" t="s">
        <v>134</v>
      </c>
      <c r="G7" s="240"/>
      <c r="H7" s="240"/>
      <c r="I7" s="240"/>
      <c r="J7" s="240"/>
      <c r="K7" s="240"/>
    </row>
    <row r="8" spans="1:21" ht="15.75" thickBot="1">
      <c r="A8" s="237"/>
      <c r="B8" s="253" t="s">
        <v>1203</v>
      </c>
      <c r="C8" s="254">
        <v>2018</v>
      </c>
      <c r="D8" s="255" t="str">
        <f>IF(E10="NO APLICA","NO APLICA",IF(E11="NO SE REPORTA","SIN INFORMACION",+H23))</f>
        <v>SIN INFORMACION</v>
      </c>
      <c r="E8" s="256"/>
      <c r="F8" s="240" t="s">
        <v>135</v>
      </c>
      <c r="G8" s="240"/>
      <c r="H8" s="240"/>
      <c r="I8" s="240"/>
      <c r="J8" s="240"/>
      <c r="K8" s="240"/>
    </row>
    <row r="9" spans="1:21">
      <c r="A9" s="237"/>
      <c r="B9" s="483" t="s">
        <v>1204</v>
      </c>
      <c r="C9" s="257"/>
      <c r="D9" s="258"/>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xml:space="preserve">      ESCRIBA EL NÚMERO DEL ACUERDO DEL CONSEJO DIRECTIVO EN LA CUAL SE APRUEBA LA AGENDA DE IMPLEMENTACION DEL INDICADOR</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1261</v>
      </c>
      <c r="F11" s="1589" t="s">
        <v>1998</v>
      </c>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c>
      <c r="E12" s="1591" t="str">
        <f>'Anexo 1 Matriz Inf Gestión'!E31:H31</f>
        <v>Proyecto 2.1. Administración de la oferta y demanda del recurso hídrico. (Superficiales y subterráneas) (4).</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1838</v>
      </c>
      <c r="F13" s="1593"/>
      <c r="G13" s="1593"/>
      <c r="H13" s="1593"/>
      <c r="I13" s="1593"/>
      <c r="J13" s="1593"/>
      <c r="K13" s="1593"/>
      <c r="L13" s="1593"/>
      <c r="M13" s="1593"/>
      <c r="N13" s="1593"/>
      <c r="O13" s="1593"/>
      <c r="P13" s="1593"/>
      <c r="Q13" s="1593"/>
      <c r="R13" s="1594"/>
    </row>
    <row r="14" spans="1:21" s="403" customFormat="1" ht="6.95" customHeight="1" thickBot="1">
      <c r="A14" s="237"/>
      <c r="B14" s="483"/>
      <c r="C14" s="257"/>
      <c r="D14" s="258"/>
      <c r="E14" s="240"/>
      <c r="F14" s="240"/>
      <c r="G14" s="240"/>
      <c r="H14" s="240"/>
      <c r="I14" s="240"/>
      <c r="J14" s="240"/>
      <c r="K14" s="240"/>
    </row>
    <row r="15" spans="1:21" ht="15.75" thickBot="1">
      <c r="A15" s="237"/>
      <c r="B15" s="1618" t="s">
        <v>2</v>
      </c>
      <c r="C15" s="260"/>
      <c r="D15" s="1609" t="s">
        <v>3</v>
      </c>
      <c r="E15" s="1610"/>
      <c r="F15" s="1610"/>
      <c r="G15" s="1610"/>
      <c r="H15" s="1610"/>
      <c r="I15" s="1610"/>
      <c r="J15" s="1611"/>
      <c r="K15" s="240"/>
    </row>
    <row r="16" spans="1:21" ht="36.75" thickBot="1">
      <c r="A16" s="237"/>
      <c r="B16" s="1619"/>
      <c r="C16" s="264"/>
      <c r="D16" s="265" t="s">
        <v>153</v>
      </c>
      <c r="E16" s="210">
        <v>12</v>
      </c>
      <c r="F16" s="240"/>
      <c r="G16" s="240"/>
      <c r="H16" s="240"/>
      <c r="I16" s="240"/>
      <c r="J16" s="266"/>
      <c r="K16" s="240"/>
    </row>
    <row r="17" spans="1:11" ht="48.75" thickBot="1">
      <c r="A17" s="237"/>
      <c r="B17" s="1619"/>
      <c r="C17" s="264"/>
      <c r="D17" s="267" t="s">
        <v>154</v>
      </c>
      <c r="E17" s="210">
        <v>4</v>
      </c>
      <c r="F17" s="240"/>
      <c r="G17" s="240"/>
      <c r="H17" s="240"/>
      <c r="I17" s="240"/>
      <c r="J17" s="266"/>
      <c r="K17" s="240"/>
    </row>
    <row r="18" spans="1:11" ht="48.75" thickBot="1">
      <c r="A18" s="237"/>
      <c r="B18" s="1619"/>
      <c r="C18" s="264"/>
      <c r="D18" s="267" t="s">
        <v>155</v>
      </c>
      <c r="E18" s="210">
        <v>4</v>
      </c>
      <c r="F18" s="240"/>
      <c r="G18" s="240"/>
      <c r="H18" s="240"/>
      <c r="I18" s="240"/>
      <c r="J18" s="266"/>
      <c r="K18" s="240"/>
    </row>
    <row r="19" spans="1:11" ht="15.75" thickBot="1">
      <c r="A19" s="237"/>
      <c r="B19" s="1619"/>
      <c r="C19" s="268"/>
      <c r="D19" s="1624"/>
      <c r="E19" s="1625"/>
      <c r="F19" s="1625"/>
      <c r="G19" s="1625"/>
      <c r="H19" s="1625"/>
      <c r="I19" s="1625"/>
      <c r="J19" s="1626"/>
      <c r="K19" s="240"/>
    </row>
    <row r="20" spans="1:11" ht="15.75" thickBot="1">
      <c r="A20" s="237"/>
      <c r="B20" s="1619"/>
      <c r="C20" s="271" t="s">
        <v>24</v>
      </c>
      <c r="D20" s="265" t="s">
        <v>156</v>
      </c>
      <c r="E20" s="272" t="s">
        <v>25</v>
      </c>
      <c r="F20" s="272" t="s">
        <v>26</v>
      </c>
      <c r="G20" s="272" t="s">
        <v>27</v>
      </c>
      <c r="H20" s="272" t="s">
        <v>28</v>
      </c>
      <c r="I20" s="272" t="s">
        <v>157</v>
      </c>
      <c r="J20" s="112"/>
      <c r="K20" s="240"/>
    </row>
    <row r="21" spans="1:11" ht="36.75" thickBot="1">
      <c r="A21" s="237"/>
      <c r="B21" s="1619"/>
      <c r="C21" s="274" t="s">
        <v>158</v>
      </c>
      <c r="D21" s="267" t="s">
        <v>159</v>
      </c>
      <c r="E21" s="210">
        <v>0</v>
      </c>
      <c r="F21" s="210">
        <v>0</v>
      </c>
      <c r="G21" s="210">
        <v>0</v>
      </c>
      <c r="H21" s="210">
        <v>2</v>
      </c>
      <c r="I21" s="275">
        <f>SUM(E21:H21)</f>
        <v>2</v>
      </c>
      <c r="J21" s="113"/>
      <c r="K21" s="240"/>
    </row>
    <row r="22" spans="1:11" ht="36.75" thickBot="1">
      <c r="A22" s="237"/>
      <c r="B22" s="1619"/>
      <c r="C22" s="274" t="s">
        <v>160</v>
      </c>
      <c r="D22" s="267" t="s">
        <v>161</v>
      </c>
      <c r="E22" s="210">
        <v>0</v>
      </c>
      <c r="F22" s="210">
        <v>0</v>
      </c>
      <c r="G22" s="210">
        <v>0</v>
      </c>
      <c r="H22" s="210"/>
      <c r="I22" s="275">
        <f>SUM(E22:H22)</f>
        <v>0</v>
      </c>
      <c r="J22" s="113"/>
      <c r="K22" s="240"/>
    </row>
    <row r="23" spans="1:11" ht="36.75" thickBot="1">
      <c r="A23" s="237"/>
      <c r="B23" s="1620"/>
      <c r="C23" s="274" t="s">
        <v>162</v>
      </c>
      <c r="D23" s="267" t="s">
        <v>163</v>
      </c>
      <c r="E23" s="192" t="str">
        <f>IFERROR(E22/E21,"N.A.")</f>
        <v>N.A.</v>
      </c>
      <c r="F23" s="192" t="str">
        <f>IFERROR(F22/F21,"N.A.")</f>
        <v>N.A.</v>
      </c>
      <c r="G23" s="192" t="str">
        <f>IFERROR(G22/G21,"N.A.")</f>
        <v>N.A.</v>
      </c>
      <c r="H23" s="192">
        <f>IFERROR(H22/H21,"N.A.")</f>
        <v>0</v>
      </c>
      <c r="I23" s="192">
        <f>IFERROR(I22/I21,"N.A.")</f>
        <v>0</v>
      </c>
      <c r="J23" s="114"/>
      <c r="K23" s="240"/>
    </row>
    <row r="24" spans="1:11" ht="15.75" thickBot="1">
      <c r="A24" s="237"/>
      <c r="B24" s="277" t="s">
        <v>39</v>
      </c>
      <c r="C24" s="278"/>
      <c r="D24" s="1621" t="s">
        <v>164</v>
      </c>
      <c r="E24" s="1622"/>
      <c r="F24" s="1622"/>
      <c r="G24" s="1622"/>
      <c r="H24" s="1622"/>
      <c r="I24" s="1622"/>
      <c r="J24" s="1623"/>
      <c r="K24" s="240"/>
    </row>
    <row r="25" spans="1:11" ht="24.75" thickBot="1">
      <c r="A25" s="237"/>
      <c r="B25" s="277" t="s">
        <v>41</v>
      </c>
      <c r="C25" s="278"/>
      <c r="D25" s="1621" t="s">
        <v>165</v>
      </c>
      <c r="E25" s="1622"/>
      <c r="F25" s="1622"/>
      <c r="G25" s="1622"/>
      <c r="H25" s="1622"/>
      <c r="I25" s="1622"/>
      <c r="J25" s="1623"/>
      <c r="K25" s="240"/>
    </row>
    <row r="26" spans="1:11" ht="15.75" thickBot="1">
      <c r="A26" s="237"/>
      <c r="B26" s="241"/>
      <c r="C26" s="242"/>
      <c r="D26" s="240"/>
      <c r="E26" s="240"/>
      <c r="F26" s="240"/>
      <c r="G26" s="240"/>
      <c r="H26" s="240"/>
      <c r="I26" s="240"/>
      <c r="J26" s="240"/>
      <c r="K26" s="240"/>
    </row>
    <row r="27" spans="1:11" ht="24" customHeight="1" thickBot="1">
      <c r="A27" s="237"/>
      <c r="B27" s="1627" t="s">
        <v>43</v>
      </c>
      <c r="C27" s="1628"/>
      <c r="D27" s="1628"/>
      <c r="E27" s="1629"/>
      <c r="F27" s="240"/>
      <c r="G27" s="240"/>
      <c r="H27" s="240"/>
      <c r="I27" s="240"/>
      <c r="J27" s="240"/>
      <c r="K27" s="240"/>
    </row>
    <row r="28" spans="1:11" ht="15.75" thickBot="1">
      <c r="A28" s="237"/>
      <c r="B28" s="1618">
        <v>1</v>
      </c>
      <c r="C28" s="264"/>
      <c r="D28" s="281" t="s">
        <v>44</v>
      </c>
      <c r="E28" s="31" t="s">
        <v>1616</v>
      </c>
      <c r="F28" s="240"/>
      <c r="G28" s="240"/>
      <c r="H28" s="240"/>
      <c r="I28" s="240"/>
      <c r="J28" s="240"/>
      <c r="K28" s="240"/>
    </row>
    <row r="29" spans="1:11" ht="15.75" thickBot="1">
      <c r="A29" s="237"/>
      <c r="B29" s="1619"/>
      <c r="C29" s="264"/>
      <c r="D29" s="267" t="s">
        <v>45</v>
      </c>
      <c r="E29" s="31" t="s">
        <v>1620</v>
      </c>
      <c r="F29" s="240"/>
      <c r="G29" s="240"/>
      <c r="H29" s="240"/>
      <c r="I29" s="240"/>
      <c r="J29" s="240"/>
      <c r="K29" s="240"/>
    </row>
    <row r="30" spans="1:11" ht="15.75" thickBot="1">
      <c r="A30" s="237"/>
      <c r="B30" s="1619"/>
      <c r="C30" s="264"/>
      <c r="D30" s="267" t="s">
        <v>46</v>
      </c>
      <c r="E30" s="31" t="s">
        <v>1621</v>
      </c>
      <c r="F30" s="240"/>
      <c r="G30" s="240"/>
      <c r="H30" s="240"/>
      <c r="I30" s="240"/>
      <c r="J30" s="240"/>
      <c r="K30" s="240"/>
    </row>
    <row r="31" spans="1:11" ht="15.75" thickBot="1">
      <c r="A31" s="237"/>
      <c r="B31" s="1619"/>
      <c r="C31" s="264"/>
      <c r="D31" s="267" t="s">
        <v>47</v>
      </c>
      <c r="E31" s="31" t="s">
        <v>1809</v>
      </c>
      <c r="F31" s="240"/>
      <c r="G31" s="240"/>
      <c r="H31" s="240"/>
      <c r="I31" s="240"/>
      <c r="J31" s="240"/>
      <c r="K31" s="240"/>
    </row>
    <row r="32" spans="1:11" ht="15.75" thickBot="1">
      <c r="A32" s="237"/>
      <c r="B32" s="1619"/>
      <c r="C32" s="264"/>
      <c r="D32" s="267" t="s">
        <v>48</v>
      </c>
      <c r="E32" s="31" t="s">
        <v>1622</v>
      </c>
      <c r="F32" s="240"/>
      <c r="G32" s="240"/>
      <c r="H32" s="240"/>
      <c r="I32" s="240"/>
      <c r="J32" s="240"/>
      <c r="K32" s="240"/>
    </row>
    <row r="33" spans="1:11" ht="15.75" thickBot="1">
      <c r="A33" s="237"/>
      <c r="B33" s="1619"/>
      <c r="C33" s="264"/>
      <c r="D33" s="267" t="s">
        <v>49</v>
      </c>
      <c r="E33" s="31" t="s">
        <v>1624</v>
      </c>
      <c r="F33" s="240"/>
      <c r="G33" s="240"/>
      <c r="H33" s="240"/>
      <c r="I33" s="240"/>
      <c r="J33" s="240"/>
      <c r="K33" s="240"/>
    </row>
    <row r="34" spans="1:11" ht="15.75" thickBot="1">
      <c r="A34" s="237"/>
      <c r="B34" s="1620"/>
      <c r="C34" s="274"/>
      <c r="D34" s="267" t="s">
        <v>50</v>
      </c>
      <c r="E34" s="31" t="s">
        <v>1810</v>
      </c>
      <c r="F34" s="240"/>
      <c r="G34" s="240"/>
      <c r="H34" s="240"/>
      <c r="I34" s="240"/>
      <c r="J34" s="240"/>
      <c r="K34" s="240"/>
    </row>
    <row r="35" spans="1:11" ht="15.75" thickBot="1">
      <c r="A35" s="237"/>
      <c r="B35" s="241"/>
      <c r="C35" s="242"/>
      <c r="D35" s="240"/>
      <c r="E35" s="240"/>
      <c r="F35" s="240"/>
      <c r="G35" s="240"/>
      <c r="H35" s="240"/>
      <c r="I35" s="240"/>
      <c r="J35" s="240"/>
      <c r="K35" s="240"/>
    </row>
    <row r="36" spans="1:11" ht="15.75" thickBot="1">
      <c r="A36" s="237"/>
      <c r="B36" s="1627" t="s">
        <v>51</v>
      </c>
      <c r="C36" s="1628"/>
      <c r="D36" s="1628"/>
      <c r="E36" s="1629"/>
      <c r="F36" s="240"/>
      <c r="G36" s="240"/>
      <c r="H36" s="240"/>
      <c r="I36" s="240"/>
      <c r="J36" s="240"/>
      <c r="K36" s="240"/>
    </row>
    <row r="37" spans="1:11" ht="15.75" thickBot="1">
      <c r="A37" s="237"/>
      <c r="B37" s="1618">
        <v>1</v>
      </c>
      <c r="C37" s="264"/>
      <c r="D37" s="281" t="s">
        <v>44</v>
      </c>
      <c r="E37" s="294" t="s">
        <v>52</v>
      </c>
      <c r="F37" s="240"/>
      <c r="G37" s="240"/>
      <c r="H37" s="240"/>
      <c r="I37" s="240"/>
      <c r="J37" s="240"/>
      <c r="K37" s="240"/>
    </row>
    <row r="38" spans="1:11" ht="15.75" thickBot="1">
      <c r="A38" s="237"/>
      <c r="B38" s="1619"/>
      <c r="C38" s="264"/>
      <c r="D38" s="267" t="s">
        <v>45</v>
      </c>
      <c r="E38" s="294" t="s">
        <v>166</v>
      </c>
      <c r="F38" s="240"/>
      <c r="G38" s="240"/>
      <c r="H38" s="240"/>
      <c r="I38" s="240"/>
      <c r="J38" s="240"/>
      <c r="K38" s="240"/>
    </row>
    <row r="39" spans="1:11" ht="15.75" thickBot="1">
      <c r="A39" s="237"/>
      <c r="B39" s="1619"/>
      <c r="C39" s="264"/>
      <c r="D39" s="267" t="s">
        <v>46</v>
      </c>
      <c r="E39" s="295"/>
      <c r="F39" s="240"/>
      <c r="G39" s="240"/>
      <c r="H39" s="240"/>
      <c r="I39" s="240"/>
      <c r="J39" s="240"/>
      <c r="K39" s="240"/>
    </row>
    <row r="40" spans="1:11" ht="15.75" thickBot="1">
      <c r="A40" s="237"/>
      <c r="B40" s="1619"/>
      <c r="C40" s="264"/>
      <c r="D40" s="267" t="s">
        <v>47</v>
      </c>
      <c r="E40" s="295"/>
      <c r="F40" s="240"/>
      <c r="G40" s="240"/>
      <c r="H40" s="240"/>
      <c r="I40" s="240"/>
      <c r="J40" s="240"/>
      <c r="K40" s="240"/>
    </row>
    <row r="41" spans="1:11" ht="15.75" thickBot="1">
      <c r="A41" s="237"/>
      <c r="B41" s="1619"/>
      <c r="C41" s="264"/>
      <c r="D41" s="267" t="s">
        <v>48</v>
      </c>
      <c r="E41" s="295"/>
      <c r="F41" s="240"/>
      <c r="G41" s="240"/>
      <c r="H41" s="240"/>
      <c r="I41" s="240"/>
      <c r="J41" s="240"/>
      <c r="K41" s="240"/>
    </row>
    <row r="42" spans="1:11" ht="15.75" thickBot="1">
      <c r="A42" s="237"/>
      <c r="B42" s="1619"/>
      <c r="C42" s="264"/>
      <c r="D42" s="267" t="s">
        <v>49</v>
      </c>
      <c r="E42" s="295"/>
      <c r="F42" s="240"/>
      <c r="G42" s="240"/>
      <c r="H42" s="240"/>
      <c r="I42" s="240"/>
      <c r="J42" s="240"/>
      <c r="K42" s="240"/>
    </row>
    <row r="43" spans="1:11" ht="15.75" thickBot="1">
      <c r="A43" s="237"/>
      <c r="B43" s="1620"/>
      <c r="C43" s="274"/>
      <c r="D43" s="267" t="s">
        <v>50</v>
      </c>
      <c r="E43" s="295"/>
      <c r="F43" s="240"/>
      <c r="G43" s="240"/>
      <c r="H43" s="240"/>
      <c r="I43" s="240"/>
      <c r="J43" s="240"/>
      <c r="K43" s="240"/>
    </row>
    <row r="44" spans="1:11" ht="15.75" thickBot="1">
      <c r="A44" s="237"/>
      <c r="B44" s="241"/>
      <c r="C44" s="242"/>
      <c r="D44" s="240"/>
      <c r="E44" s="240"/>
      <c r="F44" s="240"/>
      <c r="G44" s="240"/>
      <c r="H44" s="240"/>
      <c r="I44" s="240"/>
      <c r="J44" s="240"/>
      <c r="K44" s="240"/>
    </row>
    <row r="45" spans="1:11" ht="15" customHeight="1" thickBot="1">
      <c r="A45" s="237"/>
      <c r="B45" s="283" t="s">
        <v>54</v>
      </c>
      <c r="C45" s="284"/>
      <c r="D45" s="284"/>
      <c r="E45" s="284"/>
      <c r="F45" s="285"/>
      <c r="G45" s="240"/>
      <c r="H45" s="240"/>
      <c r="I45" s="240"/>
      <c r="J45" s="240"/>
      <c r="K45" s="240"/>
    </row>
    <row r="46" spans="1:11" ht="15.75" thickBot="1">
      <c r="A46" s="237"/>
      <c r="B46" s="277" t="s">
        <v>55</v>
      </c>
      <c r="C46" s="286" t="s">
        <v>56</v>
      </c>
      <c r="D46" s="286" t="s">
        <v>57</v>
      </c>
      <c r="E46" s="286" t="s">
        <v>58</v>
      </c>
      <c r="F46" s="240"/>
      <c r="G46" s="240"/>
      <c r="H46" s="240"/>
      <c r="I46" s="240"/>
      <c r="J46" s="240"/>
      <c r="K46" s="237"/>
    </row>
    <row r="47" spans="1:11" ht="72.75" thickBot="1">
      <c r="A47" s="237"/>
      <c r="B47" s="287">
        <v>42401</v>
      </c>
      <c r="C47" s="286">
        <v>0.01</v>
      </c>
      <c r="D47" s="288" t="s">
        <v>167</v>
      </c>
      <c r="E47" s="286"/>
      <c r="F47" s="240"/>
      <c r="G47" s="240"/>
      <c r="H47" s="240"/>
      <c r="I47" s="240"/>
      <c r="J47" s="240"/>
      <c r="K47" s="237"/>
    </row>
    <row r="48" spans="1:11" ht="15.75" thickBot="1">
      <c r="A48" s="237"/>
      <c r="B48" s="241"/>
      <c r="C48" s="242"/>
      <c r="D48" s="240"/>
      <c r="E48" s="240"/>
      <c r="F48" s="240"/>
      <c r="G48" s="240"/>
      <c r="H48" s="240"/>
      <c r="I48" s="240"/>
      <c r="J48" s="240"/>
      <c r="K48" s="240"/>
    </row>
    <row r="49" spans="1:11">
      <c r="A49" s="237"/>
      <c r="B49" s="289" t="s">
        <v>60</v>
      </c>
      <c r="C49" s="290"/>
      <c r="D49" s="240"/>
      <c r="E49" s="240"/>
      <c r="F49" s="240"/>
      <c r="G49" s="240"/>
      <c r="H49" s="240"/>
      <c r="I49" s="240"/>
      <c r="J49" s="240"/>
      <c r="K49" s="240"/>
    </row>
    <row r="50" spans="1:11">
      <c r="A50" s="237"/>
      <c r="B50" s="1644"/>
      <c r="C50" s="1645"/>
      <c r="D50" s="1645"/>
      <c r="E50" s="1645"/>
      <c r="F50" s="1645"/>
      <c r="G50" s="1645"/>
      <c r="H50" s="1645"/>
      <c r="I50" s="1645"/>
      <c r="J50" s="1646"/>
      <c r="K50" s="240"/>
    </row>
    <row r="51" spans="1:11">
      <c r="A51" s="237"/>
      <c r="B51" s="240"/>
      <c r="C51" s="257"/>
      <c r="D51" s="240"/>
      <c r="E51" s="240"/>
      <c r="F51" s="240"/>
      <c r="G51" s="240"/>
      <c r="H51" s="240"/>
      <c r="I51" s="240"/>
      <c r="J51" s="240"/>
      <c r="K51" s="240"/>
    </row>
    <row r="52" spans="1:11" ht="15.75" thickBot="1">
      <c r="A52" s="237"/>
      <c r="B52" s="240"/>
      <c r="C52" s="257"/>
      <c r="D52" s="240"/>
      <c r="E52" s="240"/>
      <c r="F52" s="240"/>
      <c r="G52" s="240"/>
      <c r="H52" s="240"/>
      <c r="I52" s="240"/>
      <c r="J52" s="240"/>
      <c r="K52" s="240"/>
    </row>
    <row r="53" spans="1:11" ht="15.75" thickBot="1">
      <c r="A53" s="237"/>
      <c r="B53" s="1627" t="s">
        <v>61</v>
      </c>
      <c r="C53" s="1628"/>
      <c r="D53" s="1629"/>
      <c r="E53" s="240"/>
      <c r="F53" s="240"/>
      <c r="G53" s="240"/>
      <c r="H53" s="240"/>
      <c r="I53" s="240"/>
      <c r="J53" s="240"/>
      <c r="K53" s="240"/>
    </row>
    <row r="54" spans="1:11" ht="15.75" thickBot="1">
      <c r="A54" s="237"/>
      <c r="B54" s="241"/>
      <c r="C54" s="242"/>
      <c r="D54" s="240"/>
      <c r="E54" s="240"/>
      <c r="F54" s="240"/>
      <c r="G54" s="240"/>
      <c r="H54" s="240"/>
      <c r="I54" s="240"/>
      <c r="J54" s="240"/>
      <c r="K54" s="240"/>
    </row>
    <row r="55" spans="1:11" ht="24" customHeight="1" thickBot="1">
      <c r="A55" s="237"/>
      <c r="B55" s="291" t="s">
        <v>62</v>
      </c>
      <c r="C55" s="292"/>
      <c r="D55" s="1621" t="s">
        <v>137</v>
      </c>
      <c r="E55" s="1622"/>
      <c r="F55" s="1622"/>
      <c r="G55" s="1622"/>
      <c r="H55" s="1622"/>
      <c r="I55" s="1622"/>
      <c r="J55" s="1623"/>
      <c r="K55" s="240"/>
    </row>
    <row r="56" spans="1:11">
      <c r="A56" s="237"/>
      <c r="B56" s="1618" t="s">
        <v>64</v>
      </c>
      <c r="C56" s="260"/>
      <c r="D56" s="1606" t="s">
        <v>65</v>
      </c>
      <c r="E56" s="1607"/>
      <c r="F56" s="1607"/>
      <c r="G56" s="1607"/>
      <c r="H56" s="1607"/>
      <c r="I56" s="1607"/>
      <c r="J56" s="1608"/>
      <c r="K56" s="240"/>
    </row>
    <row r="57" spans="1:11" ht="24" customHeight="1">
      <c r="A57" s="237"/>
      <c r="B57" s="1619"/>
      <c r="C57" s="268"/>
      <c r="D57" s="1600" t="s">
        <v>138</v>
      </c>
      <c r="E57" s="1643"/>
      <c r="F57" s="1643"/>
      <c r="G57" s="1643"/>
      <c r="H57" s="1643"/>
      <c r="I57" s="1643"/>
      <c r="J57" s="1602"/>
      <c r="K57" s="240"/>
    </row>
    <row r="58" spans="1:11">
      <c r="A58" s="237"/>
      <c r="B58" s="1619"/>
      <c r="C58" s="268"/>
      <c r="D58" s="1612" t="s">
        <v>139</v>
      </c>
      <c r="E58" s="1647"/>
      <c r="F58" s="1647"/>
      <c r="G58" s="1647"/>
      <c r="H58" s="1647"/>
      <c r="I58" s="1647"/>
      <c r="J58" s="1614"/>
      <c r="K58" s="240"/>
    </row>
    <row r="59" spans="1:11">
      <c r="A59" s="237"/>
      <c r="B59" s="1619"/>
      <c r="C59" s="268"/>
      <c r="D59" s="1600" t="s">
        <v>140</v>
      </c>
      <c r="E59" s="1643"/>
      <c r="F59" s="1643"/>
      <c r="G59" s="1643"/>
      <c r="H59" s="1643"/>
      <c r="I59" s="1643"/>
      <c r="J59" s="1602"/>
      <c r="K59" s="240"/>
    </row>
    <row r="60" spans="1:11">
      <c r="A60" s="237"/>
      <c r="B60" s="1619"/>
      <c r="C60" s="268"/>
      <c r="D60" s="1600" t="s">
        <v>141</v>
      </c>
      <c r="E60" s="1643"/>
      <c r="F60" s="1643"/>
      <c r="G60" s="1643"/>
      <c r="H60" s="1643"/>
      <c r="I60" s="1643"/>
      <c r="J60" s="1602"/>
      <c r="K60" s="240"/>
    </row>
    <row r="61" spans="1:11">
      <c r="A61" s="237"/>
      <c r="B61" s="1619"/>
      <c r="C61" s="268"/>
      <c r="D61" s="1600" t="s">
        <v>142</v>
      </c>
      <c r="E61" s="1643"/>
      <c r="F61" s="1643"/>
      <c r="G61" s="1643"/>
      <c r="H61" s="1643"/>
      <c r="I61" s="1643"/>
      <c r="J61" s="1602"/>
      <c r="K61" s="240"/>
    </row>
    <row r="62" spans="1:11" ht="24" customHeight="1">
      <c r="A62" s="237"/>
      <c r="B62" s="1619"/>
      <c r="C62" s="268"/>
      <c r="D62" s="1600" t="s">
        <v>143</v>
      </c>
      <c r="E62" s="1643"/>
      <c r="F62" s="1643"/>
      <c r="G62" s="1643"/>
      <c r="H62" s="1643"/>
      <c r="I62" s="1643"/>
      <c r="J62" s="1602"/>
      <c r="K62" s="240"/>
    </row>
    <row r="63" spans="1:11" ht="24" customHeight="1">
      <c r="A63" s="237"/>
      <c r="B63" s="1619"/>
      <c r="C63" s="268"/>
      <c r="D63" s="1600" t="s">
        <v>144</v>
      </c>
      <c r="E63" s="1643"/>
      <c r="F63" s="1643"/>
      <c r="G63" s="1643"/>
      <c r="H63" s="1643"/>
      <c r="I63" s="1643"/>
      <c r="J63" s="1602"/>
      <c r="K63" s="240"/>
    </row>
    <row r="64" spans="1:11">
      <c r="A64" s="237"/>
      <c r="B64" s="1619"/>
      <c r="C64" s="268"/>
      <c r="D64" s="1600" t="s">
        <v>145</v>
      </c>
      <c r="E64" s="1643"/>
      <c r="F64" s="1643"/>
      <c r="G64" s="1643"/>
      <c r="H64" s="1643"/>
      <c r="I64" s="1643"/>
      <c r="J64" s="1602"/>
      <c r="K64" s="240"/>
    </row>
    <row r="65" spans="1:11">
      <c r="A65" s="237"/>
      <c r="B65" s="1619"/>
      <c r="C65" s="268"/>
      <c r="D65" s="1612" t="s">
        <v>146</v>
      </c>
      <c r="E65" s="1647"/>
      <c r="F65" s="1647"/>
      <c r="G65" s="1647"/>
      <c r="H65" s="1647"/>
      <c r="I65" s="1647"/>
      <c r="J65" s="1614"/>
      <c r="K65" s="240"/>
    </row>
    <row r="66" spans="1:11" ht="15.75" thickBot="1">
      <c r="A66" s="237"/>
      <c r="B66" s="1620"/>
      <c r="C66" s="278"/>
      <c r="D66" s="1624" t="s">
        <v>147</v>
      </c>
      <c r="E66" s="1625"/>
      <c r="F66" s="1625"/>
      <c r="G66" s="1625"/>
      <c r="H66" s="1625"/>
      <c r="I66" s="1625"/>
      <c r="J66" s="1626"/>
      <c r="K66" s="240"/>
    </row>
    <row r="67" spans="1:11" ht="24.75" thickBot="1">
      <c r="A67" s="237"/>
      <c r="B67" s="277" t="s">
        <v>77</v>
      </c>
      <c r="C67" s="278"/>
      <c r="D67" s="1621"/>
      <c r="E67" s="1622"/>
      <c r="F67" s="1622"/>
      <c r="G67" s="1622"/>
      <c r="H67" s="1622"/>
      <c r="I67" s="1622"/>
      <c r="J67" s="1623"/>
      <c r="K67" s="240"/>
    </row>
    <row r="68" spans="1:11" ht="24.75" thickBot="1">
      <c r="A68" s="237"/>
      <c r="B68" s="277" t="s">
        <v>78</v>
      </c>
      <c r="C68" s="278"/>
      <c r="D68" s="1621" t="s">
        <v>148</v>
      </c>
      <c r="E68" s="1622"/>
      <c r="F68" s="1622"/>
      <c r="G68" s="1622"/>
      <c r="H68" s="1622"/>
      <c r="I68" s="1622"/>
      <c r="J68" s="1623"/>
      <c r="K68" s="240"/>
    </row>
    <row r="69" spans="1:11">
      <c r="A69" s="237"/>
      <c r="B69" s="1618" t="s">
        <v>95</v>
      </c>
      <c r="C69" s="260"/>
      <c r="D69" s="1609"/>
      <c r="E69" s="1610"/>
      <c r="F69" s="1610"/>
      <c r="G69" s="1610"/>
      <c r="H69" s="1610"/>
      <c r="I69" s="1610"/>
      <c r="J69" s="1611"/>
      <c r="K69" s="240"/>
    </row>
    <row r="70" spans="1:11">
      <c r="A70" s="237"/>
      <c r="B70" s="1619"/>
      <c r="C70" s="268"/>
      <c r="D70" s="1597"/>
      <c r="E70" s="1642"/>
      <c r="F70" s="1642"/>
      <c r="G70" s="1642"/>
      <c r="H70" s="1642"/>
      <c r="I70" s="1642"/>
      <c r="J70" s="1599"/>
      <c r="K70" s="240"/>
    </row>
    <row r="71" spans="1:11">
      <c r="A71" s="237"/>
      <c r="B71" s="1619"/>
      <c r="C71" s="268"/>
      <c r="D71" s="1600" t="s">
        <v>96</v>
      </c>
      <c r="E71" s="1643"/>
      <c r="F71" s="1643"/>
      <c r="G71" s="1643"/>
      <c r="H71" s="1643"/>
      <c r="I71" s="1643"/>
      <c r="J71" s="1602"/>
      <c r="K71" s="240"/>
    </row>
    <row r="72" spans="1:11" ht="26.45" customHeight="1">
      <c r="A72" s="237"/>
      <c r="B72" s="1619"/>
      <c r="C72" s="268"/>
      <c r="D72" s="1600" t="s">
        <v>149</v>
      </c>
      <c r="E72" s="1643"/>
      <c r="F72" s="1643"/>
      <c r="G72" s="1643"/>
      <c r="H72" s="1643"/>
      <c r="I72" s="1643"/>
      <c r="J72" s="1602"/>
      <c r="K72" s="240"/>
    </row>
    <row r="73" spans="1:11" ht="14.45" customHeight="1">
      <c r="A73" s="237"/>
      <c r="B73" s="1619"/>
      <c r="C73" s="268"/>
      <c r="D73" s="1600" t="s">
        <v>150</v>
      </c>
      <c r="E73" s="1643"/>
      <c r="F73" s="1643"/>
      <c r="G73" s="1643"/>
      <c r="H73" s="1643"/>
      <c r="I73" s="1643"/>
      <c r="J73" s="1602"/>
      <c r="K73" s="240"/>
    </row>
    <row r="74" spans="1:11" ht="14.45" customHeight="1">
      <c r="A74" s="237"/>
      <c r="B74" s="1619"/>
      <c r="C74" s="268"/>
      <c r="D74" s="1600" t="s">
        <v>151</v>
      </c>
      <c r="E74" s="1643"/>
      <c r="F74" s="1643"/>
      <c r="G74" s="1643"/>
      <c r="H74" s="1643"/>
      <c r="I74" s="1643"/>
      <c r="J74" s="1602"/>
      <c r="K74" s="240"/>
    </row>
    <row r="75" spans="1:11" ht="24" customHeight="1" thickBot="1">
      <c r="A75" s="237"/>
      <c r="B75" s="1620"/>
      <c r="C75" s="278"/>
      <c r="D75" s="1624" t="s">
        <v>152</v>
      </c>
      <c r="E75" s="1625"/>
      <c r="F75" s="1625"/>
      <c r="G75" s="1625"/>
      <c r="H75" s="1625"/>
      <c r="I75" s="1625"/>
      <c r="J75" s="1626"/>
      <c r="K75" s="240"/>
    </row>
    <row r="76" spans="1:11">
      <c r="A76" s="237"/>
      <c r="B76" s="240"/>
      <c r="C76" s="257"/>
      <c r="D76" s="240"/>
      <c r="E76" s="240"/>
      <c r="F76" s="240"/>
      <c r="G76" s="240"/>
      <c r="H76" s="240"/>
      <c r="I76" s="240"/>
      <c r="J76" s="240"/>
      <c r="K76" s="240"/>
    </row>
  </sheetData>
  <sheetProtection sheet="1" objects="1" scenarios="1"/>
  <mergeCells count="44">
    <mergeCell ref="B10:D10"/>
    <mergeCell ref="F10:S10"/>
    <mergeCell ref="F11:S11"/>
    <mergeCell ref="E12:R12"/>
    <mergeCell ref="E13:R13"/>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D67:J67"/>
    <mergeCell ref="B69:B75"/>
    <mergeCell ref="D69:J69"/>
    <mergeCell ref="D70:J70"/>
    <mergeCell ref="D71:J71"/>
    <mergeCell ref="D72:J72"/>
    <mergeCell ref="D73:J73"/>
    <mergeCell ref="D74:J74"/>
    <mergeCell ref="D75:J75"/>
    <mergeCell ref="B28:B34"/>
    <mergeCell ref="B36:E36"/>
    <mergeCell ref="B37:B43"/>
    <mergeCell ref="B15:B23"/>
    <mergeCell ref="D15:J15"/>
    <mergeCell ref="D19:J19"/>
    <mergeCell ref="D24:J24"/>
    <mergeCell ref="D25:J25"/>
    <mergeCell ref="B27:E27"/>
    <mergeCell ref="A1:P1"/>
    <mergeCell ref="A2:P2"/>
    <mergeCell ref="A3:P3"/>
    <mergeCell ref="A4:D4"/>
    <mergeCell ref="A5:P5"/>
  </mergeCells>
  <conditionalFormatting sqref="F10">
    <cfRule type="notContainsBlanks" dxfId="124" priority="4">
      <formula>LEN(TRIM(F10))&gt;0</formula>
    </cfRule>
  </conditionalFormatting>
  <conditionalFormatting sqref="F11:S11">
    <cfRule type="expression" dxfId="123" priority="2">
      <formula>E11="NO SE REPORTA"</formula>
    </cfRule>
    <cfRule type="expression" dxfId="122" priority="3">
      <formula>E10="NO APLICA"</formula>
    </cfRule>
  </conditionalFormatting>
  <conditionalFormatting sqref="E12:R12">
    <cfRule type="expression" dxfId="1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7" zoomScale="98" zoomScaleNormal="98" workbookViewId="0">
      <selection activeCell="D23" sqref="D23:J23"/>
    </sheetView>
  </sheetViews>
  <sheetFormatPr baseColWidth="10" defaultRowHeight="15"/>
  <cols>
    <col min="1" max="1" width="1.85546875" customWidth="1"/>
    <col min="2" max="2" width="12.85546875" customWidth="1"/>
    <col min="3" max="3" width="5" style="86" bestFit="1" customWidth="1"/>
    <col min="4" max="4" width="34.85546875" customWidth="1"/>
    <col min="5" max="5" width="12.140625" customWidth="1"/>
  </cols>
  <sheetData>
    <row r="1" spans="1:21" s="518" customFormat="1" ht="100.5" customHeight="1" thickBot="1">
      <c r="A1" s="1552"/>
      <c r="B1" s="1553"/>
      <c r="C1" s="1553"/>
      <c r="D1" s="1553"/>
      <c r="E1" s="1553"/>
      <c r="F1" s="1553"/>
      <c r="G1" s="1553"/>
      <c r="H1" s="1553"/>
      <c r="I1" s="1553"/>
      <c r="J1" s="1553"/>
      <c r="K1" s="1553"/>
      <c r="L1" s="1553"/>
      <c r="M1" s="1553"/>
      <c r="N1" s="1553"/>
      <c r="O1" s="1553"/>
      <c r="P1" s="1554"/>
      <c r="Q1" s="403"/>
      <c r="R1" s="403"/>
    </row>
    <row r="2" spans="1:21" s="519" customFormat="1" ht="16.5" thickBot="1">
      <c r="A2" s="1560" t="str">
        <f>'Datos Generales'!C5</f>
        <v>Corporación Autónoma Regional de La Guajira – CORPOGUAJIRA</v>
      </c>
      <c r="B2" s="1561"/>
      <c r="C2" s="1561"/>
      <c r="D2" s="1561"/>
      <c r="E2" s="1561"/>
      <c r="F2" s="1561"/>
      <c r="G2" s="1561"/>
      <c r="H2" s="1561"/>
      <c r="I2" s="1561"/>
      <c r="J2" s="1561"/>
      <c r="K2" s="1561"/>
      <c r="L2" s="1561"/>
      <c r="M2" s="1561"/>
      <c r="N2" s="1561"/>
      <c r="O2" s="1561"/>
      <c r="P2" s="1562"/>
      <c r="Q2" s="403"/>
      <c r="R2" s="403"/>
    </row>
    <row r="3" spans="1:21" s="519" customFormat="1" ht="16.5" thickBot="1">
      <c r="A3" s="1555" t="s">
        <v>1414</v>
      </c>
      <c r="B3" s="1556"/>
      <c r="C3" s="1556"/>
      <c r="D3" s="1556"/>
      <c r="E3" s="1556"/>
      <c r="F3" s="1556"/>
      <c r="G3" s="1556"/>
      <c r="H3" s="1556"/>
      <c r="I3" s="1556"/>
      <c r="J3" s="1556"/>
      <c r="K3" s="1556"/>
      <c r="L3" s="1556"/>
      <c r="M3" s="1556"/>
      <c r="N3" s="1556"/>
      <c r="O3" s="1556"/>
      <c r="P3" s="1557"/>
      <c r="Q3" s="403"/>
      <c r="R3" s="403"/>
    </row>
    <row r="4" spans="1:21" s="519" customFormat="1" ht="16.5" thickBot="1">
      <c r="A4" s="1558" t="s">
        <v>1413</v>
      </c>
      <c r="B4" s="1559"/>
      <c r="C4" s="1559"/>
      <c r="D4" s="1559"/>
      <c r="E4" s="537" t="str">
        <f>'Datos Generales'!C6</f>
        <v>2019-I</v>
      </c>
      <c r="F4" s="537"/>
      <c r="G4" s="537"/>
      <c r="H4" s="537"/>
      <c r="I4" s="537"/>
      <c r="J4" s="537"/>
      <c r="K4" s="537"/>
      <c r="L4" s="538"/>
      <c r="M4" s="538"/>
      <c r="N4" s="538"/>
      <c r="O4" s="538"/>
      <c r="P4" s="539"/>
      <c r="Q4" s="403"/>
      <c r="R4" s="403"/>
    </row>
    <row r="5" spans="1:21" s="237" customFormat="1" ht="16.5" customHeight="1" thickBot="1">
      <c r="A5" s="1555" t="s">
        <v>168</v>
      </c>
      <c r="B5" s="1556"/>
      <c r="C5" s="1556"/>
      <c r="D5" s="1556"/>
      <c r="E5" s="1556"/>
      <c r="F5" s="1556"/>
      <c r="G5" s="1556"/>
      <c r="H5" s="1556"/>
      <c r="I5" s="1556"/>
      <c r="J5" s="1556"/>
      <c r="K5" s="1556"/>
      <c r="L5" s="1556"/>
      <c r="M5" s="1556"/>
      <c r="N5" s="1556"/>
      <c r="O5" s="1556"/>
      <c r="P5" s="1557"/>
    </row>
    <row r="6" spans="1:21">
      <c r="A6" s="237"/>
      <c r="B6" s="241" t="s">
        <v>1</v>
      </c>
      <c r="C6" s="242"/>
      <c r="D6" s="240"/>
      <c r="E6" s="251"/>
      <c r="F6" s="240" t="s">
        <v>133</v>
      </c>
      <c r="G6" s="240"/>
      <c r="H6" s="240"/>
      <c r="I6" s="240"/>
      <c r="J6" s="240"/>
      <c r="K6" s="240"/>
    </row>
    <row r="7" spans="1:21" ht="15.75" thickBot="1">
      <c r="A7" s="237"/>
      <c r="B7" s="243"/>
      <c r="C7" s="244"/>
      <c r="D7" s="240"/>
      <c r="E7" s="245"/>
      <c r="F7" s="240" t="s">
        <v>134</v>
      </c>
      <c r="G7" s="240"/>
      <c r="H7" s="240"/>
      <c r="I7" s="240"/>
      <c r="J7" s="240"/>
      <c r="K7" s="240"/>
    </row>
    <row r="8" spans="1:21" ht="15.75" thickBot="1">
      <c r="A8" s="237"/>
      <c r="B8" s="253" t="s">
        <v>1203</v>
      </c>
      <c r="C8" s="254">
        <v>2018</v>
      </c>
      <c r="D8" s="249">
        <f>IF(E10="NO APLICA","NO APLICA",IF(E11="NO SE REPORTA","SIN INFORMACION",+H22))</f>
        <v>1</v>
      </c>
      <c r="E8" s="256"/>
      <c r="F8" s="240" t="s">
        <v>135</v>
      </c>
      <c r="G8" s="240"/>
      <c r="H8" s="240"/>
      <c r="I8" s="240"/>
      <c r="J8" s="240"/>
      <c r="K8" s="240"/>
    </row>
    <row r="9" spans="1:21">
      <c r="A9" s="237"/>
      <c r="B9" s="483" t="s">
        <v>1204</v>
      </c>
      <c r="C9" s="296"/>
      <c r="D9" s="240"/>
      <c r="E9" s="240"/>
      <c r="F9" s="240"/>
      <c r="G9" s="240"/>
      <c r="H9" s="240"/>
      <c r="I9" s="240"/>
      <c r="J9" s="240"/>
      <c r="K9" s="240"/>
    </row>
    <row r="10" spans="1:21" s="403" customFormat="1">
      <c r="A10" s="237"/>
      <c r="B10" s="1588" t="s">
        <v>1263</v>
      </c>
      <c r="C10" s="1588"/>
      <c r="D10" s="1588"/>
      <c r="E10" s="489" t="s">
        <v>1260</v>
      </c>
      <c r="F10" s="1595"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596"/>
      <c r="H10" s="1596"/>
      <c r="I10" s="1596"/>
      <c r="J10" s="1596"/>
      <c r="K10" s="1596"/>
      <c r="L10" s="1596"/>
      <c r="M10" s="1596"/>
      <c r="N10" s="1596"/>
      <c r="O10" s="1596"/>
      <c r="P10" s="1596"/>
      <c r="Q10" s="1596"/>
      <c r="R10" s="1596"/>
      <c r="S10" s="1596"/>
      <c r="T10" s="485"/>
      <c r="U10" s="485"/>
    </row>
    <row r="11" spans="1:21" s="403" customFormat="1" ht="14.45" customHeight="1">
      <c r="A11" s="237"/>
      <c r="B11" s="486"/>
      <c r="C11" s="487"/>
      <c r="D11" s="488" t="str">
        <f>IF(E10="SI APLICA","¿El indicador no se reporta por limitaciones de información disponible? ","")</f>
        <v xml:space="preserve">¿El indicador no se reporta por limitaciones de información disponible? </v>
      </c>
      <c r="E11" s="490" t="s">
        <v>1262</v>
      </c>
      <c r="F11" s="1589"/>
      <c r="G11" s="1590"/>
      <c r="H11" s="1590"/>
      <c r="I11" s="1590"/>
      <c r="J11" s="1590"/>
      <c r="K11" s="1590"/>
      <c r="L11" s="1590"/>
      <c r="M11" s="1590"/>
      <c r="N11" s="1590"/>
      <c r="O11" s="1590"/>
      <c r="P11" s="1590"/>
      <c r="Q11" s="1590"/>
      <c r="R11" s="1590"/>
      <c r="S11" s="1590"/>
    </row>
    <row r="12" spans="1:21" s="403" customFormat="1" ht="23.45" customHeight="1">
      <c r="A12" s="237"/>
      <c r="B12" s="483"/>
      <c r="C12" s="296"/>
      <c r="D12" s="488" t="str">
        <f>IF(E11="SI SE REPORTA","¿Qué programas o proyectos del Plan de Acción están asociados al indicador? ","")</f>
        <v xml:space="preserve">¿Qué programas o proyectos del Plan de Acción están asociados al indicador? </v>
      </c>
      <c r="E12" s="1591" t="str">
        <f>'Anexo 1 Matriz Inf Gestión'!E80:H80</f>
        <v>Proyecto No. 6.1.  (13). Evaluación, Seguimiento, Monitoreo y Control de la calidad de los recursos naturales y la biodiversidad.</v>
      </c>
      <c r="F12" s="1591"/>
      <c r="G12" s="1591"/>
      <c r="H12" s="1591"/>
      <c r="I12" s="1591"/>
      <c r="J12" s="1591"/>
      <c r="K12" s="1591"/>
      <c r="L12" s="1591"/>
      <c r="M12" s="1591"/>
      <c r="N12" s="1591"/>
      <c r="O12" s="1591"/>
      <c r="P12" s="1591"/>
      <c r="Q12" s="1591"/>
      <c r="R12" s="1591"/>
    </row>
    <row r="13" spans="1:21" s="403" customFormat="1" ht="21.95" customHeight="1">
      <c r="A13" s="237"/>
      <c r="B13" s="483"/>
      <c r="C13" s="296"/>
      <c r="D13" s="488" t="s">
        <v>1265</v>
      </c>
      <c r="E13" s="1592" t="s">
        <v>1660</v>
      </c>
      <c r="F13" s="1593"/>
      <c r="G13" s="1593"/>
      <c r="H13" s="1593"/>
      <c r="I13" s="1593"/>
      <c r="J13" s="1593"/>
      <c r="K13" s="1593"/>
      <c r="L13" s="1593"/>
      <c r="M13" s="1593"/>
      <c r="N13" s="1593"/>
      <c r="O13" s="1593"/>
      <c r="P13" s="1593"/>
      <c r="Q13" s="1593"/>
      <c r="R13" s="1594"/>
    </row>
    <row r="14" spans="1:21" s="403" customFormat="1" ht="6.95" customHeight="1" thickBot="1">
      <c r="A14" s="237"/>
      <c r="B14" s="483"/>
      <c r="C14" s="296"/>
      <c r="D14" s="240"/>
      <c r="E14" s="240"/>
      <c r="F14" s="240"/>
      <c r="G14" s="240"/>
      <c r="H14" s="240"/>
      <c r="I14" s="240"/>
      <c r="J14" s="240"/>
      <c r="K14" s="240"/>
    </row>
    <row r="15" spans="1:21" ht="15.75" thickBot="1">
      <c r="A15" s="237"/>
      <c r="B15" s="1618" t="s">
        <v>2</v>
      </c>
      <c r="C15" s="260"/>
      <c r="D15" s="1609" t="s">
        <v>3</v>
      </c>
      <c r="E15" s="1610"/>
      <c r="F15" s="1610"/>
      <c r="G15" s="1610"/>
      <c r="H15" s="1610"/>
      <c r="I15" s="1610"/>
      <c r="J15" s="1611"/>
      <c r="K15" s="240"/>
    </row>
    <row r="16" spans="1:21" ht="36.75" thickBot="1">
      <c r="A16" s="237"/>
      <c r="B16" s="1619"/>
      <c r="C16" s="264"/>
      <c r="D16" s="265" t="s">
        <v>182</v>
      </c>
      <c r="E16" s="210">
        <v>20</v>
      </c>
      <c r="F16" s="240"/>
      <c r="G16" s="240"/>
      <c r="H16" s="240"/>
      <c r="I16" s="240"/>
      <c r="J16" s="266"/>
      <c r="K16" s="240"/>
    </row>
    <row r="17" spans="1:11" ht="48.75" thickBot="1">
      <c r="A17" s="237"/>
      <c r="B17" s="1619"/>
      <c r="C17" s="264"/>
      <c r="D17" s="267" t="s">
        <v>183</v>
      </c>
      <c r="E17" s="210">
        <v>20</v>
      </c>
      <c r="F17" s="240"/>
      <c r="G17" s="240"/>
      <c r="H17" s="240"/>
      <c r="I17" s="240"/>
      <c r="J17" s="266"/>
      <c r="K17" s="240"/>
    </row>
    <row r="18" spans="1:11" ht="15.75" thickBot="1">
      <c r="A18" s="237"/>
      <c r="B18" s="1619"/>
      <c r="C18" s="268"/>
      <c r="D18" s="1624"/>
      <c r="E18" s="1625"/>
      <c r="F18" s="1625"/>
      <c r="G18" s="1625"/>
      <c r="H18" s="1625"/>
      <c r="I18" s="1625"/>
      <c r="J18" s="1626"/>
      <c r="K18" s="240"/>
    </row>
    <row r="19" spans="1:11" ht="15.75" thickBot="1">
      <c r="A19" s="237"/>
      <c r="B19" s="1619"/>
      <c r="C19" s="271" t="s">
        <v>24</v>
      </c>
      <c r="D19" s="265" t="s">
        <v>156</v>
      </c>
      <c r="E19" s="272" t="s">
        <v>25</v>
      </c>
      <c r="F19" s="272" t="s">
        <v>26</v>
      </c>
      <c r="G19" s="272" t="s">
        <v>27</v>
      </c>
      <c r="H19" s="272" t="s">
        <v>28</v>
      </c>
      <c r="I19" s="226" t="s">
        <v>60</v>
      </c>
      <c r="J19" s="112"/>
      <c r="K19" s="240"/>
    </row>
    <row r="20" spans="1:11" ht="36.75" thickBot="1">
      <c r="A20" s="237"/>
      <c r="B20" s="1619"/>
      <c r="C20" s="274" t="s">
        <v>158</v>
      </c>
      <c r="D20" s="267" t="s">
        <v>184</v>
      </c>
      <c r="E20" s="210">
        <v>25</v>
      </c>
      <c r="F20" s="210">
        <v>20</v>
      </c>
      <c r="G20" s="210">
        <v>21</v>
      </c>
      <c r="H20" s="210">
        <v>11</v>
      </c>
      <c r="I20" s="31"/>
      <c r="J20" s="113"/>
      <c r="K20" s="240"/>
    </row>
    <row r="21" spans="1:11" ht="36.75" thickBot="1">
      <c r="A21" s="237"/>
      <c r="B21" s="1619"/>
      <c r="C21" s="274" t="s">
        <v>160</v>
      </c>
      <c r="D21" s="267" t="s">
        <v>185</v>
      </c>
      <c r="E21" s="210">
        <v>25</v>
      </c>
      <c r="F21" s="210">
        <v>20</v>
      </c>
      <c r="G21" s="210">
        <v>21</v>
      </c>
      <c r="H21" s="210">
        <v>11</v>
      </c>
      <c r="I21" s="31"/>
      <c r="J21" s="113"/>
      <c r="K21" s="240"/>
    </row>
    <row r="22" spans="1:11" ht="36.75" thickBot="1">
      <c r="A22" s="237"/>
      <c r="B22" s="1620"/>
      <c r="C22" s="274" t="s">
        <v>162</v>
      </c>
      <c r="D22" s="267" t="s">
        <v>186</v>
      </c>
      <c r="E22" s="192">
        <f>IFERROR(E21/E20,"N.A.")</f>
        <v>1</v>
      </c>
      <c r="F22" s="192">
        <f>IFERROR(F21/F20,"N.A.")</f>
        <v>1</v>
      </c>
      <c r="G22" s="192">
        <f>IFERROR(G21/G20,"N.A.")</f>
        <v>1</v>
      </c>
      <c r="H22" s="192">
        <f>IFERROR(H21/H20,"N.A.")</f>
        <v>1</v>
      </c>
      <c r="I22" s="481"/>
      <c r="J22" s="114"/>
      <c r="K22" s="240"/>
    </row>
    <row r="23" spans="1:11" ht="24" customHeight="1" thickBot="1">
      <c r="A23" s="237"/>
      <c r="B23" s="277" t="s">
        <v>39</v>
      </c>
      <c r="C23" s="278"/>
      <c r="D23" s="1621" t="s">
        <v>187</v>
      </c>
      <c r="E23" s="1622"/>
      <c r="F23" s="1622"/>
      <c r="G23" s="1622"/>
      <c r="H23" s="1622"/>
      <c r="I23" s="1622"/>
      <c r="J23" s="1623"/>
      <c r="K23" s="240"/>
    </row>
    <row r="24" spans="1:11" ht="24.75" thickBot="1">
      <c r="A24" s="237"/>
      <c r="B24" s="277" t="s">
        <v>41</v>
      </c>
      <c r="C24" s="278"/>
      <c r="D24" s="1621" t="s">
        <v>165</v>
      </c>
      <c r="E24" s="1622"/>
      <c r="F24" s="1622"/>
      <c r="G24" s="1622"/>
      <c r="H24" s="1622"/>
      <c r="I24" s="1622"/>
      <c r="J24" s="1623"/>
      <c r="K24" s="240"/>
    </row>
    <row r="25" spans="1:11" ht="15.75" thickBot="1">
      <c r="A25" s="237"/>
      <c r="B25" s="241"/>
      <c r="C25" s="242"/>
      <c r="D25" s="240"/>
      <c r="E25" s="240"/>
      <c r="F25" s="240"/>
      <c r="G25" s="240"/>
      <c r="H25" s="240"/>
      <c r="I25" s="240"/>
      <c r="J25" s="240"/>
      <c r="K25" s="240"/>
    </row>
    <row r="26" spans="1:11" ht="24" customHeight="1" thickBot="1">
      <c r="A26" s="237"/>
      <c r="B26" s="1627" t="s">
        <v>43</v>
      </c>
      <c r="C26" s="1628"/>
      <c r="D26" s="1628"/>
      <c r="E26" s="1629"/>
      <c r="F26" s="240"/>
      <c r="G26" s="240"/>
      <c r="H26" s="240"/>
      <c r="I26" s="240"/>
      <c r="J26" s="240"/>
      <c r="K26" s="240"/>
    </row>
    <row r="27" spans="1:11" ht="15.75" thickBot="1">
      <c r="A27" s="237"/>
      <c r="B27" s="1618">
        <v>1</v>
      </c>
      <c r="C27" s="264"/>
      <c r="D27" s="281" t="s">
        <v>44</v>
      </c>
      <c r="E27" s="31" t="s">
        <v>1616</v>
      </c>
      <c r="F27" s="240"/>
      <c r="G27" s="240"/>
      <c r="H27" s="240"/>
      <c r="I27" s="240"/>
      <c r="J27" s="240"/>
      <c r="K27" s="240"/>
    </row>
    <row r="28" spans="1:11" ht="15.75" thickBot="1">
      <c r="A28" s="237"/>
      <c r="B28" s="1619"/>
      <c r="C28" s="264"/>
      <c r="D28" s="267" t="s">
        <v>45</v>
      </c>
      <c r="E28" s="31" t="s">
        <v>1661</v>
      </c>
      <c r="F28" s="240"/>
      <c r="G28" s="240"/>
      <c r="H28" s="240"/>
      <c r="I28" s="240"/>
      <c r="J28" s="240"/>
      <c r="K28" s="240"/>
    </row>
    <row r="29" spans="1:11" ht="15.75" thickBot="1">
      <c r="A29" s="237"/>
      <c r="B29" s="1619"/>
      <c r="C29" s="264"/>
      <c r="D29" s="267" t="s">
        <v>46</v>
      </c>
      <c r="E29" s="31" t="s">
        <v>2034</v>
      </c>
      <c r="F29" s="240"/>
      <c r="G29" s="240"/>
      <c r="H29" s="240"/>
      <c r="I29" s="240"/>
      <c r="J29" s="240"/>
      <c r="K29" s="240"/>
    </row>
    <row r="30" spans="1:11" ht="15.75" thickBot="1">
      <c r="A30" s="237"/>
      <c r="B30" s="1619"/>
      <c r="C30" s="264"/>
      <c r="D30" s="267" t="s">
        <v>47</v>
      </c>
      <c r="E30" s="31" t="s">
        <v>1626</v>
      </c>
      <c r="F30" s="240"/>
      <c r="G30" s="240"/>
      <c r="H30" s="240"/>
      <c r="I30" s="240"/>
      <c r="J30" s="240"/>
      <c r="K30" s="240"/>
    </row>
    <row r="31" spans="1:11" ht="15.75" thickBot="1">
      <c r="A31" s="237"/>
      <c r="B31" s="1619"/>
      <c r="C31" s="264"/>
      <c r="D31" s="267" t="s">
        <v>48</v>
      </c>
      <c r="E31" s="31" t="s">
        <v>2015</v>
      </c>
      <c r="F31" s="240"/>
      <c r="G31" s="240"/>
      <c r="H31" s="240"/>
      <c r="I31" s="240"/>
      <c r="J31" s="240"/>
      <c r="K31" s="240"/>
    </row>
    <row r="32" spans="1:11" ht="15.75" thickBot="1">
      <c r="A32" s="237"/>
      <c r="B32" s="1619"/>
      <c r="C32" s="264"/>
      <c r="D32" s="267" t="s">
        <v>49</v>
      </c>
      <c r="E32" s="31" t="s">
        <v>1662</v>
      </c>
      <c r="F32" s="240"/>
      <c r="G32" s="240"/>
      <c r="H32" s="240"/>
      <c r="I32" s="240"/>
      <c r="J32" s="240"/>
      <c r="K32" s="240"/>
    </row>
    <row r="33" spans="1:11" ht="15.75" thickBot="1">
      <c r="A33" s="237"/>
      <c r="B33" s="1620"/>
      <c r="C33" s="274"/>
      <c r="D33" s="267" t="s">
        <v>50</v>
      </c>
      <c r="E33" s="31" t="s">
        <v>1810</v>
      </c>
      <c r="F33" s="240"/>
      <c r="G33" s="240"/>
      <c r="H33" s="240"/>
      <c r="I33" s="240"/>
      <c r="J33" s="240"/>
      <c r="K33" s="240"/>
    </row>
    <row r="34" spans="1:11" ht="15.75" thickBot="1">
      <c r="A34" s="237"/>
      <c r="B34" s="241"/>
      <c r="C34" s="242"/>
      <c r="D34" s="240"/>
      <c r="E34" s="240"/>
      <c r="F34" s="240"/>
      <c r="G34" s="240"/>
      <c r="H34" s="240"/>
      <c r="I34" s="240"/>
      <c r="J34" s="240"/>
      <c r="K34" s="240"/>
    </row>
    <row r="35" spans="1:11" ht="15.75" thickBot="1">
      <c r="A35" s="237"/>
      <c r="B35" s="1627" t="s">
        <v>51</v>
      </c>
      <c r="C35" s="1628"/>
      <c r="D35" s="1628"/>
      <c r="E35" s="1629"/>
      <c r="F35" s="240"/>
      <c r="G35" s="240"/>
      <c r="H35" s="240"/>
      <c r="I35" s="240"/>
      <c r="J35" s="240"/>
      <c r="K35" s="240"/>
    </row>
    <row r="36" spans="1:11" ht="15.75" thickBot="1">
      <c r="A36" s="237"/>
      <c r="B36" s="1618">
        <v>1</v>
      </c>
      <c r="C36" s="264"/>
      <c r="D36" s="281" t="s">
        <v>44</v>
      </c>
      <c r="E36" s="294" t="s">
        <v>52</v>
      </c>
      <c r="F36" s="240"/>
      <c r="G36" s="240"/>
      <c r="H36" s="240"/>
      <c r="I36" s="240"/>
      <c r="J36" s="240"/>
      <c r="K36" s="240"/>
    </row>
    <row r="37" spans="1:11" ht="15.75" thickBot="1">
      <c r="A37" s="237"/>
      <c r="B37" s="1619"/>
      <c r="C37" s="264"/>
      <c r="D37" s="267" t="s">
        <v>45</v>
      </c>
      <c r="E37" s="294" t="s">
        <v>166</v>
      </c>
      <c r="F37" s="240"/>
      <c r="G37" s="240"/>
      <c r="H37" s="240"/>
      <c r="I37" s="240"/>
      <c r="J37" s="240"/>
      <c r="K37" s="240"/>
    </row>
    <row r="38" spans="1:11" ht="15.75" thickBot="1">
      <c r="A38" s="237"/>
      <c r="B38" s="1619"/>
      <c r="C38" s="264"/>
      <c r="D38" s="267" t="s">
        <v>46</v>
      </c>
      <c r="E38" s="307"/>
      <c r="F38" s="240"/>
      <c r="G38" s="240"/>
      <c r="H38" s="240"/>
      <c r="I38" s="240"/>
      <c r="J38" s="240"/>
      <c r="K38" s="240"/>
    </row>
    <row r="39" spans="1:11" ht="15.75" thickBot="1">
      <c r="A39" s="237"/>
      <c r="B39" s="1619"/>
      <c r="C39" s="264"/>
      <c r="D39" s="267" t="s">
        <v>47</v>
      </c>
      <c r="E39" s="307"/>
      <c r="F39" s="240"/>
      <c r="G39" s="240"/>
      <c r="H39" s="240"/>
      <c r="I39" s="240"/>
      <c r="J39" s="240"/>
      <c r="K39" s="240"/>
    </row>
    <row r="40" spans="1:11" ht="15.75" thickBot="1">
      <c r="A40" s="237"/>
      <c r="B40" s="1619"/>
      <c r="C40" s="264"/>
      <c r="D40" s="267" t="s">
        <v>48</v>
      </c>
      <c r="E40" s="307"/>
      <c r="F40" s="240"/>
      <c r="G40" s="240"/>
      <c r="H40" s="240"/>
      <c r="I40" s="240"/>
      <c r="J40" s="240"/>
      <c r="K40" s="240"/>
    </row>
    <row r="41" spans="1:11" ht="15.75" thickBot="1">
      <c r="A41" s="237"/>
      <c r="B41" s="1619"/>
      <c r="C41" s="264"/>
      <c r="D41" s="267" t="s">
        <v>49</v>
      </c>
      <c r="E41" s="307"/>
      <c r="F41" s="240"/>
      <c r="G41" s="240"/>
      <c r="H41" s="240"/>
      <c r="I41" s="240"/>
      <c r="J41" s="240"/>
      <c r="K41" s="240"/>
    </row>
    <row r="42" spans="1:11" ht="15.75" thickBot="1">
      <c r="A42" s="237"/>
      <c r="B42" s="1620"/>
      <c r="C42" s="274"/>
      <c r="D42" s="267" t="s">
        <v>50</v>
      </c>
      <c r="E42" s="307"/>
      <c r="F42" s="240"/>
      <c r="G42" s="240"/>
      <c r="H42" s="240"/>
      <c r="I42" s="240"/>
      <c r="J42" s="240"/>
      <c r="K42" s="240"/>
    </row>
    <row r="43" spans="1:11" ht="15.75" thickBot="1">
      <c r="A43" s="237"/>
      <c r="B43" s="241"/>
      <c r="C43" s="242"/>
      <c r="D43" s="240"/>
      <c r="E43" s="240"/>
      <c r="F43" s="240"/>
      <c r="G43" s="240"/>
      <c r="H43" s="240"/>
      <c r="I43" s="240"/>
      <c r="J43" s="240"/>
      <c r="K43" s="240"/>
    </row>
    <row r="44" spans="1:11" ht="15" customHeight="1" thickBot="1">
      <c r="A44" s="237"/>
      <c r="B44" s="298" t="s">
        <v>54</v>
      </c>
      <c r="C44" s="284"/>
      <c r="D44" s="284"/>
      <c r="E44" s="285"/>
      <c r="F44" s="237"/>
      <c r="G44" s="240"/>
      <c r="H44" s="240"/>
      <c r="I44" s="240"/>
      <c r="J44" s="240"/>
      <c r="K44" s="240"/>
    </row>
    <row r="45" spans="1:11" ht="24.75" thickBot="1">
      <c r="A45" s="237"/>
      <c r="B45" s="277" t="s">
        <v>55</v>
      </c>
      <c r="C45" s="267" t="s">
        <v>56</v>
      </c>
      <c r="D45" s="267" t="s">
        <v>57</v>
      </c>
      <c r="E45" s="267" t="s">
        <v>58</v>
      </c>
      <c r="F45" s="240"/>
      <c r="G45" s="240"/>
      <c r="H45" s="240"/>
      <c r="I45" s="240"/>
      <c r="J45" s="240"/>
      <c r="K45" s="237"/>
    </row>
    <row r="46" spans="1:11" ht="72.75" thickBot="1">
      <c r="A46" s="237"/>
      <c r="B46" s="287">
        <v>42401</v>
      </c>
      <c r="C46" s="267">
        <v>0.01</v>
      </c>
      <c r="D46" s="299" t="s">
        <v>188</v>
      </c>
      <c r="E46" s="267"/>
      <c r="F46" s="240"/>
      <c r="G46" s="240"/>
      <c r="H46" s="240"/>
      <c r="I46" s="240"/>
      <c r="J46" s="240"/>
      <c r="K46" s="237"/>
    </row>
    <row r="47" spans="1:11" ht="15.75" thickBot="1">
      <c r="A47" s="237"/>
      <c r="B47" s="300"/>
      <c r="C47" s="301"/>
      <c r="D47" s="240"/>
      <c r="E47" s="240"/>
      <c r="F47" s="240"/>
      <c r="G47" s="240"/>
      <c r="H47" s="240"/>
      <c r="I47" s="240"/>
      <c r="J47" s="240"/>
      <c r="K47" s="240"/>
    </row>
    <row r="48" spans="1:11">
      <c r="A48" s="237"/>
      <c r="B48" s="289" t="s">
        <v>60</v>
      </c>
      <c r="C48" s="290"/>
      <c r="D48" s="240"/>
      <c r="E48" s="240"/>
      <c r="F48" s="240"/>
      <c r="G48" s="240"/>
      <c r="H48" s="240"/>
      <c r="I48" s="240"/>
      <c r="J48" s="240"/>
      <c r="K48" s="240"/>
    </row>
    <row r="49" spans="1:11">
      <c r="A49" s="237"/>
      <c r="B49" s="1648"/>
      <c r="C49" s="1649"/>
      <c r="D49" s="1649"/>
      <c r="E49" s="1650"/>
      <c r="F49" s="240"/>
      <c r="G49" s="240"/>
      <c r="H49" s="240"/>
      <c r="I49" s="240"/>
      <c r="J49" s="240"/>
      <c r="K49" s="240"/>
    </row>
    <row r="50" spans="1:11" ht="15.75" thickBot="1">
      <c r="A50" s="237"/>
      <c r="B50" s="240"/>
      <c r="C50" s="257"/>
      <c r="D50" s="240"/>
      <c r="E50" s="240"/>
      <c r="F50" s="240"/>
      <c r="G50" s="240"/>
      <c r="H50" s="240"/>
      <c r="I50" s="240"/>
      <c r="J50" s="240"/>
      <c r="K50" s="240"/>
    </row>
    <row r="51" spans="1:11" ht="24.75" thickBot="1">
      <c r="A51" s="237"/>
      <c r="B51" s="302" t="s">
        <v>61</v>
      </c>
      <c r="C51" s="303"/>
      <c r="D51" s="240"/>
      <c r="E51" s="240"/>
      <c r="F51" s="240"/>
      <c r="G51" s="240"/>
      <c r="H51" s="240"/>
      <c r="I51" s="240"/>
      <c r="J51" s="240"/>
      <c r="K51" s="240"/>
    </row>
    <row r="52" spans="1:11" ht="15.75" thickBot="1">
      <c r="A52" s="237"/>
      <c r="B52" s="241"/>
      <c r="C52" s="242"/>
      <c r="D52" s="240"/>
      <c r="E52" s="240"/>
      <c r="F52" s="240"/>
      <c r="G52" s="240"/>
      <c r="H52" s="240"/>
      <c r="I52" s="240"/>
      <c r="J52" s="240"/>
      <c r="K52" s="240"/>
    </row>
    <row r="53" spans="1:11" ht="60.75" thickBot="1">
      <c r="A53" s="237"/>
      <c r="B53" s="291" t="s">
        <v>62</v>
      </c>
      <c r="C53" s="271"/>
      <c r="D53" s="265" t="s">
        <v>169</v>
      </c>
      <c r="E53" s="240"/>
      <c r="F53" s="240"/>
      <c r="G53" s="240"/>
      <c r="H53" s="240"/>
      <c r="I53" s="240"/>
      <c r="J53" s="240"/>
      <c r="K53" s="240"/>
    </row>
    <row r="54" spans="1:11">
      <c r="A54" s="237"/>
      <c r="B54" s="1618" t="s">
        <v>64</v>
      </c>
      <c r="C54" s="264"/>
      <c r="D54" s="304" t="s">
        <v>65</v>
      </c>
      <c r="E54" s="240"/>
      <c r="F54" s="240"/>
      <c r="G54" s="240"/>
      <c r="H54" s="240"/>
      <c r="I54" s="240"/>
      <c r="J54" s="240"/>
      <c r="K54" s="240"/>
    </row>
    <row r="55" spans="1:11" ht="60">
      <c r="A55" s="237"/>
      <c r="B55" s="1619"/>
      <c r="C55" s="264"/>
      <c r="D55" s="305" t="s">
        <v>170</v>
      </c>
      <c r="E55" s="240"/>
      <c r="F55" s="240"/>
      <c r="G55" s="240"/>
      <c r="H55" s="240"/>
      <c r="I55" s="240"/>
      <c r="J55" s="240"/>
      <c r="K55" s="240"/>
    </row>
    <row r="56" spans="1:11">
      <c r="A56" s="237"/>
      <c r="B56" s="1619"/>
      <c r="C56" s="264"/>
      <c r="D56" s="304" t="s">
        <v>139</v>
      </c>
      <c r="E56" s="240"/>
      <c r="F56" s="240"/>
      <c r="G56" s="240"/>
      <c r="H56" s="240"/>
      <c r="I56" s="240"/>
      <c r="J56" s="240"/>
      <c r="K56" s="240"/>
    </row>
    <row r="57" spans="1:11">
      <c r="A57" s="237"/>
      <c r="B57" s="1619"/>
      <c r="C57" s="264"/>
      <c r="D57" s="305" t="s">
        <v>69</v>
      </c>
      <c r="E57" s="240"/>
      <c r="F57" s="240"/>
      <c r="G57" s="240"/>
      <c r="H57" s="240"/>
      <c r="I57" s="240"/>
      <c r="J57" s="240"/>
      <c r="K57" s="240"/>
    </row>
    <row r="58" spans="1:11">
      <c r="A58" s="237"/>
      <c r="B58" s="1619"/>
      <c r="C58" s="264"/>
      <c r="D58" s="305" t="s">
        <v>171</v>
      </c>
      <c r="E58" s="240"/>
      <c r="F58" s="240"/>
      <c r="G58" s="240"/>
      <c r="H58" s="240"/>
      <c r="I58" s="240"/>
      <c r="J58" s="240"/>
      <c r="K58" s="240"/>
    </row>
    <row r="59" spans="1:11">
      <c r="A59" s="237"/>
      <c r="B59" s="1619"/>
      <c r="C59" s="264"/>
      <c r="D59" s="305" t="s">
        <v>172</v>
      </c>
      <c r="E59" s="240"/>
      <c r="F59" s="240"/>
      <c r="G59" s="240"/>
      <c r="H59" s="240"/>
      <c r="I59" s="240"/>
      <c r="J59" s="240"/>
      <c r="K59" s="240"/>
    </row>
    <row r="60" spans="1:11">
      <c r="A60" s="237"/>
      <c r="B60" s="1619"/>
      <c r="C60" s="264"/>
      <c r="D60" s="305" t="s">
        <v>173</v>
      </c>
      <c r="E60" s="240"/>
      <c r="F60" s="240"/>
      <c r="G60" s="240"/>
      <c r="H60" s="240"/>
      <c r="I60" s="240"/>
      <c r="J60" s="240"/>
      <c r="K60" s="240"/>
    </row>
    <row r="61" spans="1:11">
      <c r="A61" s="237"/>
      <c r="B61" s="1619"/>
      <c r="C61" s="264"/>
      <c r="D61" s="305" t="s">
        <v>174</v>
      </c>
      <c r="E61" s="240"/>
      <c r="F61" s="240"/>
      <c r="G61" s="240"/>
      <c r="H61" s="240"/>
      <c r="I61" s="240"/>
      <c r="J61" s="240"/>
      <c r="K61" s="240"/>
    </row>
    <row r="62" spans="1:11" ht="15.75" thickBot="1">
      <c r="A62" s="237"/>
      <c r="B62" s="1620"/>
      <c r="C62" s="274"/>
      <c r="D62" s="299"/>
      <c r="E62" s="240"/>
      <c r="F62" s="240"/>
      <c r="G62" s="240"/>
      <c r="H62" s="240"/>
      <c r="I62" s="240"/>
      <c r="J62" s="240"/>
      <c r="K62" s="240"/>
    </row>
    <row r="63" spans="1:11" ht="24.75" thickBot="1">
      <c r="A63" s="237"/>
      <c r="B63" s="277" t="s">
        <v>77</v>
      </c>
      <c r="C63" s="274"/>
      <c r="D63" s="267"/>
      <c r="E63" s="240"/>
      <c r="F63" s="240"/>
      <c r="G63" s="240"/>
      <c r="H63" s="240"/>
      <c r="I63" s="240"/>
      <c r="J63" s="240"/>
      <c r="K63" s="240"/>
    </row>
    <row r="64" spans="1:11" ht="108">
      <c r="A64" s="237"/>
      <c r="B64" s="1618" t="s">
        <v>78</v>
      </c>
      <c r="C64" s="264"/>
      <c r="D64" s="305" t="s">
        <v>175</v>
      </c>
      <c r="E64" s="240"/>
      <c r="F64" s="240"/>
      <c r="G64" s="240"/>
      <c r="H64" s="240"/>
      <c r="I64" s="240"/>
      <c r="J64" s="240"/>
      <c r="K64" s="240"/>
    </row>
    <row r="65" spans="1:11" ht="96">
      <c r="A65" s="237"/>
      <c r="B65" s="1619"/>
      <c r="C65" s="264"/>
      <c r="D65" s="305" t="s">
        <v>176</v>
      </c>
      <c r="E65" s="240"/>
      <c r="F65" s="240"/>
      <c r="G65" s="240"/>
      <c r="H65" s="240"/>
      <c r="I65" s="240"/>
      <c r="J65" s="240"/>
      <c r="K65" s="240"/>
    </row>
    <row r="66" spans="1:11" ht="120.75" thickBot="1">
      <c r="A66" s="237"/>
      <c r="B66" s="1620"/>
      <c r="C66" s="274"/>
      <c r="D66" s="267" t="s">
        <v>177</v>
      </c>
      <c r="E66" s="240"/>
      <c r="F66" s="240"/>
      <c r="G66" s="240"/>
      <c r="H66" s="240"/>
      <c r="I66" s="240"/>
      <c r="J66" s="240"/>
      <c r="K66" s="240"/>
    </row>
    <row r="67" spans="1:11">
      <c r="A67" s="237"/>
      <c r="B67" s="1618" t="s">
        <v>95</v>
      </c>
      <c r="C67" s="264"/>
      <c r="D67" s="305"/>
      <c r="E67" s="240"/>
      <c r="F67" s="240"/>
      <c r="G67" s="240"/>
      <c r="H67" s="240"/>
      <c r="I67" s="240"/>
      <c r="J67" s="240"/>
      <c r="K67" s="240"/>
    </row>
    <row r="68" spans="1:11">
      <c r="A68" s="237"/>
      <c r="B68" s="1619"/>
      <c r="C68" s="264"/>
      <c r="D68" s="306"/>
      <c r="E68" s="240"/>
      <c r="F68" s="240"/>
      <c r="G68" s="240"/>
      <c r="H68" s="240"/>
      <c r="I68" s="240"/>
      <c r="J68" s="240"/>
      <c r="K68" s="240"/>
    </row>
    <row r="69" spans="1:11">
      <c r="A69" s="237"/>
      <c r="B69" s="1619"/>
      <c r="C69" s="264"/>
      <c r="D69" s="305" t="s">
        <v>96</v>
      </c>
      <c r="E69" s="240"/>
      <c r="F69" s="240"/>
      <c r="G69" s="240"/>
      <c r="H69" s="240"/>
      <c r="I69" s="240"/>
      <c r="J69" s="240"/>
      <c r="K69" s="240"/>
    </row>
    <row r="70" spans="1:11" ht="37.5">
      <c r="A70" s="237"/>
      <c r="B70" s="1619"/>
      <c r="C70" s="264"/>
      <c r="D70" s="305" t="s">
        <v>178</v>
      </c>
      <c r="E70" s="240"/>
      <c r="F70" s="240"/>
      <c r="G70" s="240"/>
      <c r="H70" s="240"/>
      <c r="I70" s="240"/>
      <c r="J70" s="240"/>
      <c r="K70" s="240"/>
    </row>
    <row r="71" spans="1:11" ht="37.5">
      <c r="A71" s="237"/>
      <c r="B71" s="1619"/>
      <c r="C71" s="264"/>
      <c r="D71" s="305" t="s">
        <v>179</v>
      </c>
      <c r="E71" s="240"/>
      <c r="F71" s="240"/>
      <c r="G71" s="240"/>
      <c r="H71" s="240"/>
      <c r="I71" s="240"/>
      <c r="J71" s="240"/>
      <c r="K71" s="240"/>
    </row>
    <row r="72" spans="1:11" ht="37.5">
      <c r="A72" s="237"/>
      <c r="B72" s="1619"/>
      <c r="C72" s="264"/>
      <c r="D72" s="305" t="s">
        <v>180</v>
      </c>
      <c r="E72" s="240"/>
      <c r="F72" s="240"/>
      <c r="G72" s="240"/>
      <c r="H72" s="240"/>
      <c r="I72" s="240"/>
      <c r="J72" s="240"/>
      <c r="K72" s="240"/>
    </row>
    <row r="73" spans="1:11" ht="48.75" thickBot="1">
      <c r="A73" s="237"/>
      <c r="B73" s="1620"/>
      <c r="C73" s="274"/>
      <c r="D73" s="267" t="s">
        <v>181</v>
      </c>
      <c r="E73" s="240"/>
      <c r="F73" s="240"/>
      <c r="G73" s="240"/>
      <c r="H73" s="240"/>
      <c r="I73" s="240"/>
      <c r="J73" s="240"/>
      <c r="K73" s="240"/>
    </row>
    <row r="74" spans="1:11">
      <c r="A74" s="237"/>
      <c r="B74" s="240"/>
      <c r="C74" s="257"/>
      <c r="D74" s="240"/>
      <c r="E74" s="240"/>
      <c r="F74" s="240"/>
      <c r="G74" s="240"/>
      <c r="H74" s="240"/>
      <c r="I74" s="240"/>
      <c r="J74" s="240"/>
      <c r="K74" s="240"/>
    </row>
    <row r="75" spans="1:11">
      <c r="A75" s="237"/>
      <c r="B75" s="240"/>
      <c r="C75" s="257"/>
      <c r="D75" s="240"/>
      <c r="E75" s="240"/>
      <c r="F75" s="240"/>
      <c r="G75" s="240"/>
      <c r="H75" s="240"/>
      <c r="I75" s="240"/>
      <c r="J75" s="240"/>
      <c r="K75" s="240"/>
    </row>
  </sheetData>
  <sheetProtection sheet="1" objects="1" scenarios="1"/>
  <mergeCells count="23">
    <mergeCell ref="B10:D10"/>
    <mergeCell ref="F10:S10"/>
    <mergeCell ref="F11:S11"/>
    <mergeCell ref="E12:R12"/>
    <mergeCell ref="E13:R13"/>
    <mergeCell ref="B67:B73"/>
    <mergeCell ref="B15:B22"/>
    <mergeCell ref="D23:J23"/>
    <mergeCell ref="D24:J24"/>
    <mergeCell ref="B26:E26"/>
    <mergeCell ref="B27:B33"/>
    <mergeCell ref="B35:E35"/>
    <mergeCell ref="D15:J15"/>
    <mergeCell ref="D18:J18"/>
    <mergeCell ref="B36:B42"/>
    <mergeCell ref="B54:B62"/>
    <mergeCell ref="B64:B66"/>
    <mergeCell ref="B49:E49"/>
    <mergeCell ref="A1:P1"/>
    <mergeCell ref="A2:P2"/>
    <mergeCell ref="A3:P3"/>
    <mergeCell ref="A4:D4"/>
    <mergeCell ref="A5:P5"/>
  </mergeCells>
  <conditionalFormatting sqref="F10">
    <cfRule type="notContainsBlanks" dxfId="120" priority="4">
      <formula>LEN(TRIM(F10))&gt;0</formula>
    </cfRule>
  </conditionalFormatting>
  <conditionalFormatting sqref="F11:S11">
    <cfRule type="expression" dxfId="119" priority="2">
      <formula>E11="NO SE REPORTA"</formula>
    </cfRule>
    <cfRule type="expression" dxfId="118" priority="3">
      <formula>E10="NO APLICA"</formula>
    </cfRule>
  </conditionalFormatting>
  <conditionalFormatting sqref="E12:R12">
    <cfRule type="expression" dxfId="117"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3622047244094491" right="0.23622047244094491" top="0.74803149606299213" bottom="0.74803149606299213" header="0.31496062992125984" footer="0.31496062992125984"/>
  <pageSetup paperSize="17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9</vt:i4>
      </vt:variant>
    </vt:vector>
  </HeadingPairs>
  <TitlesOfParts>
    <vt:vector size="45" baseType="lpstr">
      <vt:lpstr>Datos Generales</vt:lpstr>
      <vt:lpstr>Anexo 1 Matriz Inf Gestión</vt:lpstr>
      <vt:lpstr>Anexo 2 Protocolo Inf Gestión</vt:lpstr>
      <vt:lpstr>Anexo 3 Matriz IMG</vt:lpstr>
      <vt:lpstr>Anexo 5-1 Ingresos</vt:lpstr>
      <vt:lpstr>Anexo 5-2 Gastos</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Obs Generales</vt:lpstr>
      <vt:lpstr>'9RUNAP'!_Toc467769476</vt:lpstr>
      <vt:lpstr>'Anexo 1 Matriz Inf Gestión'!Área_de_impresión</vt:lpstr>
      <vt:lpstr>'Anexo 2 Protocolo Inf Gestión'!Área_de_impresión</vt:lpstr>
      <vt:lpstr>'Anexo 5-1 Ingresos'!Área_de_impresión</vt:lpstr>
      <vt:lpstr>'Anexo 5-2 Gastos'!Área_de_impresión</vt:lpstr>
      <vt:lpstr>Lista_CAR</vt:lpstr>
      <vt:lpstr>REPORTE</vt:lpstr>
      <vt:lpstr>SI</vt:lpstr>
      <vt:lpstr>Vigencias</vt:lpstr>
    </vt:vector>
  </TitlesOfParts>
  <Manager>nortiz@claro.net.co</Manager>
  <Company>Derechos protegidos de autor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PC1</cp:lastModifiedBy>
  <cp:lastPrinted>2019-03-28T16:05:19Z</cp:lastPrinted>
  <dcterms:created xsi:type="dcterms:W3CDTF">2016-11-26T19:57:08Z</dcterms:created>
  <dcterms:modified xsi:type="dcterms:W3CDTF">2019-07-29T20:33:53Z</dcterms:modified>
  <cp:category>Capacitación</cp:category>
  <cp:contentStatus>Preliminar</cp:contentStatus>
</cp:coreProperties>
</file>