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60" windowWidth="10110" windowHeight="5670" activeTab="7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'POA-01'!$A$1:$J$23</definedName>
    <definedName name="_xlnm.Print_Area" localSheetId="4">'POA-05'!$A$1:$I$30</definedName>
    <definedName name="_xlnm.Print_Area" localSheetId="6">'POA-07'!$A$1:$P$52</definedName>
    <definedName name="_xlnm.Print_Titles" localSheetId="0">'POA-01'!$1:$15</definedName>
    <definedName name="_xlnm.Print_Titles" localSheetId="6">'POA-07'!$1:$12</definedName>
    <definedName name="_xlnm.Print_Titles" localSheetId="7">PTOXACTIV!$1:$12</definedName>
  </definedNames>
  <calcPr calcId="125725" fullCalcOnLoad="1"/>
</workbook>
</file>

<file path=xl/calcChain.xml><?xml version="1.0" encoding="utf-8"?>
<calcChain xmlns="http://schemas.openxmlformats.org/spreadsheetml/2006/main">
  <c r="D14" i="14"/>
  <c r="C14"/>
  <c r="F14"/>
  <c r="O15" i="4"/>
  <c r="N15"/>
  <c r="M15"/>
  <c r="L15"/>
  <c r="K15"/>
  <c r="J15"/>
  <c r="I15"/>
  <c r="H15"/>
  <c r="G15"/>
  <c r="F15"/>
  <c r="E15"/>
  <c r="D15"/>
  <c r="D13" s="1"/>
  <c r="E13"/>
  <c r="L13"/>
  <c r="M13"/>
  <c r="N13"/>
  <c r="O13"/>
  <c r="C14"/>
  <c r="K14"/>
  <c r="K13" s="1"/>
  <c r="J14"/>
  <c r="J13" s="1"/>
  <c r="I14"/>
  <c r="I13" s="1"/>
  <c r="H14"/>
  <c r="H13" s="1"/>
  <c r="G14"/>
  <c r="G13" s="1"/>
  <c r="F14"/>
  <c r="F13" s="1"/>
  <c r="J20" i="9"/>
  <c r="C10" i="1"/>
  <c r="C21"/>
  <c r="D49" i="14"/>
  <c r="B64"/>
  <c r="C20" i="1"/>
  <c r="D22" i="5"/>
  <c r="J18" i="9"/>
  <c r="I16" i="14"/>
  <c r="J16"/>
  <c r="G16"/>
  <c r="F16"/>
  <c r="E70"/>
  <c r="D70"/>
  <c r="C70"/>
  <c r="J48"/>
  <c r="I48"/>
  <c r="H48"/>
  <c r="G48"/>
  <c r="F48"/>
  <c r="E48"/>
  <c r="C49"/>
  <c r="C42"/>
  <c r="K42" s="1"/>
  <c r="C38"/>
  <c r="K38" s="1"/>
  <c r="E30"/>
  <c r="C30"/>
  <c r="K30" s="1"/>
  <c r="I20" i="5"/>
  <c r="H18" i="14"/>
  <c r="H16" s="1"/>
  <c r="E18"/>
  <c r="E16" s="1"/>
  <c r="K16" s="1"/>
  <c r="C18"/>
  <c r="K18"/>
  <c r="C30" i="4"/>
  <c r="N30"/>
  <c r="K30"/>
  <c r="J30"/>
  <c r="H30"/>
  <c r="F30"/>
  <c r="C42"/>
  <c r="I42" s="1"/>
  <c r="C38"/>
  <c r="N38"/>
  <c r="C23" i="1"/>
  <c r="C10" i="5"/>
  <c r="C10" i="6"/>
  <c r="C11" i="8"/>
  <c r="D27" i="5"/>
  <c r="D18"/>
  <c r="D16"/>
  <c r="H17" i="7"/>
  <c r="H16"/>
  <c r="I19" i="8"/>
  <c r="I20"/>
  <c r="J19" i="9"/>
  <c r="J25"/>
  <c r="J24"/>
  <c r="J23"/>
  <c r="J22"/>
  <c r="C21" i="6"/>
  <c r="C45" i="11"/>
  <c r="C10" i="7"/>
  <c r="C12" s="1"/>
  <c r="C10" i="9"/>
  <c r="C12" s="1"/>
  <c r="C12" i="1"/>
  <c r="C12" i="5" s="1"/>
  <c r="C30" i="6"/>
  <c r="C44" i="11"/>
  <c r="I21" i="8"/>
  <c r="J9"/>
  <c r="J26" i="9"/>
  <c r="J28" s="1"/>
  <c r="J9"/>
  <c r="C11"/>
  <c r="C11" i="6"/>
  <c r="C14" i="11"/>
  <c r="C15"/>
  <c r="H19" i="7"/>
  <c r="C45" i="4"/>
  <c r="C41"/>
  <c r="C39"/>
  <c r="C37"/>
  <c r="C36"/>
  <c r="C27"/>
  <c r="C23"/>
  <c r="C22"/>
  <c r="P51"/>
  <c r="P50"/>
  <c r="P47"/>
  <c r="P46"/>
  <c r="P45"/>
  <c r="P44"/>
  <c r="P43"/>
  <c r="P41"/>
  <c r="P40"/>
  <c r="P39"/>
  <c r="P37"/>
  <c r="P36"/>
  <c r="P35"/>
  <c r="P34"/>
  <c r="P33"/>
  <c r="P32"/>
  <c r="P31"/>
  <c r="O30"/>
  <c r="O16"/>
  <c r="D30"/>
  <c r="P29"/>
  <c r="P28"/>
  <c r="P27"/>
  <c r="P26"/>
  <c r="P25"/>
  <c r="P24"/>
  <c r="P23"/>
  <c r="P22"/>
  <c r="P21"/>
  <c r="P20"/>
  <c r="P19"/>
  <c r="D16"/>
  <c r="C39" i="11"/>
  <c r="C38"/>
  <c r="C42"/>
  <c r="C23"/>
  <c r="C22"/>
  <c r="C35"/>
  <c r="C40"/>
  <c r="C12" i="8"/>
  <c r="C11" i="7"/>
  <c r="C11" i="5"/>
  <c r="C34" i="11"/>
  <c r="C30"/>
  <c r="G17" i="4"/>
  <c r="C17" i="11"/>
  <c r="P17" i="4"/>
  <c r="I22" i="8"/>
  <c r="C18" i="4"/>
  <c r="J18" s="1"/>
  <c r="J16" s="1"/>
  <c r="C16"/>
  <c r="C18" i="11"/>
  <c r="E30" i="4"/>
  <c r="P30" s="1"/>
  <c r="G30"/>
  <c r="I30"/>
  <c r="C13" i="8"/>
  <c r="C16" i="11"/>
  <c r="M30" i="4"/>
  <c r="E38"/>
  <c r="G38"/>
  <c r="I38"/>
  <c r="K38"/>
  <c r="M38"/>
  <c r="C16" i="14"/>
  <c r="L30" i="4"/>
  <c r="F38"/>
  <c r="F16"/>
  <c r="H38"/>
  <c r="J38"/>
  <c r="L38"/>
  <c r="L16"/>
  <c r="M16"/>
  <c r="P38"/>
  <c r="K48" i="14"/>
  <c r="C32" i="6"/>
  <c r="K49" i="14"/>
  <c r="D35" i="5"/>
  <c r="C49" i="4"/>
  <c r="N49" s="1"/>
  <c r="I49"/>
  <c r="K49"/>
  <c r="D34" i="5"/>
  <c r="C48" i="4"/>
  <c r="K48"/>
  <c r="E48"/>
  <c r="M48"/>
  <c r="F48"/>
  <c r="N48"/>
  <c r="L48"/>
  <c r="G48"/>
  <c r="H48"/>
  <c r="J48"/>
  <c r="P48" s="1"/>
  <c r="I48"/>
  <c r="G18" l="1"/>
  <c r="I18"/>
  <c r="I16" s="1"/>
  <c r="K18"/>
  <c r="K16" s="1"/>
  <c r="N42"/>
  <c r="N16" s="1"/>
  <c r="J49"/>
  <c r="P49" s="1"/>
  <c r="E16"/>
  <c r="H18"/>
  <c r="H16" s="1"/>
  <c r="E15" i="14"/>
  <c r="H15"/>
  <c r="I15"/>
  <c r="I13" s="1"/>
  <c r="I52" s="1"/>
  <c r="I62" s="1"/>
  <c r="J15"/>
  <c r="J13" s="1"/>
  <c r="J52" s="1"/>
  <c r="J63" s="1"/>
  <c r="C15"/>
  <c r="D36" i="5"/>
  <c r="C15" i="4"/>
  <c r="D15" i="14"/>
  <c r="D13" s="1"/>
  <c r="D52" s="1"/>
  <c r="D57" s="1"/>
  <c r="F15"/>
  <c r="F13" s="1"/>
  <c r="F52" s="1"/>
  <c r="F59" s="1"/>
  <c r="G15"/>
  <c r="G13" s="1"/>
  <c r="G52" s="1"/>
  <c r="G60" s="1"/>
  <c r="H14"/>
  <c r="E14"/>
  <c r="D37" i="5"/>
  <c r="C13" i="11"/>
  <c r="C18" i="1"/>
  <c r="C22"/>
  <c r="C12" i="6"/>
  <c r="C17" i="1"/>
  <c r="C19"/>
  <c r="G16" i="4" l="1"/>
  <c r="P18"/>
  <c r="P16" s="1"/>
  <c r="P42"/>
  <c r="H13" i="14"/>
  <c r="H52" s="1"/>
  <c r="H61" s="1"/>
  <c r="C13"/>
  <c r="C52" s="1"/>
  <c r="K15"/>
  <c r="D38" i="5"/>
  <c r="I38" s="1"/>
  <c r="D67" i="14"/>
  <c r="C46" i="11"/>
  <c r="C48" s="1"/>
  <c r="C13" i="4"/>
  <c r="E13" i="14"/>
  <c r="K14"/>
  <c r="H52" i="4" l="1"/>
  <c r="E52"/>
  <c r="M52"/>
  <c r="C16" i="1"/>
  <c r="C24" s="1"/>
  <c r="C56" i="14"/>
  <c r="P15" i="4"/>
  <c r="P13" s="1"/>
  <c r="P14"/>
  <c r="E52" i="14"/>
  <c r="E58" s="1"/>
  <c r="K13"/>
  <c r="K52" s="1"/>
  <c r="O52" i="4"/>
  <c r="F52"/>
  <c r="J52"/>
  <c r="N52"/>
  <c r="G52"/>
  <c r="K52"/>
  <c r="C52"/>
  <c r="L52"/>
  <c r="I52"/>
  <c r="C67" i="14" l="1"/>
  <c r="D52" i="4"/>
  <c r="P52" s="1"/>
</calcChain>
</file>

<file path=xl/sharedStrings.xml><?xml version="1.0" encoding="utf-8"?>
<sst xmlns="http://schemas.openxmlformats.org/spreadsheetml/2006/main" count="554" uniqueCount="256">
  <si>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</si>
  <si>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</si>
  <si>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</si>
  <si>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</si>
  <si>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</si>
  <si>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</si>
  <si>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</si>
  <si>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</si>
  <si>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</si>
  <si>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</si>
  <si>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</si>
  <si>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</si>
  <si>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</si>
  <si>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</si>
  <si>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</si>
  <si>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</si>
  <si>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</si>
  <si>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</si>
  <si>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</si>
  <si>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</si>
  <si>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</si>
  <si>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</si>
  <si>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</si>
  <si>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</si>
  <si>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</si>
  <si>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</si>
  <si>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</si>
  <si>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</si>
  <si>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</si>
  <si>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</si>
  <si>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</si>
  <si>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</si>
  <si>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</si>
  <si>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</si>
  <si>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</si>
  <si>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</si>
  <si>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</si>
  <si>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</si>
  <si>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</si>
  <si>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</si>
  <si>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</si>
  <si>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</si>
  <si>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</si>
  <si>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</si>
  <si>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</si>
  <si>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</si>
  <si>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</si>
  <si>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</si>
  <si>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</si>
  <si>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</si>
  <si>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</si>
  <si>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</si>
  <si>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</si>
  <si>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</si>
  <si>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</si>
  <si>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</si>
  <si>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</si>
  <si>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</si>
  <si>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</si>
  <si>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</si>
  <si>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</si>
  <si>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</si>
  <si>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</si>
  <si>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</si>
  <si>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</si>
  <si>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</si>
  <si>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</si>
  <si>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</si>
  <si>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</si>
  <si>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</si>
  <si>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</si>
  <si>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</si>
  <si>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</si>
  <si>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</si>
  <si>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</si>
  <si>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</si>
  <si>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</si>
  <si>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</si>
  <si>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</si>
  <si>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</si>
  <si>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</si>
  <si>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</si>
  <si>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</si>
  <si>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</si>
  <si>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</si>
  <si>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</si>
  <si>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</si>
  <si>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</si>
  <si>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</si>
  <si>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</si>
  <si>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</si>
  <si>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</si>
  <si>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</si>
  <si>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</si>
  <si>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</si>
  <si>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</si>
  <si>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</si>
  <si>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</si>
  <si>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</si>
  <si>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</si>
  <si>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</si>
  <si>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</si>
  <si>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</si>
  <si>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</si>
  <si>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</si>
  <si>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</si>
  <si>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</si>
  <si>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</si>
  <si>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</si>
  <si>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</si>
  <si>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</si>
  <si>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</si>
  <si>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</si>
  <si>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</si>
  <si>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</si>
  <si>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</si>
  <si>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</si>
  <si>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</si>
  <si>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</si>
  <si>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</si>
  <si>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</si>
  <si>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</si>
  <si>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</si>
  <si>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</si>
  <si>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</si>
  <si>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</si>
  <si>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</si>
  <si>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</si>
  <si>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</si>
  <si>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</si>
  <si>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</si>
  <si>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</si>
  <si>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</si>
  <si>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</si>
  <si>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</si>
  <si>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</si>
  <si>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</si>
  <si>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</si>
  <si>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</si>
  <si>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</si>
  <si>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</si>
  <si>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</si>
  <si>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</si>
  <si>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</si>
  <si>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</si>
  <si>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</si>
  <si>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</si>
  <si>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</si>
  <si>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</si>
  <si>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</si>
  <si>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</si>
  <si>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</si>
  <si>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</si>
  <si>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</si>
  <si>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</si>
  <si>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</si>
  <si>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</si>
  <si>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</si>
  <si>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</si>
  <si>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</si>
  <si>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</si>
  <si>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</si>
  <si>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</si>
  <si>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</si>
  <si>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</si>
  <si>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</si>
  <si>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</si>
  <si>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</si>
  <si>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</si>
  <si>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</si>
  <si>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</si>
  <si>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</si>
  <si>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</si>
  <si>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</si>
  <si>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</si>
  <si>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</si>
  <si>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 xml:space="preserve">                              </t>
  </si>
  <si>
    <t>SECCION: I</t>
  </si>
  <si>
    <t>Convenios de Asociación y Cooperación para el fomento de Proyectos Ciudadanos de Educación Ambiental (PROCEDAS y PRAUS) impulsados.</t>
  </si>
  <si>
    <t>Convenios de Asociación y Cooperación para el Fortalecimiento de Organizaciones de base comunitaria, ONG ambientales, Promotores Ambientales Comunitarios.</t>
  </si>
  <si>
    <t>Procesos de Selección Abreviada para contratar la capacitación sobre mecanismos de participación veeduría  y gestión ambiental a comunidades vulnerables.</t>
  </si>
  <si>
    <t>Selección Abreviada para el desarrollo de proyectos de vivienda de interés social  y zonas verdes arborizadas.</t>
  </si>
  <si>
    <t>Concurso de Méritos para la realización de Campañas de Promoción y divulgación de estrategias ciudadanas para minimizar los efectos del cambio climático.</t>
  </si>
  <si>
    <t>Selección Abreviada para la Implementación de capacitaciones en Gestión Ambiental Urbana a Comunidades.</t>
  </si>
  <si>
    <t>Selección Abreviada para asesorar a MIPYMES en Gestión Ambiental Empresarial.</t>
  </si>
  <si>
    <t>Concurso de Méritos para capacitar en Cambio Climático a comunidades vulnerables.</t>
  </si>
  <si>
    <t>SUBTOTAL</t>
  </si>
  <si>
    <t>Héctor Arévalo - Técnico en Conducción de Vehículo</t>
  </si>
  <si>
    <t>Técnico con experiencia en manejo de vehículos para campo y ciudad</t>
  </si>
  <si>
    <t>apoyo para la movilización de los profesionales a sitios requeridos</t>
  </si>
  <si>
    <t>Zora Mendoza Acosta - Trabajadora Social</t>
  </si>
  <si>
    <t>Profesional con perfil en disciplinas sociales y experiencia con organizaciones de base social</t>
  </si>
  <si>
    <t>Realizar acciones de Fortalecimiento Organizacional, liderazgo amb. y emprendimiento</t>
  </si>
  <si>
    <t>Wilmer Gómez Freile - Ingeniero Industrial</t>
  </si>
  <si>
    <t>Profesional con perfil en disciplinas de ingenierías o ciencias sociales y experiencia en trabajo comunitario</t>
  </si>
  <si>
    <t>Formulación de proyecto ambiental veedurías y formación de promotores amb.</t>
  </si>
  <si>
    <t>Carlos Piña Perpiñan Técnico Operativo</t>
  </si>
  <si>
    <t>Técnico de Apoyo a trabajos comunitarios y  organizaciones de base comunitaria</t>
  </si>
  <si>
    <t>Apoyar en el centro de documentación ambiental y el seguimiento a planes de gestión ambiental de las MIPyME</t>
  </si>
  <si>
    <t>Pasantes universitarios</t>
  </si>
  <si>
    <t>Practiante de trabajo social</t>
  </si>
  <si>
    <t>apoyo de activiades de participación</t>
  </si>
  <si>
    <t>Ingeniero Ambiental</t>
  </si>
  <si>
    <t>Acompañamiento y enlace de actividades de eduación ambiental en otras areas de la subdirección</t>
  </si>
  <si>
    <t>Elaboraciòn de Corrales en madera pulida y pintada con logo corporativo y mensaje de dimensiones de 1.2 *0,70*070</t>
  </si>
  <si>
    <t>Arboles frutales y de sombrio</t>
  </si>
  <si>
    <t>Mayo</t>
  </si>
  <si>
    <t>MESES</t>
  </si>
  <si>
    <t>Protección de la Arborización desarrollada en Avenidas, Parques y Sitios Públicos del Departamento</t>
  </si>
  <si>
    <t>Prevención de la erosión y Adaptación al cambio climático en el Departamento</t>
  </si>
  <si>
    <t>Compra de video beam</t>
  </si>
  <si>
    <t>Soporte de activides de educación ambiental</t>
  </si>
  <si>
    <t xml:space="preserve">Soporte a actividades de cultura ambiental </t>
  </si>
  <si>
    <t>Cámara de Fotografía Full HD Semi profesional, 14 megapixeles, Zoom Oprtico de 5X minimo, Flash incorporado</t>
  </si>
  <si>
    <t>unidad</t>
  </si>
  <si>
    <t>Abril</t>
  </si>
  <si>
    <t>Marzo</t>
  </si>
  <si>
    <t xml:space="preserve">Abril </t>
  </si>
  <si>
    <t>Diciembre</t>
  </si>
  <si>
    <t>Aportes recursos económicos  ,apoyo tecnico y seguimiento</t>
  </si>
  <si>
    <t xml:space="preserve">Desarrollar la acciones  de educaciòn ambiental no formal   en las comunidades  en diferentes Municipios </t>
  </si>
  <si>
    <t>Equipo de Educación ambiental</t>
  </si>
  <si>
    <t>Aportes recursos económicos, apoyo tecnico y seguimiento</t>
  </si>
  <si>
    <t>Aportes recursos económicos  y apoyo tecnico</t>
  </si>
  <si>
    <t>Soporte de acciones de participación comunitaria</t>
  </si>
  <si>
    <t>Maquinaria y Equipos</t>
  </si>
  <si>
    <t>Materiales y Suministro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</si>
  <si>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</si>
  <si>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</si>
  <si>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</si>
  <si>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</si>
  <si>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</si>
  <si>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</si>
  <si>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Seguros</t>
  </si>
  <si>
    <t>Impuestos, tasas y multas</t>
  </si>
  <si>
    <t>Combustibles y peajes</t>
  </si>
  <si>
    <t>Reparación de vehículos</t>
  </si>
  <si>
    <t>Dotación de personal</t>
  </si>
  <si>
    <t>Bienestar social</t>
  </si>
  <si>
    <t>Capacitación</t>
  </si>
  <si>
    <t>Servicios de vigilancia</t>
  </si>
  <si>
    <t>PERSONAL PLANTA</t>
  </si>
  <si>
    <t>PERSONAL CONTRATOS</t>
  </si>
  <si>
    <t>PARTICIPACIÓN COMUNITARIA</t>
  </si>
  <si>
    <t># de Proyectos Ciudadanos de Educación Ambiental (PROCEDAS y PRAUS) impulsados.</t>
  </si>
  <si>
    <t># de Organizaciones de base comunitaria, ONG ambientales, Promotores fortalecidos.</t>
  </si>
  <si>
    <t># de personas capacitadas sobre mecanismos de participación veeduría  y gestión ambiental.</t>
  </si>
  <si>
    <t># de proyectos de vivienda de interés social  y zonas verdes arborizadas.</t>
  </si>
  <si>
    <t>Campañas de Promoción y divulgación de estrategias ciudadanas para minimizar los efectos del cambio climático.</t>
  </si>
  <si>
    <t># de personas capacitadas en Gestión Ambiental Urbana.</t>
  </si>
  <si>
    <t># de MIPYMES asesoradas en Gestión Ambiental Empresarial.</t>
  </si>
  <si>
    <t># de personas capacitadas en Cambio Climático.</t>
  </si>
  <si>
    <t>ACTIV 7</t>
  </si>
  <si>
    <t>ACTIV 8</t>
  </si>
  <si>
    <t>Convenios</t>
  </si>
  <si>
    <t>0320-0900-1</t>
  </si>
</sst>
</file>

<file path=xl/styles.xml><?xml version="1.0" encoding="utf-8"?>
<styleSheet xmlns="http://schemas.openxmlformats.org/spreadsheetml/2006/main">
  <numFmts count="6">
    <numFmt numFmtId="172" formatCode="&quot;$&quot;\ #,##0;[Red]&quot;$&quot;\ \-#,##0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&quot;$&quot;\ #,##0"/>
    <numFmt numFmtId="176" formatCode="#,##0.000000_);\(#,##0.000000\)"/>
    <numFmt numFmtId="177" formatCode="#,##0.0"/>
  </numFmts>
  <fonts count="42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FFFF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0" fillId="0" borderId="0"/>
  </cellStyleXfs>
  <cellXfs count="38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top" wrapText="1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4" fillId="0" borderId="2" xfId="0" applyNumberFormat="1" applyFont="1" applyBorder="1"/>
    <xf numFmtId="3" fontId="15" fillId="0" borderId="2" xfId="0" applyNumberFormat="1" applyFont="1" applyBorder="1"/>
    <xf numFmtId="3" fontId="14" fillId="0" borderId="2" xfId="0" applyNumberFormat="1" applyFont="1" applyBorder="1" applyAlignment="1">
      <alignment horizontal="right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76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0" fontId="18" fillId="0" borderId="1" xfId="0" applyFont="1" applyBorder="1"/>
    <xf numFmtId="3" fontId="5" fillId="0" borderId="0" xfId="0" applyNumberFormat="1" applyFont="1" applyFill="1"/>
    <xf numFmtId="175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3" fontId="15" fillId="0" borderId="1" xfId="0" applyNumberFormat="1" applyFont="1" applyFill="1" applyBorder="1" applyAlignment="1">
      <alignment horizontal="right"/>
    </xf>
    <xf numFmtId="0" fontId="18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0" xfId="0" applyFont="1"/>
    <xf numFmtId="172" fontId="25" fillId="0" borderId="0" xfId="0" applyNumberFormat="1" applyFont="1" applyAlignment="1">
      <alignment vertical="justify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 wrapText="1"/>
    </xf>
    <xf numFmtId="0" fontId="28" fillId="0" borderId="0" xfId="0" applyFont="1" applyAlignment="1">
      <alignment horizontal="center" vertical="justify"/>
    </xf>
    <xf numFmtId="0" fontId="27" fillId="0" borderId="0" xfId="0" applyFont="1" applyAlignment="1">
      <alignment horizontal="left" vertical="top"/>
    </xf>
    <xf numFmtId="0" fontId="27" fillId="0" borderId="0" xfId="0" applyFont="1" applyAlignment="1"/>
    <xf numFmtId="0" fontId="27" fillId="0" borderId="0" xfId="0" applyFont="1"/>
    <xf numFmtId="172" fontId="28" fillId="0" borderId="0" xfId="0" applyNumberFormat="1" applyFont="1" applyAlignment="1">
      <alignment vertical="justify"/>
    </xf>
    <xf numFmtId="0" fontId="28" fillId="0" borderId="0" xfId="0" applyFont="1" applyAlignment="1">
      <alignment horizontal="left" vertical="justify"/>
    </xf>
    <xf numFmtId="173" fontId="28" fillId="0" borderId="0" xfId="2" applyFont="1" applyAlignment="1">
      <alignment horizontal="right" vertical="justify"/>
    </xf>
    <xf numFmtId="174" fontId="28" fillId="0" borderId="0" xfId="1" applyFont="1" applyAlignment="1">
      <alignment vertical="justify"/>
    </xf>
    <xf numFmtId="173" fontId="28" fillId="0" borderId="0" xfId="2" applyFont="1" applyAlignment="1">
      <alignment vertical="justify"/>
    </xf>
    <xf numFmtId="0" fontId="0" fillId="0" borderId="0" xfId="0" applyBorder="1" applyAlignment="1"/>
    <xf numFmtId="0" fontId="29" fillId="0" borderId="0" xfId="0" applyFont="1" applyBorder="1" applyAlignment="1"/>
    <xf numFmtId="0" fontId="0" fillId="0" borderId="0" xfId="0" applyBorder="1" applyAlignment="1">
      <alignment horizontal="center"/>
    </xf>
    <xf numFmtId="0" fontId="27" fillId="0" borderId="0" xfId="0" applyFont="1" applyAlignment="1">
      <alignment horizontal="left" vertical="justify"/>
    </xf>
    <xf numFmtId="0" fontId="23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1" fillId="0" borderId="0" xfId="0" applyFont="1" applyAlignment="1">
      <alignment horizontal="left" vertical="justify"/>
    </xf>
    <xf numFmtId="0" fontId="32" fillId="0" borderId="0" xfId="0" applyFont="1"/>
    <xf numFmtId="0" fontId="32" fillId="0" borderId="0" xfId="0" applyFont="1" applyAlignment="1">
      <alignment horizontal="right"/>
    </xf>
    <xf numFmtId="174" fontId="2" fillId="0" borderId="1" xfId="1" applyFont="1" applyBorder="1" applyAlignment="1">
      <alignment horizontal="right" vertical="top" wrapText="1"/>
    </xf>
    <xf numFmtId="174" fontId="2" fillId="0" borderId="1" xfId="1" applyFont="1" applyBorder="1" applyAlignment="1">
      <alignment vertical="top" wrapText="1"/>
    </xf>
    <xf numFmtId="174" fontId="18" fillId="0" borderId="1" xfId="1" applyFont="1" applyBorder="1"/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2" fillId="3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3" fontId="32" fillId="0" borderId="1" xfId="0" applyNumberFormat="1" applyFont="1" applyBorder="1" applyAlignment="1">
      <alignment horizontal="right" vertical="top" wrapText="1"/>
    </xf>
    <xf numFmtId="174" fontId="26" fillId="0" borderId="1" xfId="1" applyFont="1" applyBorder="1" applyAlignment="1">
      <alignment horizontal="right" vertical="top" wrapText="1"/>
    </xf>
    <xf numFmtId="174" fontId="32" fillId="0" borderId="1" xfId="1" applyFont="1" applyBorder="1" applyAlignment="1">
      <alignment horizontal="right" vertical="top" wrapText="1"/>
    </xf>
    <xf numFmtId="0" fontId="26" fillId="0" borderId="0" xfId="0" applyFont="1"/>
    <xf numFmtId="0" fontId="32" fillId="0" borderId="0" xfId="0" applyFont="1" applyAlignment="1"/>
    <xf numFmtId="0" fontId="32" fillId="3" borderId="4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3" fontId="32" fillId="3" borderId="5" xfId="0" applyNumberFormat="1" applyFont="1" applyFill="1" applyBorder="1" applyAlignment="1">
      <alignment horizontal="center" vertical="center" wrapText="1"/>
    </xf>
    <xf numFmtId="3" fontId="32" fillId="3" borderId="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3" fontId="26" fillId="0" borderId="2" xfId="0" applyNumberFormat="1" applyFont="1" applyBorder="1" applyAlignment="1">
      <alignment horizontal="right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/>
    </xf>
    <xf numFmtId="177" fontId="24" fillId="0" borderId="1" xfId="1" applyNumberFormat="1" applyFont="1" applyFill="1" applyBorder="1" applyAlignment="1">
      <alignment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3" fontId="32" fillId="0" borderId="0" xfId="0" applyNumberFormat="1" applyFont="1" applyAlignment="1">
      <alignment horizontal="right" vertical="top" wrapText="1"/>
    </xf>
    <xf numFmtId="0" fontId="33" fillId="3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174" fontId="32" fillId="0" borderId="1" xfId="1" applyFont="1" applyBorder="1" applyAlignment="1">
      <alignment vertical="top" wrapText="1"/>
    </xf>
    <xf numFmtId="0" fontId="32" fillId="3" borderId="4" xfId="0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center" wrapText="1"/>
    </xf>
    <xf numFmtId="3" fontId="32" fillId="0" borderId="2" xfId="0" applyNumberFormat="1" applyFont="1" applyBorder="1" applyAlignment="1">
      <alignment horizontal="right" vertical="top" wrapText="1"/>
    </xf>
    <xf numFmtId="0" fontId="35" fillId="0" borderId="0" xfId="0" applyFont="1" applyAlignment="1">
      <alignment horizontal="left" vertical="justify"/>
    </xf>
    <xf numFmtId="3" fontId="30" fillId="0" borderId="0" xfId="0" quotePrefix="1" applyNumberFormat="1" applyFont="1" applyAlignment="1">
      <alignment horizontal="left"/>
    </xf>
    <xf numFmtId="3" fontId="30" fillId="0" borderId="0" xfId="0" applyNumberFormat="1" applyFont="1"/>
    <xf numFmtId="3" fontId="30" fillId="0" borderId="0" xfId="0" applyNumberFormat="1" applyFont="1" applyAlignment="1">
      <alignment horizontal="center"/>
    </xf>
    <xf numFmtId="3" fontId="34" fillId="0" borderId="0" xfId="0" applyNumberFormat="1" applyFont="1"/>
    <xf numFmtId="3" fontId="34" fillId="3" borderId="4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34" fillId="0" borderId="2" xfId="0" applyNumberFormat="1" applyFont="1" applyBorder="1"/>
    <xf numFmtId="3" fontId="30" fillId="0" borderId="1" xfId="0" applyNumberFormat="1" applyFont="1" applyBorder="1"/>
    <xf numFmtId="3" fontId="34" fillId="0" borderId="1" xfId="0" applyNumberFormat="1" applyFont="1" applyBorder="1"/>
    <xf numFmtId="3" fontId="34" fillId="2" borderId="1" xfId="0" applyNumberFormat="1" applyFont="1" applyFill="1" applyBorder="1"/>
    <xf numFmtId="174" fontId="15" fillId="0" borderId="0" xfId="0" applyNumberFormat="1" applyFont="1"/>
    <xf numFmtId="0" fontId="28" fillId="0" borderId="0" xfId="0" applyFont="1" applyAlignment="1">
      <alignment horizontal="left" vertical="top"/>
    </xf>
    <xf numFmtId="3" fontId="30" fillId="0" borderId="2" xfId="0" applyNumberFormat="1" applyFont="1" applyBorder="1" applyAlignment="1">
      <alignment horizontal="justify" vertical="top"/>
    </xf>
    <xf numFmtId="3" fontId="30" fillId="0" borderId="1" xfId="0" applyNumberFormat="1" applyFont="1" applyBorder="1" applyAlignment="1">
      <alignment horizontal="justify" vertical="top"/>
    </xf>
    <xf numFmtId="3" fontId="36" fillId="0" borderId="1" xfId="0" applyNumberFormat="1" applyFont="1" applyBorder="1" applyAlignment="1">
      <alignment horizontal="justify" vertical="top" wrapText="1"/>
    </xf>
    <xf numFmtId="3" fontId="30" fillId="0" borderId="1" xfId="0" applyNumberFormat="1" applyFont="1" applyBorder="1" applyAlignment="1">
      <alignment horizontal="justify" vertical="top" wrapText="1"/>
    </xf>
    <xf numFmtId="0" fontId="26" fillId="0" borderId="2" xfId="0" applyFont="1" applyBorder="1" applyAlignment="1">
      <alignment horizontal="justify" vertical="top" wrapText="1"/>
    </xf>
    <xf numFmtId="17" fontId="26" fillId="0" borderId="1" xfId="0" applyNumberFormat="1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justify" vertical="top" wrapText="1"/>
    </xf>
    <xf numFmtId="17" fontId="26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/>
    </xf>
    <xf numFmtId="17" fontId="26" fillId="0" borderId="2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justify" vertical="top" wrapText="1"/>
    </xf>
    <xf numFmtId="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justify" vertical="top"/>
    </xf>
    <xf numFmtId="9" fontId="26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/>
    </xf>
    <xf numFmtId="175" fontId="32" fillId="0" borderId="0" xfId="0" applyNumberFormat="1" applyFont="1" applyBorder="1" applyAlignment="1">
      <alignment vertical="justify"/>
    </xf>
    <xf numFmtId="16" fontId="26" fillId="0" borderId="1" xfId="0" applyNumberFormat="1" applyFont="1" applyBorder="1" applyAlignment="1">
      <alignment horizontal="center" vertical="top" wrapText="1"/>
    </xf>
    <xf numFmtId="174" fontId="6" fillId="0" borderId="0" xfId="0" applyNumberFormat="1" applyFont="1"/>
    <xf numFmtId="3" fontId="5" fillId="0" borderId="0" xfId="0" applyNumberFormat="1" applyFont="1"/>
    <xf numFmtId="174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32" fillId="0" borderId="9" xfId="0" applyFont="1" applyBorder="1" applyAlignment="1">
      <alignment horizontal="left"/>
    </xf>
    <xf numFmtId="0" fontId="32" fillId="0" borderId="9" xfId="0" applyFont="1" applyBorder="1" applyAlignment="1"/>
    <xf numFmtId="0" fontId="13" fillId="3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7" fontId="26" fillId="0" borderId="1" xfId="0" applyNumberFormat="1" applyFont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8" fillId="0" borderId="9" xfId="0" applyFont="1" applyBorder="1" applyAlignment="1">
      <alignment wrapText="1"/>
    </xf>
    <xf numFmtId="0" fontId="28" fillId="0" borderId="9" xfId="0" applyFont="1" applyBorder="1" applyAlignment="1"/>
    <xf numFmtId="0" fontId="28" fillId="0" borderId="0" xfId="0" applyFont="1" applyAlignment="1">
      <alignment horizontal="center" wrapText="1"/>
    </xf>
    <xf numFmtId="0" fontId="2" fillId="0" borderId="10" xfId="0" applyFont="1" applyBorder="1" applyAlignment="1"/>
    <xf numFmtId="173" fontId="32" fillId="0" borderId="0" xfId="2" applyFont="1" applyBorder="1" applyAlignment="1">
      <alignment horizontal="right" vertical="justify"/>
    </xf>
    <xf numFmtId="175" fontId="32" fillId="0" borderId="11" xfId="0" applyNumberFormat="1" applyFont="1" applyBorder="1" applyAlignment="1">
      <alignment vertical="justify"/>
    </xf>
    <xf numFmtId="173" fontId="32" fillId="0" borderId="0" xfId="2" applyFont="1" applyBorder="1" applyAlignment="1">
      <alignment vertical="justify"/>
    </xf>
    <xf numFmtId="0" fontId="32" fillId="0" borderId="0" xfId="0" applyFont="1" applyBorder="1" applyAlignment="1">
      <alignment vertical="justify"/>
    </xf>
    <xf numFmtId="0" fontId="32" fillId="0" borderId="11" xfId="0" applyFont="1" applyBorder="1" applyAlignment="1">
      <alignment vertical="justify"/>
    </xf>
    <xf numFmtId="173" fontId="32" fillId="0" borderId="0" xfId="0" applyNumberFormat="1" applyFont="1" applyBorder="1" applyAlignment="1">
      <alignment vertical="justify"/>
    </xf>
    <xf numFmtId="0" fontId="32" fillId="0" borderId="12" xfId="0" applyFont="1" applyBorder="1" applyAlignment="1">
      <alignment horizontal="left"/>
    </xf>
    <xf numFmtId="0" fontId="26" fillId="0" borderId="12" xfId="0" applyFont="1" applyBorder="1"/>
    <xf numFmtId="0" fontId="32" fillId="0" borderId="13" xfId="0" applyFont="1" applyBorder="1" applyAlignment="1">
      <alignment horizontal="right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7" fillId="0" borderId="11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3" fontId="14" fillId="3" borderId="14" xfId="0" applyNumberFormat="1" applyFont="1" applyFill="1" applyBorder="1" applyAlignment="1">
      <alignment horizontal="center"/>
    </xf>
    <xf numFmtId="3" fontId="14" fillId="3" borderId="15" xfId="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left" vertical="top" wrapText="1"/>
    </xf>
    <xf numFmtId="175" fontId="32" fillId="0" borderId="1" xfId="0" applyNumberFormat="1" applyFont="1" applyBorder="1" applyAlignment="1">
      <alignment horizontal="center" vertical="center" wrapText="1"/>
    </xf>
    <xf numFmtId="175" fontId="26" fillId="0" borderId="1" xfId="0" applyNumberFormat="1" applyFont="1" applyBorder="1" applyAlignment="1">
      <alignment horizontal="center" vertical="center" wrapText="1"/>
    </xf>
    <xf numFmtId="175" fontId="25" fillId="0" borderId="1" xfId="0" applyNumberFormat="1" applyFont="1" applyBorder="1" applyAlignment="1">
      <alignment horizontal="center" vertical="center" wrapText="1"/>
    </xf>
    <xf numFmtId="175" fontId="24" fillId="0" borderId="1" xfId="1" applyNumberFormat="1" applyFont="1" applyBorder="1" applyAlignment="1">
      <alignment horizontal="center" vertical="center"/>
    </xf>
    <xf numFmtId="175" fontId="24" fillId="0" borderId="1" xfId="1" applyNumberFormat="1" applyFont="1" applyBorder="1" applyAlignment="1">
      <alignment horizontal="center" vertical="top" wrapText="1"/>
    </xf>
    <xf numFmtId="175" fontId="26" fillId="0" borderId="1" xfId="1" applyNumberFormat="1" applyFont="1" applyBorder="1" applyAlignment="1">
      <alignment horizontal="center" vertical="top" wrapText="1"/>
    </xf>
    <xf numFmtId="175" fontId="26" fillId="0" borderId="1" xfId="1" applyNumberFormat="1" applyFont="1" applyBorder="1" applyAlignment="1">
      <alignment horizontal="center" vertical="center" wrapText="1"/>
    </xf>
    <xf numFmtId="175" fontId="24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4" fontId="12" fillId="0" borderId="1" xfId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top" wrapText="1"/>
    </xf>
    <xf numFmtId="174" fontId="12" fillId="0" borderId="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174" fontId="1" fillId="0" borderId="1" xfId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justify" vertical="top" wrapText="1"/>
    </xf>
    <xf numFmtId="3" fontId="39" fillId="0" borderId="2" xfId="0" applyNumberFormat="1" applyFont="1" applyBorder="1" applyAlignment="1">
      <alignment horizontal="center" vertical="center" wrapText="1"/>
    </xf>
    <xf numFmtId="175" fontId="2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39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175" fontId="24" fillId="0" borderId="1" xfId="0" applyNumberFormat="1" applyFont="1" applyBorder="1" applyAlignment="1">
      <alignment horizontal="right" vertical="center" wrapText="1"/>
    </xf>
    <xf numFmtId="175" fontId="24" fillId="0" borderId="1" xfId="0" applyNumberFormat="1" applyFont="1" applyFill="1" applyBorder="1" applyAlignment="1">
      <alignment horizontal="right" vertical="center"/>
    </xf>
    <xf numFmtId="175" fontId="24" fillId="0" borderId="1" xfId="1" applyNumberFormat="1" applyFont="1" applyBorder="1" applyAlignment="1">
      <alignment horizontal="right" vertical="center" wrapText="1"/>
    </xf>
    <xf numFmtId="175" fontId="32" fillId="0" borderId="1" xfId="0" applyNumberFormat="1" applyFont="1" applyBorder="1"/>
    <xf numFmtId="175" fontId="32" fillId="0" borderId="0" xfId="1" applyNumberFormat="1" applyFont="1" applyBorder="1" applyAlignment="1">
      <alignment horizontal="right" vertical="center"/>
    </xf>
    <xf numFmtId="175" fontId="32" fillId="0" borderId="0" xfId="0" applyNumberFormat="1" applyFont="1" applyBorder="1" applyAlignment="1">
      <alignment horizontal="right" vertical="center"/>
    </xf>
    <xf numFmtId="175" fontId="25" fillId="0" borderId="0" xfId="1" applyNumberFormat="1" applyFont="1" applyAlignment="1">
      <alignment horizontal="right" vertical="justify"/>
    </xf>
    <xf numFmtId="175" fontId="25" fillId="0" borderId="0" xfId="0" applyNumberFormat="1" applyFont="1" applyAlignment="1">
      <alignment vertical="justify"/>
    </xf>
    <xf numFmtId="175" fontId="25" fillId="0" borderId="0" xfId="1" applyNumberFormat="1" applyFont="1" applyAlignment="1">
      <alignment vertical="justify"/>
    </xf>
    <xf numFmtId="175" fontId="28" fillId="0" borderId="0" xfId="2" applyNumberFormat="1" applyFont="1" applyAlignment="1">
      <alignment horizontal="right" vertical="justify"/>
    </xf>
    <xf numFmtId="175" fontId="28" fillId="0" borderId="0" xfId="1" applyNumberFormat="1" applyFont="1" applyAlignment="1">
      <alignment vertical="justify"/>
    </xf>
    <xf numFmtId="175" fontId="28" fillId="0" borderId="0" xfId="2" applyNumberFormat="1" applyFont="1" applyAlignment="1">
      <alignment vertical="justify"/>
    </xf>
    <xf numFmtId="175" fontId="28" fillId="0" borderId="0" xfId="0" applyNumberFormat="1" applyFont="1" applyAlignment="1">
      <alignment vertical="justify"/>
    </xf>
    <xf numFmtId="175" fontId="25" fillId="0" borderId="0" xfId="0" applyNumberFormat="1" applyFont="1" applyAlignment="1">
      <alignment horizontal="right" vertical="justify"/>
    </xf>
    <xf numFmtId="175" fontId="26" fillId="0" borderId="2" xfId="1" applyNumberFormat="1" applyFont="1" applyBorder="1" applyAlignment="1">
      <alignment horizontal="center" vertical="center" wrapText="1"/>
    </xf>
    <xf numFmtId="175" fontId="26" fillId="0" borderId="2" xfId="1" applyNumberFormat="1" applyFont="1" applyFill="1" applyBorder="1" applyAlignment="1">
      <alignment horizontal="center" vertical="center" wrapText="1"/>
    </xf>
    <xf numFmtId="172" fontId="6" fillId="0" borderId="0" xfId="0" applyNumberFormat="1" applyFont="1"/>
    <xf numFmtId="3" fontId="34" fillId="2" borderId="2" xfId="1" applyNumberFormat="1" applyFont="1" applyFill="1" applyBorder="1" applyAlignment="1">
      <alignment horizontal="right"/>
    </xf>
    <xf numFmtId="3" fontId="30" fillId="2" borderId="1" xfId="1" applyNumberFormat="1" applyFont="1" applyFill="1" applyBorder="1" applyAlignment="1">
      <alignment horizontal="right"/>
    </xf>
    <xf numFmtId="3" fontId="30" fillId="0" borderId="1" xfId="1" applyNumberFormat="1" applyFont="1" applyBorder="1" applyAlignment="1">
      <alignment horizontal="right"/>
    </xf>
    <xf numFmtId="3" fontId="34" fillId="0" borderId="1" xfId="1" applyNumberFormat="1" applyFont="1" applyBorder="1" applyAlignment="1">
      <alignment horizontal="right"/>
    </xf>
    <xf numFmtId="3" fontId="34" fillId="2" borderId="1" xfId="1" applyNumberFormat="1" applyFont="1" applyFill="1" applyBorder="1" applyAlignment="1">
      <alignment horizontal="right"/>
    </xf>
    <xf numFmtId="3" fontId="30" fillId="0" borderId="1" xfId="1" applyNumberFormat="1" applyFont="1" applyFill="1" applyBorder="1" applyAlignment="1">
      <alignment horizontal="right"/>
    </xf>
    <xf numFmtId="3" fontId="30" fillId="0" borderId="2" xfId="1" applyNumberFormat="1" applyFont="1" applyBorder="1" applyAlignment="1">
      <alignment horizontal="right"/>
    </xf>
    <xf numFmtId="3" fontId="30" fillId="0" borderId="1" xfId="1" quotePrefix="1" applyNumberFormat="1" applyFont="1" applyBorder="1" applyAlignment="1">
      <alignment horizontal="right"/>
    </xf>
    <xf numFmtId="3" fontId="30" fillId="0" borderId="1" xfId="1" applyNumberFormat="1" applyFont="1" applyBorder="1"/>
    <xf numFmtId="3" fontId="14" fillId="3" borderId="16" xfId="0" applyNumberFormat="1" applyFont="1" applyFill="1" applyBorder="1" applyAlignment="1">
      <alignment horizontal="center"/>
    </xf>
    <xf numFmtId="3" fontId="0" fillId="0" borderId="0" xfId="0" applyNumberFormat="1"/>
    <xf numFmtId="3" fontId="15" fillId="4" borderId="1" xfId="0" applyNumberFormat="1" applyFont="1" applyFill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3" fontId="15" fillId="6" borderId="1" xfId="0" applyNumberFormat="1" applyFont="1" applyFill="1" applyBorder="1" applyAlignment="1">
      <alignment horizontal="right"/>
    </xf>
    <xf numFmtId="3" fontId="41" fillId="7" borderId="1" xfId="0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7" fillId="0" borderId="9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/>
    </xf>
    <xf numFmtId="0" fontId="37" fillId="0" borderId="11" xfId="0" applyFont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2" fillId="3" borderId="22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/>
    </xf>
    <xf numFmtId="0" fontId="32" fillId="0" borderId="17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18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3" borderId="20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37" fillId="0" borderId="12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11" fillId="3" borderId="2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8" fillId="0" borderId="9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73" fontId="11" fillId="3" borderId="25" xfId="2" applyFont="1" applyFill="1" applyBorder="1" applyAlignment="1">
      <alignment horizontal="center" vertical="center" wrapText="1"/>
    </xf>
    <xf numFmtId="173" fontId="11" fillId="3" borderId="7" xfId="2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32" fillId="3" borderId="32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top" wrapText="1"/>
    </xf>
    <xf numFmtId="175" fontId="28" fillId="3" borderId="25" xfId="0" applyNumberFormat="1" applyFont="1" applyFill="1" applyBorder="1" applyAlignment="1">
      <alignment horizontal="center" vertical="justify"/>
    </xf>
    <xf numFmtId="0" fontId="28" fillId="0" borderId="9" xfId="0" applyFont="1" applyBorder="1" applyAlignment="1">
      <alignment horizontal="left" vertical="justify"/>
    </xf>
    <xf numFmtId="0" fontId="28" fillId="0" borderId="9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37" fillId="0" borderId="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right" vertical="top" wrapText="1"/>
    </xf>
    <xf numFmtId="0" fontId="32" fillId="0" borderId="0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right" vertical="top" wrapText="1"/>
    </xf>
    <xf numFmtId="0" fontId="32" fillId="0" borderId="33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top" wrapText="1"/>
    </xf>
    <xf numFmtId="0" fontId="32" fillId="3" borderId="34" xfId="0" applyFont="1" applyFill="1" applyBorder="1" applyAlignment="1">
      <alignment horizontal="center" vertical="center" wrapText="1"/>
    </xf>
    <xf numFmtId="0" fontId="32" fillId="3" borderId="35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3" fillId="3" borderId="32" xfId="0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5" fillId="0" borderId="0" xfId="0" applyFont="1" applyAlignment="1">
      <alignment horizontal="left"/>
    </xf>
    <xf numFmtId="0" fontId="25" fillId="0" borderId="9" xfId="0" applyFont="1" applyBorder="1" applyAlignment="1">
      <alignment horizontal="left" vertical="top"/>
    </xf>
    <xf numFmtId="0" fontId="35" fillId="0" borderId="9" xfId="0" applyFont="1" applyBorder="1" applyAlignment="1">
      <alignment horizontal="left" vertical="justify"/>
    </xf>
    <xf numFmtId="0" fontId="1" fillId="0" borderId="1" xfId="0" applyFont="1" applyBorder="1" applyAlignment="1">
      <alignment horizontal="left" vertical="center" wrapText="1"/>
    </xf>
    <xf numFmtId="0" fontId="32" fillId="3" borderId="37" xfId="0" applyFont="1" applyFill="1" applyBorder="1" applyAlignment="1">
      <alignment horizontal="center" vertical="top" wrapText="1"/>
    </xf>
    <xf numFmtId="0" fontId="32" fillId="3" borderId="38" xfId="0" applyFont="1" applyFill="1" applyBorder="1" applyAlignment="1">
      <alignment horizontal="center" vertical="top" wrapText="1"/>
    </xf>
    <xf numFmtId="0" fontId="32" fillId="0" borderId="19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3" fontId="34" fillId="3" borderId="42" xfId="0" applyNumberFormat="1" applyFont="1" applyFill="1" applyBorder="1" applyAlignment="1">
      <alignment horizontal="center"/>
    </xf>
    <xf numFmtId="3" fontId="34" fillId="3" borderId="15" xfId="0" applyNumberFormat="1" applyFont="1" applyFill="1" applyBorder="1" applyAlignment="1">
      <alignment horizontal="center"/>
    </xf>
    <xf numFmtId="3" fontId="30" fillId="3" borderId="39" xfId="0" applyNumberFormat="1" applyFont="1" applyFill="1" applyBorder="1" applyAlignment="1">
      <alignment horizontal="center"/>
    </xf>
    <xf numFmtId="3" fontId="30" fillId="3" borderId="16" xfId="0" applyNumberFormat="1" applyFont="1" applyFill="1" applyBorder="1" applyAlignment="1">
      <alignment horizontal="center"/>
    </xf>
    <xf numFmtId="3" fontId="34" fillId="3" borderId="32" xfId="0" applyNumberFormat="1" applyFont="1" applyFill="1" applyBorder="1" applyAlignment="1">
      <alignment horizontal="center"/>
    </xf>
    <xf numFmtId="3" fontId="34" fillId="3" borderId="14" xfId="0" applyNumberFormat="1" applyFont="1" applyFill="1" applyBorder="1" applyAlignment="1">
      <alignment horizontal="center"/>
    </xf>
    <xf numFmtId="3" fontId="34" fillId="3" borderId="40" xfId="0" applyNumberFormat="1" applyFont="1" applyFill="1" applyBorder="1" applyAlignment="1">
      <alignment horizontal="center" wrapText="1"/>
    </xf>
    <xf numFmtId="3" fontId="34" fillId="3" borderId="41" xfId="0" applyNumberFormat="1" applyFont="1" applyFill="1" applyBorder="1" applyAlignment="1">
      <alignment horizontal="center" wrapText="1"/>
    </xf>
    <xf numFmtId="3" fontId="34" fillId="3" borderId="4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25" fillId="0" borderId="9" xfId="0" applyNumberFormat="1" applyFont="1" applyBorder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3" fontId="15" fillId="3" borderId="39" xfId="0" applyNumberFormat="1" applyFont="1" applyFill="1" applyBorder="1" applyAlignment="1">
      <alignment horizontal="center"/>
    </xf>
    <xf numFmtId="3" fontId="15" fillId="3" borderId="16" xfId="0" applyNumberFormat="1" applyFont="1" applyFill="1" applyBorder="1" applyAlignment="1">
      <alignment horizontal="center"/>
    </xf>
    <xf numFmtId="3" fontId="14" fillId="3" borderId="32" xfId="0" applyNumberFormat="1" applyFont="1" applyFill="1" applyBorder="1" applyAlignment="1">
      <alignment horizontal="center"/>
    </xf>
    <xf numFmtId="3" fontId="14" fillId="3" borderId="14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4" fillId="3" borderId="43" xfId="0" applyNumberFormat="1" applyFont="1" applyFill="1" applyBorder="1" applyAlignment="1">
      <alignment horizontal="center"/>
    </xf>
    <xf numFmtId="3" fontId="14" fillId="3" borderId="44" xfId="0" applyNumberFormat="1" applyFont="1" applyFill="1" applyBorder="1" applyAlignment="1">
      <alignment horizontal="center"/>
    </xf>
    <xf numFmtId="0" fontId="0" fillId="0" borderId="44" xfId="0" applyBorder="1" applyAlignment="1"/>
    <xf numFmtId="0" fontId="37" fillId="0" borderId="0" xfId="0" applyFont="1" applyBorder="1" applyAlignment="1">
      <alignment horizontal="center" wrapText="1"/>
    </xf>
    <xf numFmtId="0" fontId="37" fillId="0" borderId="12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30" fillId="0" borderId="0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69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</c:dPt>
          <c:dLbls>
            <c:showPercent val="1"/>
            <c:showLeaderLines val="1"/>
          </c:dLbls>
          <c:cat>
            <c:strRef>
              <c:f>grafico!$B$13:$B$45</c:f>
              <c:strCache>
                <c:ptCount val="4"/>
                <c:pt idx="0">
                  <c:v>Servicios Personales</c:v>
                </c:pt>
                <c:pt idx="1">
                  <c:v>Gastos Generales</c:v>
                </c:pt>
                <c:pt idx="2">
                  <c:v>CONTRATOS</c:v>
                </c:pt>
                <c:pt idx="3">
                  <c:v>Convenios</c:v>
                </c:pt>
              </c:strCache>
            </c:strRef>
          </c:cat>
          <c:val>
            <c:numRef>
              <c:f>grafico!$C$13:$C$45</c:f>
              <c:numCache>
                <c:formatCode>#,##0</c:formatCode>
                <c:ptCount val="4"/>
                <c:pt idx="0">
                  <c:v>150247565.40798</c:v>
                </c:pt>
                <c:pt idx="1">
                  <c:v>40143235</c:v>
                </c:pt>
                <c:pt idx="2">
                  <c:v>355200000</c:v>
                </c:pt>
                <c:pt idx="3">
                  <c:v>150395467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244" r="0.750000000000002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15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16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18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18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5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23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23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20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2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2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59</xdr:row>
      <xdr:rowOff>9525</xdr:rowOff>
    </xdr:to>
    <xdr:graphicFrame macro="">
      <xdr:nvGraphicFramePr>
        <xdr:cNvPr id="93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3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0"/>
  <sheetViews>
    <sheetView zoomScale="120" zoomScaleNormal="120" workbookViewId="0">
      <selection activeCell="C17" sqref="C17"/>
    </sheetView>
  </sheetViews>
  <sheetFormatPr baseColWidth="10" defaultRowHeight="12.75"/>
  <cols>
    <col min="1" max="1" width="6" style="3" customWidth="1"/>
    <col min="2" max="2" width="25.140625" style="3" customWidth="1"/>
    <col min="3" max="3" width="12" style="3" customWidth="1"/>
    <col min="4" max="4" width="12.5703125" style="3" customWidth="1"/>
    <col min="5" max="5" width="6" style="3" customWidth="1"/>
    <col min="6" max="6" width="7.140625" style="3" customWidth="1"/>
    <col min="7" max="7" width="9.28515625" style="3" customWidth="1"/>
    <col min="8" max="8" width="16.140625" style="3" customWidth="1"/>
    <col min="9" max="9" width="9.7109375" style="3" customWidth="1"/>
    <col min="10" max="10" width="21.140625" style="3" customWidth="1"/>
    <col min="11" max="11" width="7.140625" style="3" customWidth="1"/>
    <col min="12" max="12" width="30.42578125" style="3" customWidth="1"/>
    <col min="13" max="16384" width="11.42578125" style="3"/>
  </cols>
  <sheetData>
    <row r="1" spans="1:14" ht="12.75" customHeight="1">
      <c r="A1" s="264"/>
      <c r="B1" s="265"/>
      <c r="C1" s="270" t="s">
        <v>175</v>
      </c>
      <c r="D1" s="270"/>
      <c r="E1" s="270"/>
      <c r="F1" s="270"/>
      <c r="G1" s="270"/>
      <c r="H1" s="270"/>
      <c r="I1" s="275" t="s">
        <v>164</v>
      </c>
      <c r="J1" s="276"/>
      <c r="K1" s="80"/>
    </row>
    <row r="2" spans="1:14" ht="12.75" customHeight="1">
      <c r="A2" s="266"/>
      <c r="B2" s="267"/>
      <c r="C2" s="271"/>
      <c r="D2" s="271"/>
      <c r="E2" s="271"/>
      <c r="F2" s="271"/>
      <c r="G2" s="271"/>
      <c r="H2" s="271"/>
      <c r="I2" s="272" t="s">
        <v>165</v>
      </c>
      <c r="J2" s="273"/>
      <c r="K2" s="80"/>
    </row>
    <row r="3" spans="1:14" ht="12.75" customHeight="1">
      <c r="A3" s="266"/>
      <c r="B3" s="267"/>
      <c r="C3" s="271"/>
      <c r="D3" s="271"/>
      <c r="E3" s="271"/>
      <c r="F3" s="271"/>
      <c r="G3" s="271"/>
      <c r="H3" s="271"/>
      <c r="I3" s="272" t="s">
        <v>166</v>
      </c>
      <c r="J3" s="273"/>
      <c r="K3" s="80"/>
    </row>
    <row r="4" spans="1:14" ht="12.75" customHeight="1">
      <c r="A4" s="266"/>
      <c r="B4" s="267"/>
      <c r="C4" s="271"/>
      <c r="D4" s="271"/>
      <c r="E4" s="271"/>
      <c r="F4" s="271"/>
      <c r="G4" s="271"/>
      <c r="H4" s="271"/>
      <c r="I4" s="272" t="s">
        <v>177</v>
      </c>
      <c r="J4" s="273"/>
      <c r="K4" s="80"/>
    </row>
    <row r="5" spans="1:14" ht="12.75" customHeight="1">
      <c r="A5" s="266"/>
      <c r="B5" s="267"/>
      <c r="C5" s="271"/>
      <c r="D5" s="271"/>
      <c r="E5" s="271"/>
      <c r="F5" s="271"/>
      <c r="G5" s="271"/>
      <c r="H5" s="271"/>
      <c r="I5" s="277" t="s">
        <v>151</v>
      </c>
      <c r="J5" s="278"/>
      <c r="K5" s="81"/>
    </row>
    <row r="6" spans="1:14" s="13" customFormat="1" ht="13.5" customHeight="1">
      <c r="A6" s="266"/>
      <c r="B6" s="267"/>
      <c r="C6" s="281" t="s">
        <v>167</v>
      </c>
      <c r="D6" s="281"/>
      <c r="E6" s="281" t="s">
        <v>168</v>
      </c>
      <c r="F6" s="281"/>
      <c r="G6" s="281"/>
      <c r="H6" s="281"/>
      <c r="I6" s="279" t="s">
        <v>169</v>
      </c>
      <c r="J6" s="280"/>
      <c r="K6" s="80"/>
    </row>
    <row r="7" spans="1:14" ht="24" customHeight="1">
      <c r="A7" s="266"/>
      <c r="B7" s="267"/>
      <c r="C7" s="379" t="s">
        <v>170</v>
      </c>
      <c r="D7" s="379"/>
      <c r="E7" s="281" t="s">
        <v>171</v>
      </c>
      <c r="F7" s="281"/>
      <c r="G7" s="281"/>
      <c r="H7" s="281"/>
      <c r="I7" s="281" t="s">
        <v>173</v>
      </c>
      <c r="J7" s="282"/>
      <c r="K7" s="82"/>
    </row>
    <row r="8" spans="1:14" ht="16.5" customHeight="1">
      <c r="A8" s="268"/>
      <c r="B8" s="269"/>
      <c r="C8" s="283"/>
      <c r="D8" s="283"/>
      <c r="E8" s="283" t="s">
        <v>172</v>
      </c>
      <c r="F8" s="283"/>
      <c r="G8" s="283"/>
      <c r="H8" s="283"/>
      <c r="I8" s="283" t="s">
        <v>174</v>
      </c>
      <c r="J8" s="291"/>
      <c r="K8" s="82"/>
    </row>
    <row r="9" spans="1:14" ht="13.5" customHeight="1">
      <c r="A9" s="294" t="s">
        <v>154</v>
      </c>
      <c r="B9" s="295"/>
      <c r="C9" s="173" t="s">
        <v>243</v>
      </c>
      <c r="D9" s="174"/>
      <c r="E9" s="174"/>
      <c r="F9" s="174"/>
      <c r="G9" s="174"/>
      <c r="H9" s="165"/>
      <c r="I9" s="165"/>
      <c r="J9" s="182"/>
      <c r="K9" s="82"/>
    </row>
    <row r="10" spans="1:14" s="5" customFormat="1" ht="14.25" customHeight="1">
      <c r="A10" s="292" t="s">
        <v>8</v>
      </c>
      <c r="B10" s="293"/>
      <c r="C10" s="236">
        <f>545986267+150000000</f>
        <v>695986267</v>
      </c>
      <c r="D10" s="183"/>
      <c r="E10" s="166"/>
      <c r="F10" s="166"/>
      <c r="G10" s="166"/>
      <c r="H10" s="166" t="s">
        <v>118</v>
      </c>
      <c r="I10" s="166" t="s">
        <v>255</v>
      </c>
      <c r="J10" s="184"/>
    </row>
    <row r="11" spans="1:14" s="5" customFormat="1" ht="15">
      <c r="A11" s="292" t="s">
        <v>152</v>
      </c>
      <c r="B11" s="293"/>
      <c r="C11" s="236"/>
      <c r="D11" s="185"/>
      <c r="E11" s="186"/>
      <c r="F11" s="186"/>
      <c r="G11" s="186"/>
      <c r="H11" s="186"/>
      <c r="I11" s="186"/>
      <c r="J11" s="187"/>
    </row>
    <row r="12" spans="1:14" s="5" customFormat="1" ht="15">
      <c r="A12" s="292" t="s">
        <v>153</v>
      </c>
      <c r="B12" s="293"/>
      <c r="C12" s="237">
        <f>C10</f>
        <v>695986267</v>
      </c>
      <c r="D12" s="188"/>
      <c r="E12" s="186"/>
      <c r="F12" s="186"/>
      <c r="G12" s="186"/>
      <c r="H12" s="186"/>
      <c r="I12" s="186"/>
      <c r="J12" s="187"/>
    </row>
    <row r="13" spans="1:14" s="4" customFormat="1" ht="13.5">
      <c r="A13" s="297" t="s">
        <v>12</v>
      </c>
      <c r="B13" s="298"/>
      <c r="C13" s="189"/>
      <c r="D13" s="190"/>
      <c r="E13" s="190"/>
      <c r="F13" s="190"/>
      <c r="G13" s="190"/>
      <c r="H13" s="190"/>
      <c r="I13" s="190"/>
      <c r="J13" s="191" t="s">
        <v>13</v>
      </c>
    </row>
    <row r="14" spans="1:14" s="8" customFormat="1" ht="13.5" customHeight="1">
      <c r="A14" s="299" t="s">
        <v>50</v>
      </c>
      <c r="B14" s="284" t="s">
        <v>1</v>
      </c>
      <c r="C14" s="284" t="s">
        <v>157</v>
      </c>
      <c r="D14" s="284" t="s">
        <v>11</v>
      </c>
      <c r="E14" s="296" t="s">
        <v>0</v>
      </c>
      <c r="F14" s="296"/>
      <c r="G14" s="296"/>
      <c r="H14" s="284" t="s">
        <v>51</v>
      </c>
      <c r="I14" s="284" t="s">
        <v>52</v>
      </c>
      <c r="J14" s="289" t="s">
        <v>3</v>
      </c>
    </row>
    <row r="15" spans="1:14" s="8" customFormat="1" ht="27.75" customHeight="1" thickBot="1">
      <c r="A15" s="300"/>
      <c r="B15" s="285"/>
      <c r="C15" s="285"/>
      <c r="D15" s="285"/>
      <c r="E15" s="95" t="s">
        <v>2</v>
      </c>
      <c r="F15" s="95" t="s">
        <v>6</v>
      </c>
      <c r="G15" s="95" t="s">
        <v>138</v>
      </c>
      <c r="H15" s="285"/>
      <c r="I15" s="285"/>
      <c r="J15" s="290"/>
    </row>
    <row r="16" spans="1:14" s="8" customFormat="1" ht="56.25" customHeight="1">
      <c r="A16" s="67">
        <v>1</v>
      </c>
      <c r="B16" s="150" t="s">
        <v>244</v>
      </c>
      <c r="C16" s="246">
        <f>PTOXACTIV!C52</f>
        <v>104990819.67589751</v>
      </c>
      <c r="D16" s="113"/>
      <c r="E16" s="151"/>
      <c r="F16" s="151"/>
      <c r="G16" s="69"/>
      <c r="H16" s="150" t="s">
        <v>244</v>
      </c>
      <c r="I16" s="113"/>
      <c r="J16" s="113"/>
      <c r="L16" s="287"/>
      <c r="M16" s="287"/>
      <c r="N16" s="287"/>
    </row>
    <row r="17" spans="1:14" s="8" customFormat="1" ht="57" customHeight="1">
      <c r="A17" s="67">
        <v>2</v>
      </c>
      <c r="B17" s="152" t="s">
        <v>245</v>
      </c>
      <c r="C17" s="247">
        <f>+C10*0.13</f>
        <v>90478214.710000008</v>
      </c>
      <c r="D17" s="113"/>
      <c r="E17" s="151"/>
      <c r="F17" s="151"/>
      <c r="G17" s="69"/>
      <c r="H17" s="150" t="s">
        <v>245</v>
      </c>
      <c r="I17" s="113"/>
      <c r="J17" s="113"/>
      <c r="L17" s="288"/>
      <c r="M17" s="288"/>
      <c r="N17" s="288"/>
    </row>
    <row r="18" spans="1:14" s="8" customFormat="1" ht="69.75" customHeight="1">
      <c r="A18" s="67">
        <v>3</v>
      </c>
      <c r="B18" s="70" t="s">
        <v>246</v>
      </c>
      <c r="C18" s="210">
        <f>+C10*0.13</f>
        <v>90478214.710000008</v>
      </c>
      <c r="D18" s="69"/>
      <c r="E18" s="153"/>
      <c r="F18" s="151"/>
      <c r="G18" s="69"/>
      <c r="H18" s="70" t="s">
        <v>246</v>
      </c>
      <c r="I18" s="69"/>
      <c r="J18" s="69"/>
      <c r="L18" s="287"/>
      <c r="M18" s="287"/>
      <c r="N18" s="287"/>
    </row>
    <row r="19" spans="1:14" s="8" customFormat="1" ht="45" customHeight="1">
      <c r="A19" s="67">
        <v>4</v>
      </c>
      <c r="B19" s="150" t="s">
        <v>247</v>
      </c>
      <c r="C19" s="246">
        <f>+C10*0.12</f>
        <v>83518352.039999992</v>
      </c>
      <c r="D19" s="154"/>
      <c r="E19" s="155"/>
      <c r="F19" s="151"/>
      <c r="G19" s="156"/>
      <c r="H19" s="150" t="s">
        <v>247</v>
      </c>
      <c r="I19" s="113"/>
      <c r="J19" s="113"/>
      <c r="L19" s="286"/>
      <c r="M19" s="286"/>
      <c r="N19" s="286"/>
    </row>
    <row r="20" spans="1:14" s="4" customFormat="1" ht="71.25" customHeight="1">
      <c r="A20" s="68">
        <v>5</v>
      </c>
      <c r="B20" s="70" t="s">
        <v>248</v>
      </c>
      <c r="C20" s="210">
        <f>11*C10/100</f>
        <v>76558489.370000005</v>
      </c>
      <c r="D20" s="154"/>
      <c r="E20" s="155"/>
      <c r="F20" s="151"/>
      <c r="G20" s="156"/>
      <c r="H20" s="157" t="s">
        <v>248</v>
      </c>
      <c r="I20" s="158"/>
      <c r="J20" s="113"/>
      <c r="K20" s="8"/>
      <c r="L20" s="274"/>
      <c r="M20" s="274"/>
      <c r="N20" s="274"/>
    </row>
    <row r="21" spans="1:14" s="4" customFormat="1" ht="42.75" customHeight="1">
      <c r="A21" s="68">
        <v>6</v>
      </c>
      <c r="B21" s="176" t="s">
        <v>249</v>
      </c>
      <c r="C21" s="210">
        <f>+C10*0.13</f>
        <v>90478214.710000008</v>
      </c>
      <c r="D21" s="176"/>
      <c r="E21" s="177"/>
      <c r="F21" s="177"/>
      <c r="G21" s="178"/>
      <c r="H21" s="159" t="s">
        <v>249</v>
      </c>
      <c r="I21" s="160"/>
      <c r="J21" s="176"/>
      <c r="K21" s="8"/>
      <c r="L21" s="38"/>
      <c r="M21" s="38"/>
      <c r="N21" s="38"/>
    </row>
    <row r="22" spans="1:14" s="4" customFormat="1" ht="41.25" customHeight="1">
      <c r="A22" s="68">
        <v>7</v>
      </c>
      <c r="B22" s="176" t="s">
        <v>250</v>
      </c>
      <c r="C22" s="210">
        <f>12*C10/100</f>
        <v>83518352.040000007</v>
      </c>
      <c r="D22" s="176"/>
      <c r="E22" s="177"/>
      <c r="F22" s="177"/>
      <c r="G22" s="178"/>
      <c r="H22" s="70" t="s">
        <v>250</v>
      </c>
      <c r="I22" s="160"/>
      <c r="J22" s="176"/>
      <c r="K22" s="8"/>
      <c r="L22" s="38"/>
      <c r="M22" s="38"/>
      <c r="N22" s="38"/>
    </row>
    <row r="23" spans="1:14" s="4" customFormat="1" ht="42.75" customHeight="1">
      <c r="A23" s="68">
        <v>8</v>
      </c>
      <c r="B23" s="176" t="s">
        <v>251</v>
      </c>
      <c r="C23" s="210">
        <f>11*C10/100</f>
        <v>76558489.370000005</v>
      </c>
      <c r="D23" s="176"/>
      <c r="E23" s="177"/>
      <c r="F23" s="177"/>
      <c r="G23" s="178"/>
      <c r="H23" s="150" t="s">
        <v>251</v>
      </c>
      <c r="I23" s="154"/>
      <c r="J23" s="176"/>
      <c r="K23" s="8"/>
      <c r="L23" s="38"/>
      <c r="M23" s="38"/>
      <c r="N23" s="38"/>
    </row>
    <row r="24" spans="1:14" s="4" customFormat="1" ht="11.25" customHeight="1">
      <c r="A24" s="62"/>
      <c r="B24" s="161"/>
      <c r="C24" s="204">
        <f>SUM(C16:C23)</f>
        <v>696579146.62589753</v>
      </c>
      <c r="D24" s="162"/>
      <c r="E24" s="163"/>
      <c r="F24" s="163"/>
      <c r="G24" s="63"/>
      <c r="H24" s="161"/>
      <c r="I24" s="162"/>
      <c r="J24" s="164"/>
      <c r="K24" s="8"/>
      <c r="L24" s="38"/>
      <c r="M24" s="38"/>
      <c r="N24" s="38"/>
    </row>
    <row r="25" spans="1:14" s="4" customFormat="1">
      <c r="A25" s="3"/>
      <c r="B25" s="47"/>
      <c r="C25" s="47"/>
      <c r="D25" s="3"/>
      <c r="E25" s="3"/>
      <c r="F25" s="3"/>
      <c r="G25" s="3"/>
      <c r="H25" s="3"/>
      <c r="I25" s="3"/>
      <c r="J25" s="3"/>
      <c r="K25" s="38"/>
    </row>
    <row r="26" spans="1:14" s="4" customFormat="1" ht="11.25">
      <c r="B26" s="48"/>
      <c r="C26" s="48"/>
      <c r="K26" s="38"/>
    </row>
    <row r="27" spans="1:14" s="4" customFormat="1" ht="11.25">
      <c r="B27" s="48"/>
      <c r="C27" s="48"/>
    </row>
    <row r="28" spans="1:14" s="4" customFormat="1" ht="11.25">
      <c r="B28" s="48"/>
      <c r="C28" s="48"/>
      <c r="G28" s="4" t="s">
        <v>176</v>
      </c>
    </row>
    <row r="29" spans="1:14" s="4" customFormat="1" ht="11.25">
      <c r="B29" s="48"/>
      <c r="C29" s="48"/>
    </row>
    <row r="30" spans="1:14" s="4" customFormat="1" ht="11.25"/>
    <row r="31" spans="1:14" s="4" customFormat="1" ht="11.25"/>
    <row r="32" spans="1:14" s="4" customFormat="1" ht="11.25"/>
    <row r="33" s="4" customFormat="1" ht="11.25"/>
    <row r="34" s="4" customFormat="1" ht="11.25"/>
    <row r="35" s="4" customFormat="1" ht="11.25"/>
    <row r="36" s="4" customFormat="1" ht="11.25"/>
    <row r="37" s="4" customFormat="1" ht="11.25"/>
    <row r="38" s="4" customFormat="1" ht="11.25"/>
    <row r="39" s="4" customFormat="1" ht="11.25"/>
    <row r="40" s="4" customFormat="1" ht="11.25"/>
    <row r="41" s="4" customFormat="1" ht="11.25"/>
    <row r="42" s="4" customFormat="1" ht="11.25"/>
    <row r="43" s="4" customFormat="1" ht="11.25"/>
    <row r="44" s="4" customFormat="1" ht="11.25"/>
    <row r="45" s="4" customFormat="1" ht="11.25"/>
    <row r="46" s="4" customFormat="1" ht="11.25"/>
    <row r="47" s="4" customFormat="1" ht="11.25"/>
    <row r="48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</sheetData>
  <mergeCells count="34">
    <mergeCell ref="I8:J8"/>
    <mergeCell ref="A11:B11"/>
    <mergeCell ref="A9:B9"/>
    <mergeCell ref="A12:B12"/>
    <mergeCell ref="A10:B10"/>
    <mergeCell ref="E14:G14"/>
    <mergeCell ref="A13:B13"/>
    <mergeCell ref="A14:A15"/>
    <mergeCell ref="B14:B15"/>
    <mergeCell ref="D14:D15"/>
    <mergeCell ref="L19:N19"/>
    <mergeCell ref="L16:N16"/>
    <mergeCell ref="L18:N18"/>
    <mergeCell ref="L17:N17"/>
    <mergeCell ref="I14:I15"/>
    <mergeCell ref="J14:J15"/>
    <mergeCell ref="C6:D6"/>
    <mergeCell ref="C7:D7"/>
    <mergeCell ref="E6:H6"/>
    <mergeCell ref="E7:H7"/>
    <mergeCell ref="C8:D8"/>
    <mergeCell ref="H14:H15"/>
    <mergeCell ref="E8:H8"/>
    <mergeCell ref="C14:C15"/>
    <mergeCell ref="A1:B8"/>
    <mergeCell ref="C1:H5"/>
    <mergeCell ref="I4:J4"/>
    <mergeCell ref="L20:N20"/>
    <mergeCell ref="I1:J1"/>
    <mergeCell ref="I2:J2"/>
    <mergeCell ref="I3:J3"/>
    <mergeCell ref="I5:J5"/>
    <mergeCell ref="I6:J6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showGridLines="0" topLeftCell="A7" workbookViewId="0">
      <selection activeCell="I24" sqref="I24"/>
    </sheetView>
  </sheetViews>
  <sheetFormatPr baseColWidth="10" defaultRowHeight="12.75"/>
  <cols>
    <col min="1" max="1" width="5.28515625" style="14" customWidth="1"/>
    <col min="2" max="2" width="24.42578125" style="14" customWidth="1"/>
    <col min="3" max="3" width="19.140625" style="14" customWidth="1"/>
    <col min="4" max="4" width="16.140625" style="14" customWidth="1"/>
    <col min="5" max="5" width="12.5703125" style="14" customWidth="1"/>
    <col min="6" max="6" width="10.140625" style="14" customWidth="1"/>
    <col min="7" max="7" width="8.85546875" style="14" customWidth="1"/>
    <col min="8" max="8" width="11.42578125" style="14" customWidth="1"/>
    <col min="9" max="9" width="14.5703125" style="14" customWidth="1"/>
    <col min="10" max="10" width="15.28515625" style="14" customWidth="1"/>
    <col min="11" max="11" width="8.28515625" style="14" customWidth="1"/>
    <col min="12" max="12" width="21.140625" style="14" customWidth="1"/>
    <col min="13" max="16384" width="11.42578125" style="14"/>
  </cols>
  <sheetData>
    <row r="1" spans="1:11" ht="12.75" customHeight="1">
      <c r="A1" s="264"/>
      <c r="B1" s="265"/>
      <c r="C1" s="270" t="s">
        <v>175</v>
      </c>
      <c r="D1" s="270"/>
      <c r="E1" s="270"/>
      <c r="F1" s="270"/>
      <c r="G1" s="270"/>
      <c r="H1" s="270"/>
      <c r="I1" s="275" t="s">
        <v>164</v>
      </c>
      <c r="J1" s="276"/>
    </row>
    <row r="2" spans="1:11" ht="12.75" customHeight="1">
      <c r="A2" s="266"/>
      <c r="B2" s="267"/>
      <c r="C2" s="271"/>
      <c r="D2" s="271"/>
      <c r="E2" s="271"/>
      <c r="F2" s="271"/>
      <c r="G2" s="271"/>
      <c r="H2" s="271"/>
      <c r="I2" s="272" t="s">
        <v>165</v>
      </c>
      <c r="J2" s="273"/>
    </row>
    <row r="3" spans="1:11" ht="12.75" customHeight="1">
      <c r="A3" s="266"/>
      <c r="B3" s="267"/>
      <c r="C3" s="271"/>
      <c r="D3" s="271"/>
      <c r="E3" s="271"/>
      <c r="F3" s="271"/>
      <c r="G3" s="271"/>
      <c r="H3" s="271"/>
      <c r="I3" s="272" t="s">
        <v>166</v>
      </c>
      <c r="J3" s="273"/>
    </row>
    <row r="4" spans="1:11" ht="12.75" customHeight="1">
      <c r="A4" s="266"/>
      <c r="B4" s="267"/>
      <c r="C4" s="271"/>
      <c r="D4" s="271"/>
      <c r="E4" s="271"/>
      <c r="F4" s="271"/>
      <c r="G4" s="271"/>
      <c r="H4" s="271"/>
      <c r="I4" s="272" t="s">
        <v>177</v>
      </c>
      <c r="J4" s="273"/>
    </row>
    <row r="5" spans="1:11">
      <c r="A5" s="266"/>
      <c r="B5" s="267"/>
      <c r="C5" s="271"/>
      <c r="D5" s="271"/>
      <c r="E5" s="271"/>
      <c r="F5" s="271"/>
      <c r="G5" s="271"/>
      <c r="H5" s="271"/>
      <c r="I5" s="277" t="s">
        <v>151</v>
      </c>
      <c r="J5" s="278"/>
    </row>
    <row r="6" spans="1:11" ht="18" customHeight="1">
      <c r="A6" s="266"/>
      <c r="B6" s="267"/>
      <c r="C6" s="279" t="s">
        <v>167</v>
      </c>
      <c r="D6" s="279"/>
      <c r="E6" s="279" t="s">
        <v>168</v>
      </c>
      <c r="F6" s="279"/>
      <c r="G6" s="279"/>
      <c r="H6" s="279"/>
      <c r="I6" s="279" t="s">
        <v>169</v>
      </c>
      <c r="J6" s="280"/>
    </row>
    <row r="7" spans="1:11" ht="15.75" customHeight="1">
      <c r="A7" s="266"/>
      <c r="B7" s="267"/>
      <c r="C7" s="279" t="s">
        <v>170</v>
      </c>
      <c r="D7" s="279"/>
      <c r="E7" s="279" t="s">
        <v>171</v>
      </c>
      <c r="F7" s="279"/>
      <c r="G7" s="279"/>
      <c r="H7" s="279"/>
      <c r="I7" s="279" t="s">
        <v>173</v>
      </c>
      <c r="J7" s="280"/>
    </row>
    <row r="8" spans="1:11" ht="15.75" customHeight="1">
      <c r="A8" s="268"/>
      <c r="B8" s="269"/>
      <c r="C8" s="303"/>
      <c r="D8" s="303"/>
      <c r="E8" s="303" t="s">
        <v>172</v>
      </c>
      <c r="F8" s="303"/>
      <c r="G8" s="303"/>
      <c r="H8" s="303"/>
      <c r="I8" s="303" t="s">
        <v>174</v>
      </c>
      <c r="J8" s="304"/>
    </row>
    <row r="9" spans="1:11" ht="15.75" customHeight="1">
      <c r="A9" s="309" t="s">
        <v>7</v>
      </c>
      <c r="B9" s="309"/>
      <c r="C9" s="301" t="s">
        <v>243</v>
      </c>
      <c r="D9" s="302"/>
      <c r="E9" s="179"/>
      <c r="F9" s="179"/>
      <c r="G9" s="179"/>
      <c r="H9" s="179"/>
      <c r="I9" s="85" t="s">
        <v>118</v>
      </c>
      <c r="J9" s="181" t="str">
        <f>'POA-01'!I10</f>
        <v>0320-0900-1</v>
      </c>
      <c r="K9" s="84"/>
    </row>
    <row r="10" spans="1:11" ht="16.5">
      <c r="A10" s="305" t="s">
        <v>8</v>
      </c>
      <c r="B10" s="305"/>
      <c r="C10" s="238">
        <f>'POA-01'!C10</f>
        <v>695986267</v>
      </c>
      <c r="D10" s="86"/>
      <c r="E10" s="86"/>
      <c r="F10" s="86"/>
      <c r="G10" s="86"/>
      <c r="H10" s="86"/>
      <c r="I10" s="86"/>
      <c r="J10" s="73"/>
    </row>
    <row r="11" spans="1:11" ht="16.5">
      <c r="A11" s="305" t="s">
        <v>155</v>
      </c>
      <c r="B11" s="305"/>
      <c r="C11" s="239">
        <f>'POA-01'!D11</f>
        <v>0</v>
      </c>
      <c r="D11" s="86"/>
      <c r="E11" s="86"/>
      <c r="F11" s="86"/>
      <c r="G11" s="86"/>
      <c r="H11" s="86"/>
      <c r="I11" s="86"/>
      <c r="J11" s="73"/>
    </row>
    <row r="12" spans="1:11" ht="16.5">
      <c r="A12" s="305" t="s">
        <v>153</v>
      </c>
      <c r="B12" s="305"/>
      <c r="C12" s="240">
        <f>C10</f>
        <v>695986267</v>
      </c>
      <c r="D12" s="86"/>
      <c r="E12" s="86"/>
      <c r="F12" s="86"/>
      <c r="G12" s="86"/>
      <c r="H12" s="86"/>
      <c r="I12" s="86"/>
      <c r="J12" s="73"/>
    </row>
    <row r="13" spans="1:11">
      <c r="A13" s="64"/>
      <c r="B13" s="64"/>
      <c r="C13" s="64"/>
      <c r="D13" s="64"/>
      <c r="E13" s="64"/>
      <c r="F13" s="64"/>
      <c r="G13" s="64"/>
      <c r="H13" s="64"/>
      <c r="I13" s="64"/>
      <c r="J13" s="64"/>
    </row>
    <row r="14" spans="1:11" ht="14.25" thickBot="1">
      <c r="A14" s="87" t="s">
        <v>19</v>
      </c>
      <c r="B14" s="87"/>
      <c r="C14" s="87"/>
      <c r="D14" s="87"/>
      <c r="E14" s="87"/>
      <c r="F14" s="87"/>
      <c r="G14" s="87"/>
      <c r="H14" s="87"/>
      <c r="I14" s="87"/>
      <c r="J14" s="88" t="s">
        <v>20</v>
      </c>
    </row>
    <row r="15" spans="1:11">
      <c r="A15" s="316" t="s">
        <v>50</v>
      </c>
      <c r="B15" s="306" t="s">
        <v>14</v>
      </c>
      <c r="C15" s="306" t="s">
        <v>15</v>
      </c>
      <c r="D15" s="306" t="s">
        <v>16</v>
      </c>
      <c r="E15" s="306" t="s">
        <v>0</v>
      </c>
      <c r="F15" s="306"/>
      <c r="G15" s="306"/>
      <c r="H15" s="306"/>
      <c r="I15" s="311" t="s">
        <v>24</v>
      </c>
      <c r="J15" s="313" t="s">
        <v>17</v>
      </c>
    </row>
    <row r="16" spans="1:11" ht="18">
      <c r="A16" s="317"/>
      <c r="B16" s="315"/>
      <c r="C16" s="315"/>
      <c r="D16" s="315"/>
      <c r="E16" s="175" t="s">
        <v>2</v>
      </c>
      <c r="F16" s="175" t="s">
        <v>4</v>
      </c>
      <c r="G16" s="175" t="s">
        <v>5</v>
      </c>
      <c r="H16" s="175" t="s">
        <v>23</v>
      </c>
      <c r="I16" s="312"/>
      <c r="J16" s="314"/>
    </row>
    <row r="17" spans="1:10">
      <c r="A17" s="310" t="s">
        <v>21</v>
      </c>
      <c r="B17" s="310"/>
      <c r="C17" s="310"/>
      <c r="D17" s="310"/>
      <c r="E17" s="310"/>
      <c r="F17" s="310"/>
      <c r="G17" s="310"/>
      <c r="H17" s="310"/>
      <c r="I17" s="310"/>
      <c r="J17" s="310"/>
    </row>
    <row r="18" spans="1:10" ht="38.25">
      <c r="A18" s="220">
        <v>1</v>
      </c>
      <c r="B18" s="221" t="s">
        <v>199</v>
      </c>
      <c r="C18" s="221" t="s">
        <v>200</v>
      </c>
      <c r="D18" s="221" t="s">
        <v>201</v>
      </c>
      <c r="E18" s="213">
        <v>40969</v>
      </c>
      <c r="F18" s="213">
        <v>41151</v>
      </c>
      <c r="G18" s="214">
        <v>6</v>
      </c>
      <c r="H18" s="214">
        <v>100</v>
      </c>
      <c r="I18" s="222">
        <v>600000</v>
      </c>
      <c r="J18" s="222">
        <f>+G18*I18</f>
        <v>3600000</v>
      </c>
    </row>
    <row r="19" spans="1:10" ht="89.25">
      <c r="A19" s="220">
        <v>2</v>
      </c>
      <c r="B19" s="221" t="s">
        <v>202</v>
      </c>
      <c r="C19" s="221" t="s">
        <v>202</v>
      </c>
      <c r="D19" s="223" t="s">
        <v>203</v>
      </c>
      <c r="E19" s="213">
        <v>40969</v>
      </c>
      <c r="F19" s="213">
        <v>41151</v>
      </c>
      <c r="G19" s="214">
        <v>6</v>
      </c>
      <c r="H19" s="214">
        <v>100</v>
      </c>
      <c r="I19" s="222">
        <v>2400000</v>
      </c>
      <c r="J19" s="222">
        <f>+I19*G19</f>
        <v>14400000</v>
      </c>
    </row>
    <row r="20" spans="1:10">
      <c r="A20" s="15"/>
      <c r="B20" s="15"/>
      <c r="C20" s="15"/>
      <c r="D20" s="15"/>
      <c r="E20" s="15"/>
      <c r="F20" s="49"/>
      <c r="G20" s="50"/>
      <c r="H20" s="1"/>
      <c r="I20" s="380" t="s">
        <v>119</v>
      </c>
      <c r="J20" s="89">
        <f>SUM(J18:J19)</f>
        <v>18000000</v>
      </c>
    </row>
    <row r="21" spans="1:10" ht="12.75" customHeight="1">
      <c r="A21" s="307" t="s">
        <v>22</v>
      </c>
      <c r="B21" s="307"/>
      <c r="C21" s="307"/>
      <c r="D21" s="307"/>
      <c r="E21" s="307"/>
      <c r="F21" s="307"/>
      <c r="G21" s="307"/>
      <c r="H21" s="308"/>
      <c r="I21" s="2"/>
      <c r="J21" s="89"/>
    </row>
    <row r="22" spans="1:10" ht="62.25" customHeight="1">
      <c r="A22" s="218">
        <v>1</v>
      </c>
      <c r="B22" s="212" t="s">
        <v>187</v>
      </c>
      <c r="C22" s="212" t="s">
        <v>188</v>
      </c>
      <c r="D22" s="212" t="s">
        <v>189</v>
      </c>
      <c r="E22" s="213">
        <v>40909</v>
      </c>
      <c r="F22" s="213">
        <v>41274</v>
      </c>
      <c r="G22" s="214">
        <v>12</v>
      </c>
      <c r="H22" s="214">
        <v>100</v>
      </c>
      <c r="I22" s="215">
        <v>1573901.1452937999</v>
      </c>
      <c r="J22" s="215">
        <f>+I22*G22</f>
        <v>18886813.743525598</v>
      </c>
    </row>
    <row r="23" spans="1:10" ht="72" customHeight="1">
      <c r="A23" s="218">
        <v>2</v>
      </c>
      <c r="B23" s="216" t="s">
        <v>190</v>
      </c>
      <c r="C23" s="216" t="s">
        <v>191</v>
      </c>
      <c r="D23" s="216" t="s">
        <v>192</v>
      </c>
      <c r="E23" s="213">
        <v>40909</v>
      </c>
      <c r="F23" s="213">
        <v>41274</v>
      </c>
      <c r="G23" s="214">
        <v>12</v>
      </c>
      <c r="H23" s="214">
        <v>100</v>
      </c>
      <c r="I23" s="215">
        <v>3564035.8373191999</v>
      </c>
      <c r="J23" s="215">
        <f>+I23*G23</f>
        <v>42768430.047830403</v>
      </c>
    </row>
    <row r="24" spans="1:10" ht="73.5" customHeight="1">
      <c r="A24" s="219">
        <v>3</v>
      </c>
      <c r="B24" s="212" t="s">
        <v>193</v>
      </c>
      <c r="C24" s="212" t="s">
        <v>194</v>
      </c>
      <c r="D24" s="212" t="s">
        <v>195</v>
      </c>
      <c r="E24" s="213">
        <v>40909</v>
      </c>
      <c r="F24" s="213">
        <v>41274</v>
      </c>
      <c r="G24" s="214">
        <v>12</v>
      </c>
      <c r="H24" s="214">
        <v>100</v>
      </c>
      <c r="I24" s="217">
        <v>3223576.4108347995</v>
      </c>
      <c r="J24" s="215">
        <f>+I24*G24</f>
        <v>38682916.930017591</v>
      </c>
    </row>
    <row r="25" spans="1:10" ht="101.25">
      <c r="A25" s="218">
        <v>4</v>
      </c>
      <c r="B25" s="212" t="s">
        <v>196</v>
      </c>
      <c r="C25" s="212" t="s">
        <v>197</v>
      </c>
      <c r="D25" s="212" t="s">
        <v>198</v>
      </c>
      <c r="E25" s="213">
        <v>40909</v>
      </c>
      <c r="F25" s="213">
        <v>41274</v>
      </c>
      <c r="G25" s="214">
        <v>12</v>
      </c>
      <c r="H25" s="214">
        <v>100</v>
      </c>
      <c r="I25" s="217">
        <v>2659117.0572172003</v>
      </c>
      <c r="J25" s="215">
        <f>+I25*G25</f>
        <v>31909404.686606403</v>
      </c>
    </row>
    <row r="26" spans="1:10">
      <c r="A26" s="51"/>
      <c r="B26" s="11"/>
      <c r="C26" s="11"/>
      <c r="D26" s="52"/>
      <c r="E26" s="11"/>
      <c r="F26" s="11"/>
      <c r="G26" s="11"/>
      <c r="H26" s="51"/>
      <c r="I26" s="2" t="s">
        <v>119</v>
      </c>
      <c r="J26" s="90">
        <f>SUM(J22:J25)</f>
        <v>132247565.40798</v>
      </c>
    </row>
    <row r="27" spans="1:10">
      <c r="A27" s="53"/>
      <c r="B27" s="54"/>
      <c r="C27" s="54"/>
      <c r="D27" s="54"/>
      <c r="E27" s="54"/>
      <c r="F27" s="54"/>
      <c r="G27" s="54"/>
      <c r="H27" s="54"/>
      <c r="I27" s="53"/>
      <c r="J27" s="53"/>
    </row>
    <row r="28" spans="1:10">
      <c r="A28" s="53"/>
      <c r="B28" s="53"/>
      <c r="C28" s="53"/>
      <c r="D28" s="53"/>
      <c r="E28" s="53"/>
      <c r="F28" s="53"/>
      <c r="G28" s="53"/>
      <c r="H28" s="53"/>
      <c r="I28" s="55" t="s">
        <v>30</v>
      </c>
      <c r="J28" s="91">
        <f>+J20+J26</f>
        <v>150247565.40798</v>
      </c>
    </row>
  </sheetData>
  <mergeCells count="30">
    <mergeCell ref="A9:B9"/>
    <mergeCell ref="A17:J17"/>
    <mergeCell ref="I15:I16"/>
    <mergeCell ref="J15:J16"/>
    <mergeCell ref="D15:D16"/>
    <mergeCell ref="A11:B11"/>
    <mergeCell ref="A15:A16"/>
    <mergeCell ref="B15:B16"/>
    <mergeCell ref="C15:C16"/>
    <mergeCell ref="A10:B10"/>
    <mergeCell ref="A12:B12"/>
    <mergeCell ref="E15:H15"/>
    <mergeCell ref="A21:H21"/>
    <mergeCell ref="I1:J1"/>
    <mergeCell ref="I2:J2"/>
    <mergeCell ref="I3:J3"/>
    <mergeCell ref="I4:J4"/>
    <mergeCell ref="I5:J5"/>
    <mergeCell ref="C6:D6"/>
    <mergeCell ref="I7:J7"/>
    <mergeCell ref="C9:D9"/>
    <mergeCell ref="A1:B8"/>
    <mergeCell ref="C1:H5"/>
    <mergeCell ref="C8:D8"/>
    <mergeCell ref="E8:H8"/>
    <mergeCell ref="I8:J8"/>
    <mergeCell ref="E6:H6"/>
    <mergeCell ref="I6:J6"/>
    <mergeCell ref="C7:D7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4"/>
  <sheetViews>
    <sheetView showGridLines="0" topLeftCell="A4" workbookViewId="0">
      <selection activeCell="B19" sqref="B19"/>
    </sheetView>
  </sheetViews>
  <sheetFormatPr baseColWidth="10" defaultRowHeight="12.75"/>
  <cols>
    <col min="1" max="1" width="6" style="3" customWidth="1"/>
    <col min="2" max="2" width="25.7109375" style="3" customWidth="1"/>
    <col min="3" max="3" width="19.28515625" style="3" customWidth="1"/>
    <col min="4" max="4" width="14" style="3" customWidth="1"/>
    <col min="5" max="5" width="10.5703125" style="3" customWidth="1"/>
    <col min="6" max="8" width="12.7109375" style="3" customWidth="1"/>
    <col min="9" max="9" width="15.5703125" style="3" customWidth="1"/>
    <col min="10" max="10" width="16.28515625" style="3" customWidth="1"/>
    <col min="11" max="16384" width="11.42578125" style="3"/>
  </cols>
  <sheetData>
    <row r="1" spans="1:11" ht="12.75" customHeight="1">
      <c r="A1" s="264"/>
      <c r="B1" s="265"/>
      <c r="C1" s="270" t="s">
        <v>175</v>
      </c>
      <c r="D1" s="270"/>
      <c r="E1" s="270"/>
      <c r="F1" s="270"/>
      <c r="G1" s="270"/>
      <c r="H1" s="270"/>
      <c r="I1" s="275" t="s">
        <v>164</v>
      </c>
      <c r="J1" s="276"/>
      <c r="K1" s="92"/>
    </row>
    <row r="2" spans="1:11" ht="16.5" customHeight="1">
      <c r="A2" s="266"/>
      <c r="B2" s="267"/>
      <c r="C2" s="271"/>
      <c r="D2" s="271"/>
      <c r="E2" s="271"/>
      <c r="F2" s="271"/>
      <c r="G2" s="271"/>
      <c r="H2" s="271"/>
      <c r="I2" s="272" t="s">
        <v>165</v>
      </c>
      <c r="J2" s="273"/>
      <c r="K2" s="92"/>
    </row>
    <row r="3" spans="1:11" ht="15.75" customHeight="1">
      <c r="A3" s="266"/>
      <c r="B3" s="267"/>
      <c r="C3" s="271"/>
      <c r="D3" s="271"/>
      <c r="E3" s="271"/>
      <c r="F3" s="271"/>
      <c r="G3" s="271"/>
      <c r="H3" s="271"/>
      <c r="I3" s="272" t="s">
        <v>166</v>
      </c>
      <c r="J3" s="273"/>
      <c r="K3" s="92"/>
    </row>
    <row r="4" spans="1:11" ht="15.75" customHeight="1">
      <c r="A4" s="266"/>
      <c r="B4" s="267"/>
      <c r="C4" s="271"/>
      <c r="D4" s="271"/>
      <c r="E4" s="271"/>
      <c r="F4" s="271"/>
      <c r="G4" s="271"/>
      <c r="H4" s="271"/>
      <c r="I4" s="272" t="s">
        <v>177</v>
      </c>
      <c r="J4" s="273"/>
      <c r="K4" s="92"/>
    </row>
    <row r="5" spans="1:11">
      <c r="A5" s="266"/>
      <c r="B5" s="267"/>
      <c r="C5" s="271"/>
      <c r="D5" s="271"/>
      <c r="E5" s="271"/>
      <c r="F5" s="271"/>
      <c r="G5" s="271"/>
      <c r="H5" s="271"/>
      <c r="I5" s="318" t="s">
        <v>151</v>
      </c>
      <c r="J5" s="319"/>
      <c r="K5" s="92"/>
    </row>
    <row r="6" spans="1:11" s="13" customFormat="1" ht="19.5" customHeight="1">
      <c r="A6" s="266"/>
      <c r="B6" s="267"/>
      <c r="C6" s="279" t="s">
        <v>167</v>
      </c>
      <c r="D6" s="279"/>
      <c r="E6" s="279" t="s">
        <v>168</v>
      </c>
      <c r="F6" s="279"/>
      <c r="G6" s="279"/>
      <c r="H6" s="279"/>
      <c r="I6" s="279" t="s">
        <v>169</v>
      </c>
      <c r="J6" s="280"/>
      <c r="K6" s="93"/>
    </row>
    <row r="7" spans="1:11" ht="15" customHeight="1">
      <c r="A7" s="266"/>
      <c r="B7" s="267"/>
      <c r="C7" s="279" t="s">
        <v>170</v>
      </c>
      <c r="D7" s="279"/>
      <c r="E7" s="279" t="s">
        <v>171</v>
      </c>
      <c r="F7" s="279"/>
      <c r="G7" s="279"/>
      <c r="H7" s="279"/>
      <c r="I7" s="279" t="s">
        <v>173</v>
      </c>
      <c r="J7" s="280"/>
      <c r="K7" s="94"/>
    </row>
    <row r="8" spans="1:11" ht="15" customHeight="1">
      <c r="A8" s="268"/>
      <c r="B8" s="269"/>
      <c r="C8" s="303"/>
      <c r="D8" s="303"/>
      <c r="E8" s="303" t="s">
        <v>172</v>
      </c>
      <c r="F8" s="303"/>
      <c r="G8" s="303"/>
      <c r="H8" s="303"/>
      <c r="I8" s="303" t="s">
        <v>174</v>
      </c>
      <c r="J8" s="304"/>
      <c r="K8" s="94"/>
    </row>
    <row r="9" spans="1:11" s="5" customFormat="1" ht="15" customHeight="1">
      <c r="A9" s="309" t="s">
        <v>7</v>
      </c>
      <c r="B9" s="309"/>
      <c r="C9" s="180" t="s">
        <v>243</v>
      </c>
      <c r="D9" s="180"/>
      <c r="E9" s="180"/>
      <c r="F9" s="180"/>
      <c r="G9" s="180"/>
      <c r="H9" s="180"/>
      <c r="I9" s="76" t="s">
        <v>118</v>
      </c>
      <c r="J9" s="71" t="str">
        <f>'POA-01'!I10</f>
        <v>0320-0900-1</v>
      </c>
      <c r="K9" s="6"/>
    </row>
    <row r="10" spans="1:11" s="5" customFormat="1" ht="15" customHeight="1">
      <c r="A10" s="72"/>
      <c r="B10" s="72"/>
      <c r="C10" s="86"/>
      <c r="D10" s="86"/>
      <c r="E10" s="86"/>
      <c r="F10" s="86"/>
      <c r="G10" s="86"/>
      <c r="H10" s="86"/>
      <c r="I10" s="83"/>
      <c r="J10" s="83"/>
      <c r="K10" s="6"/>
    </row>
    <row r="11" spans="1:11" s="5" customFormat="1" ht="16.5">
      <c r="A11" s="305" t="s">
        <v>8</v>
      </c>
      <c r="B11" s="305"/>
      <c r="C11" s="241">
        <f>+'POA-01'!C10</f>
        <v>695986267</v>
      </c>
      <c r="D11" s="77"/>
      <c r="E11" s="86"/>
      <c r="F11" s="86"/>
      <c r="G11" s="86"/>
      <c r="H11" s="86"/>
      <c r="I11" s="86"/>
      <c r="J11" s="86"/>
      <c r="K11" s="6"/>
    </row>
    <row r="12" spans="1:11" s="5" customFormat="1" ht="16.5">
      <c r="A12" s="305" t="s">
        <v>155</v>
      </c>
      <c r="B12" s="305"/>
      <c r="C12" s="242">
        <f>'POA-01'!D11</f>
        <v>0</v>
      </c>
      <c r="D12" s="78"/>
      <c r="E12" s="86"/>
      <c r="F12" s="86"/>
      <c r="G12" s="86"/>
      <c r="H12" s="86"/>
      <c r="I12" s="86"/>
      <c r="J12" s="86"/>
      <c r="K12" s="6"/>
    </row>
    <row r="13" spans="1:11" s="5" customFormat="1" ht="16.5">
      <c r="A13" s="305" t="s">
        <v>153</v>
      </c>
      <c r="B13" s="305"/>
      <c r="C13" s="243">
        <f>+'POA-01'!C12</f>
        <v>695986267</v>
      </c>
      <c r="D13" s="79"/>
      <c r="E13" s="86"/>
      <c r="F13" s="86"/>
      <c r="G13" s="86"/>
      <c r="H13" s="86"/>
      <c r="I13" s="86"/>
      <c r="J13" s="86"/>
      <c r="K13" s="6"/>
    </row>
    <row r="14" spans="1:11" s="5" customFormat="1" ht="16.5">
      <c r="A14" s="74"/>
      <c r="B14" s="74"/>
      <c r="C14" s="74"/>
      <c r="D14" s="74"/>
      <c r="E14" s="74"/>
      <c r="F14" s="74"/>
      <c r="G14" s="74"/>
      <c r="H14" s="74"/>
      <c r="I14" s="74"/>
      <c r="J14" s="74"/>
    </row>
    <row r="15" spans="1:11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1" s="7" customFormat="1" ht="14.25" thickBot="1">
      <c r="A16" s="87" t="s">
        <v>32</v>
      </c>
      <c r="B16" s="87"/>
      <c r="C16" s="87"/>
      <c r="D16" s="87"/>
      <c r="E16" s="87"/>
      <c r="F16" s="87"/>
      <c r="G16" s="87"/>
      <c r="H16" s="87"/>
      <c r="I16" s="87"/>
      <c r="J16" s="88" t="s">
        <v>33</v>
      </c>
    </row>
    <row r="17" spans="1:12" s="8" customFormat="1" ht="14.25" customHeight="1">
      <c r="A17" s="324" t="s">
        <v>50</v>
      </c>
      <c r="B17" s="322" t="s">
        <v>27</v>
      </c>
      <c r="C17" s="322" t="s">
        <v>28</v>
      </c>
      <c r="D17" s="320" t="s">
        <v>162</v>
      </c>
      <c r="E17" s="320" t="s">
        <v>29</v>
      </c>
      <c r="F17" s="326" t="s">
        <v>25</v>
      </c>
      <c r="G17" s="326"/>
      <c r="H17" s="322" t="s">
        <v>26</v>
      </c>
      <c r="I17" s="322"/>
      <c r="J17" s="321" t="s">
        <v>37</v>
      </c>
    </row>
    <row r="18" spans="1:12" s="8" customFormat="1" ht="14.25" thickBot="1">
      <c r="A18" s="300"/>
      <c r="B18" s="323"/>
      <c r="C18" s="323"/>
      <c r="D18" s="285"/>
      <c r="E18" s="285"/>
      <c r="F18" s="95" t="s">
        <v>207</v>
      </c>
      <c r="G18" s="95" t="s">
        <v>30</v>
      </c>
      <c r="H18" s="95" t="s">
        <v>31</v>
      </c>
      <c r="I18" s="95" t="s">
        <v>30</v>
      </c>
      <c r="J18" s="290"/>
    </row>
    <row r="19" spans="1:12" s="4" customFormat="1" ht="63.75">
      <c r="A19" s="97">
        <v>1</v>
      </c>
      <c r="B19" s="223" t="s">
        <v>204</v>
      </c>
      <c r="C19" s="98" t="s">
        <v>208</v>
      </c>
      <c r="D19" s="96"/>
      <c r="E19" s="113">
        <v>40</v>
      </c>
      <c r="F19" s="119">
        <v>5</v>
      </c>
      <c r="G19" s="119">
        <v>200</v>
      </c>
      <c r="H19" s="211">
        <v>45000</v>
      </c>
      <c r="I19" s="211">
        <f>+H19*G19</f>
        <v>9000000</v>
      </c>
      <c r="J19" s="225" t="s">
        <v>206</v>
      </c>
      <c r="L19" s="16"/>
    </row>
    <row r="20" spans="1:12" s="4" customFormat="1" ht="40.5">
      <c r="A20" s="97">
        <v>2</v>
      </c>
      <c r="B20" s="223" t="s">
        <v>205</v>
      </c>
      <c r="C20" s="98" t="s">
        <v>209</v>
      </c>
      <c r="D20" s="96"/>
      <c r="E20" s="113">
        <v>800</v>
      </c>
      <c r="F20" s="119">
        <v>5</v>
      </c>
      <c r="G20" s="119">
        <v>4000</v>
      </c>
      <c r="H20" s="211">
        <v>4000</v>
      </c>
      <c r="I20" s="211">
        <f>+H20*G20</f>
        <v>16000000</v>
      </c>
      <c r="J20" s="225" t="s">
        <v>206</v>
      </c>
    </row>
    <row r="21" spans="1:12" s="4" customFormat="1" ht="13.5">
      <c r="A21" s="97"/>
      <c r="B21" s="98"/>
      <c r="C21" s="98"/>
      <c r="D21" s="98"/>
      <c r="E21" s="100"/>
      <c r="F21" s="99"/>
      <c r="G21" s="99"/>
      <c r="H21" s="104">
        <v>0</v>
      </c>
      <c r="I21" s="104">
        <f>+G21*H21</f>
        <v>0</v>
      </c>
      <c r="J21" s="99"/>
    </row>
    <row r="22" spans="1:12" s="4" customFormat="1" ht="13.5">
      <c r="A22" s="325" t="s">
        <v>18</v>
      </c>
      <c r="B22" s="325"/>
      <c r="C22" s="102"/>
      <c r="D22" s="102"/>
      <c r="E22" s="101"/>
      <c r="F22" s="103"/>
      <c r="G22" s="103"/>
      <c r="H22" s="105">
        <v>0</v>
      </c>
      <c r="I22" s="105">
        <f>SUM(I19:I21)</f>
        <v>25000000</v>
      </c>
      <c r="J22" s="103"/>
      <c r="L22" s="16"/>
    </row>
    <row r="24" spans="1:12">
      <c r="I24" s="59"/>
    </row>
  </sheetData>
  <mergeCells count="29">
    <mergeCell ref="A22:B22"/>
    <mergeCell ref="F17:G17"/>
    <mergeCell ref="H17:I17"/>
    <mergeCell ref="I7:J7"/>
    <mergeCell ref="I4:J4"/>
    <mergeCell ref="A1:B8"/>
    <mergeCell ref="A12:B12"/>
    <mergeCell ref="C1:H5"/>
    <mergeCell ref="I1:J1"/>
    <mergeCell ref="I2:J2"/>
    <mergeCell ref="C7:D7"/>
    <mergeCell ref="J17:J18"/>
    <mergeCell ref="E17:E18"/>
    <mergeCell ref="B17:B18"/>
    <mergeCell ref="A17:A18"/>
    <mergeCell ref="C17:C18"/>
    <mergeCell ref="A11:B11"/>
    <mergeCell ref="A9:B9"/>
    <mergeCell ref="E7:H7"/>
    <mergeCell ref="I5:J5"/>
    <mergeCell ref="A13:B13"/>
    <mergeCell ref="D17:D18"/>
    <mergeCell ref="I3:J3"/>
    <mergeCell ref="C8:D8"/>
    <mergeCell ref="E8:H8"/>
    <mergeCell ref="I8:J8"/>
    <mergeCell ref="C6:D6"/>
    <mergeCell ref="E6:H6"/>
    <mergeCell ref="I6:J6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4"/>
  <sheetViews>
    <sheetView showGridLines="0" topLeftCell="A4" workbookViewId="0">
      <selection activeCell="L16" sqref="L16"/>
    </sheetView>
  </sheetViews>
  <sheetFormatPr baseColWidth="10" defaultRowHeight="12.75"/>
  <cols>
    <col min="1" max="1" width="5.140625" style="3" customWidth="1"/>
    <col min="2" max="2" width="22.7109375" style="3" customWidth="1"/>
    <col min="3" max="3" width="20.140625" style="3" customWidth="1"/>
    <col min="4" max="4" width="12.5703125" style="3" customWidth="1"/>
    <col min="5" max="5" width="8.28515625" style="3" customWidth="1"/>
    <col min="6" max="6" width="10.28515625" style="3" customWidth="1"/>
    <col min="7" max="7" width="14.140625" style="3" customWidth="1"/>
    <col min="8" max="8" width="15" style="3" customWidth="1"/>
    <col min="9" max="9" width="15.7109375" style="3" customWidth="1"/>
    <col min="10" max="10" width="6.7109375" style="3" customWidth="1"/>
    <col min="11" max="16384" width="11.42578125" style="3"/>
  </cols>
  <sheetData>
    <row r="1" spans="1:11" ht="16.5" customHeight="1">
      <c r="A1" s="264"/>
      <c r="B1" s="265"/>
      <c r="C1" s="270" t="s">
        <v>175</v>
      </c>
      <c r="D1" s="270"/>
      <c r="E1" s="270"/>
      <c r="F1" s="270"/>
      <c r="G1" s="270"/>
      <c r="H1" s="270"/>
      <c r="I1" s="275" t="s">
        <v>164</v>
      </c>
      <c r="J1" s="276"/>
    </row>
    <row r="2" spans="1:11" ht="15" customHeight="1">
      <c r="A2" s="266"/>
      <c r="B2" s="267"/>
      <c r="C2" s="271"/>
      <c r="D2" s="271"/>
      <c r="E2" s="271"/>
      <c r="F2" s="271"/>
      <c r="G2" s="271"/>
      <c r="H2" s="271"/>
      <c r="I2" s="272" t="s">
        <v>165</v>
      </c>
      <c r="J2" s="273"/>
    </row>
    <row r="3" spans="1:11" ht="14.25" customHeight="1">
      <c r="A3" s="266"/>
      <c r="B3" s="267"/>
      <c r="C3" s="271"/>
      <c r="D3" s="271"/>
      <c r="E3" s="271"/>
      <c r="F3" s="271"/>
      <c r="G3" s="271"/>
      <c r="H3" s="271"/>
      <c r="I3" s="272" t="s">
        <v>166</v>
      </c>
      <c r="J3" s="273"/>
    </row>
    <row r="4" spans="1:11" ht="14.25" customHeight="1">
      <c r="A4" s="266"/>
      <c r="B4" s="267"/>
      <c r="C4" s="271"/>
      <c r="D4" s="271"/>
      <c r="E4" s="271"/>
      <c r="F4" s="271"/>
      <c r="G4" s="271"/>
      <c r="H4" s="271"/>
      <c r="I4" s="272" t="s">
        <v>177</v>
      </c>
      <c r="J4" s="273"/>
    </row>
    <row r="5" spans="1:11" ht="15" customHeight="1">
      <c r="A5" s="266"/>
      <c r="B5" s="267"/>
      <c r="C5" s="271"/>
      <c r="D5" s="271"/>
      <c r="E5" s="271"/>
      <c r="F5" s="271"/>
      <c r="G5" s="271"/>
      <c r="H5" s="271"/>
      <c r="I5" s="318" t="s">
        <v>151</v>
      </c>
      <c r="J5" s="319"/>
    </row>
    <row r="6" spans="1:11" s="13" customFormat="1" ht="19.5" customHeight="1">
      <c r="A6" s="266"/>
      <c r="B6" s="267"/>
      <c r="C6" s="279" t="s">
        <v>167</v>
      </c>
      <c r="D6" s="279"/>
      <c r="E6" s="279" t="s">
        <v>168</v>
      </c>
      <c r="F6" s="279"/>
      <c r="G6" s="279"/>
      <c r="H6" s="279"/>
      <c r="I6" s="279" t="s">
        <v>169</v>
      </c>
      <c r="J6" s="280"/>
      <c r="K6" s="12"/>
    </row>
    <row r="7" spans="1:11" s="5" customFormat="1" ht="14.25" customHeight="1">
      <c r="A7" s="266"/>
      <c r="B7" s="267"/>
      <c r="C7" s="279" t="s">
        <v>170</v>
      </c>
      <c r="D7" s="279"/>
      <c r="E7" s="279" t="s">
        <v>171</v>
      </c>
      <c r="F7" s="279"/>
      <c r="G7" s="279"/>
      <c r="H7" s="279"/>
      <c r="I7" s="279" t="s">
        <v>173</v>
      </c>
      <c r="J7" s="280"/>
      <c r="K7" s="6"/>
    </row>
    <row r="8" spans="1:11" s="5" customFormat="1" ht="14.25" customHeight="1">
      <c r="A8" s="268"/>
      <c r="B8" s="269"/>
      <c r="C8" s="303"/>
      <c r="D8" s="303"/>
      <c r="E8" s="303" t="s">
        <v>172</v>
      </c>
      <c r="F8" s="303"/>
      <c r="G8" s="303"/>
      <c r="H8" s="303"/>
      <c r="I8" s="303" t="s">
        <v>174</v>
      </c>
      <c r="J8" s="304"/>
      <c r="K8" s="6"/>
    </row>
    <row r="9" spans="1:11" s="5" customFormat="1" ht="15" customHeight="1">
      <c r="A9" s="309" t="s">
        <v>156</v>
      </c>
      <c r="B9" s="309"/>
      <c r="C9" s="327" t="s">
        <v>243</v>
      </c>
      <c r="D9" s="327"/>
      <c r="E9" s="327"/>
      <c r="F9" s="327"/>
      <c r="G9" s="86"/>
      <c r="H9" s="132" t="s">
        <v>118</v>
      </c>
      <c r="I9" s="132"/>
      <c r="J9" s="86"/>
      <c r="K9" s="6"/>
    </row>
    <row r="10" spans="1:11" s="5" customFormat="1" ht="16.5">
      <c r="A10" s="305" t="s">
        <v>8</v>
      </c>
      <c r="B10" s="305"/>
      <c r="C10" s="241">
        <f>'POA-01'!C10</f>
        <v>695986267</v>
      </c>
      <c r="D10" s="77"/>
      <c r="E10" s="86"/>
      <c r="F10" s="86"/>
      <c r="G10" s="86"/>
      <c r="H10" s="86"/>
      <c r="I10" s="86"/>
      <c r="J10" s="86"/>
      <c r="K10" s="6"/>
    </row>
    <row r="11" spans="1:11" s="5" customFormat="1" ht="16.5">
      <c r="A11" s="305" t="s">
        <v>150</v>
      </c>
      <c r="B11" s="305"/>
      <c r="C11" s="244">
        <f>'POA-01'!D11</f>
        <v>0</v>
      </c>
      <c r="D11" s="75"/>
      <c r="E11" s="86"/>
      <c r="F11" s="86"/>
      <c r="G11" s="86"/>
      <c r="H11" s="86"/>
      <c r="I11" s="86"/>
      <c r="J11" s="86"/>
      <c r="K11" s="6"/>
    </row>
    <row r="12" spans="1:11" s="5" customFormat="1" ht="16.5">
      <c r="A12" s="305" t="s">
        <v>9</v>
      </c>
      <c r="B12" s="305"/>
      <c r="C12" s="242">
        <f>C10</f>
        <v>695986267</v>
      </c>
      <c r="D12" s="78"/>
      <c r="E12" s="86"/>
      <c r="F12" s="86"/>
      <c r="G12" s="86"/>
      <c r="H12" s="86"/>
      <c r="I12" s="86"/>
      <c r="J12" s="86"/>
      <c r="K12" s="6"/>
    </row>
    <row r="13" spans="1:11" s="4" customFormat="1" ht="13.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1" s="7" customFormat="1" ht="14.25" thickBot="1">
      <c r="A14" s="107" t="s">
        <v>35</v>
      </c>
      <c r="B14" s="87"/>
      <c r="C14" s="87"/>
      <c r="D14" s="87"/>
      <c r="E14" s="87"/>
      <c r="F14" s="87"/>
      <c r="G14" s="87"/>
      <c r="H14" s="87"/>
      <c r="I14" s="88" t="s">
        <v>36</v>
      </c>
      <c r="J14" s="87"/>
    </row>
    <row r="15" spans="1:11" s="8" customFormat="1" ht="27.75" thickBot="1">
      <c r="A15" s="108" t="s">
        <v>50</v>
      </c>
      <c r="B15" s="109" t="s">
        <v>34</v>
      </c>
      <c r="C15" s="109" t="s">
        <v>28</v>
      </c>
      <c r="D15" s="109" t="s">
        <v>163</v>
      </c>
      <c r="E15" s="110" t="s">
        <v>29</v>
      </c>
      <c r="F15" s="110" t="s">
        <v>25</v>
      </c>
      <c r="G15" s="110" t="s">
        <v>40</v>
      </c>
      <c r="H15" s="110" t="s">
        <v>39</v>
      </c>
      <c r="I15" s="111" t="s">
        <v>38</v>
      </c>
      <c r="J15" s="112"/>
    </row>
    <row r="16" spans="1:11" s="8" customFormat="1" ht="38.25">
      <c r="A16" s="113">
        <v>1</v>
      </c>
      <c r="B16" s="226" t="s">
        <v>210</v>
      </c>
      <c r="C16" s="227" t="s">
        <v>211</v>
      </c>
      <c r="D16" s="114"/>
      <c r="E16" s="229" t="s">
        <v>214</v>
      </c>
      <c r="F16" s="224">
        <v>1</v>
      </c>
      <c r="G16" s="224">
        <v>2000000</v>
      </c>
      <c r="H16" s="224">
        <f>+F16*G16</f>
        <v>2000000</v>
      </c>
      <c r="I16" s="224" t="s">
        <v>216</v>
      </c>
      <c r="J16" s="117"/>
    </row>
    <row r="17" spans="1:10" s="8" customFormat="1" ht="63.75">
      <c r="A17" s="69">
        <v>2</v>
      </c>
      <c r="B17" s="226" t="s">
        <v>213</v>
      </c>
      <c r="C17" s="227" t="s">
        <v>212</v>
      </c>
      <c r="D17" s="118"/>
      <c r="E17" s="229" t="s">
        <v>214</v>
      </c>
      <c r="F17" s="228">
        <v>1</v>
      </c>
      <c r="G17" s="228">
        <v>1800000</v>
      </c>
      <c r="H17" s="224">
        <f>+F17*G17</f>
        <v>1800000</v>
      </c>
      <c r="I17" s="224" t="s">
        <v>215</v>
      </c>
      <c r="J17" s="112"/>
    </row>
    <row r="18" spans="1:10" s="8" customFormat="1" ht="13.5">
      <c r="A18" s="69"/>
      <c r="B18" s="120"/>
      <c r="C18" s="118"/>
      <c r="D18" s="118"/>
      <c r="E18" s="116"/>
      <c r="F18" s="119"/>
      <c r="G18" s="121"/>
      <c r="H18" s="115"/>
      <c r="I18" s="122"/>
      <c r="J18" s="112"/>
    </row>
    <row r="19" spans="1:10" s="4" customFormat="1" ht="13.5">
      <c r="A19" s="123"/>
      <c r="B19" s="123"/>
      <c r="C19" s="123"/>
      <c r="D19" s="123"/>
      <c r="E19" s="124"/>
      <c r="F19" s="124"/>
      <c r="G19" s="103" t="s">
        <v>30</v>
      </c>
      <c r="H19" s="103">
        <f>SUM(H16:H18)</f>
        <v>3800000</v>
      </c>
      <c r="I19" s="103"/>
      <c r="J19" s="106"/>
    </row>
    <row r="20" spans="1:10" s="4" customFormat="1" ht="11.25">
      <c r="E20" s="16"/>
      <c r="F20" s="16"/>
      <c r="G20" s="16"/>
      <c r="H20" s="16"/>
      <c r="I20" s="16"/>
    </row>
    <row r="21" spans="1:10" s="4" customFormat="1" ht="11.25"/>
    <row r="22" spans="1:10" s="4" customFormat="1" ht="11.25"/>
    <row r="23" spans="1:10" s="4" customFormat="1" ht="11.25">
      <c r="H23" s="56"/>
    </row>
    <row r="24" spans="1:10" s="4" customFormat="1" ht="11.25"/>
  </sheetData>
  <mergeCells count="21">
    <mergeCell ref="I6:J6"/>
    <mergeCell ref="I7:J7"/>
    <mergeCell ref="A11:B11"/>
    <mergeCell ref="I8:J8"/>
    <mergeCell ref="C6:D6"/>
    <mergeCell ref="C1:H5"/>
    <mergeCell ref="C8:D8"/>
    <mergeCell ref="E8:H8"/>
    <mergeCell ref="E7:H7"/>
    <mergeCell ref="I4:J4"/>
    <mergeCell ref="I5:J5"/>
    <mergeCell ref="A1:B8"/>
    <mergeCell ref="E6:H6"/>
    <mergeCell ref="I1:J1"/>
    <mergeCell ref="I2:J2"/>
    <mergeCell ref="I3:J3"/>
    <mergeCell ref="A12:B12"/>
    <mergeCell ref="A9:B9"/>
    <mergeCell ref="C9:F9"/>
    <mergeCell ref="A10:B10"/>
    <mergeCell ref="C7:D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8"/>
  <sheetViews>
    <sheetView showGridLines="0" topLeftCell="A20" workbookViewId="0">
      <selection activeCell="G32" sqref="G32"/>
    </sheetView>
  </sheetViews>
  <sheetFormatPr baseColWidth="10" defaultRowHeight="12.75"/>
  <cols>
    <col min="1" max="1" width="5.5703125" style="3" customWidth="1"/>
    <col min="2" max="2" width="27.28515625" style="3" customWidth="1"/>
    <col min="3" max="3" width="16.7109375" style="3" customWidth="1"/>
    <col min="4" max="5" width="7.28515625" style="3" customWidth="1"/>
    <col min="6" max="6" width="8.28515625" style="3" customWidth="1"/>
    <col min="7" max="7" width="15.7109375" style="3" customWidth="1"/>
    <col min="8" max="8" width="15.42578125" style="3" customWidth="1"/>
    <col min="9" max="9" width="22.5703125" style="3" customWidth="1"/>
    <col min="10" max="10" width="1.85546875" style="3" customWidth="1"/>
    <col min="11" max="11" width="17.42578125" style="3" customWidth="1"/>
    <col min="12" max="12" width="11.42578125" style="3"/>
    <col min="13" max="13" width="12.7109375" style="3" bestFit="1" customWidth="1"/>
    <col min="14" max="16384" width="11.42578125" style="3"/>
  </cols>
  <sheetData>
    <row r="1" spans="1:10" s="4" customFormat="1" ht="12" customHeight="1">
      <c r="A1" s="264"/>
      <c r="B1" s="265"/>
      <c r="C1" s="270" t="s">
        <v>175</v>
      </c>
      <c r="D1" s="270"/>
      <c r="E1" s="270"/>
      <c r="F1" s="270"/>
      <c r="G1" s="270"/>
      <c r="H1" s="270"/>
      <c r="I1" s="275" t="s">
        <v>164</v>
      </c>
      <c r="J1" s="276"/>
    </row>
    <row r="2" spans="1:10" s="4" customFormat="1" ht="13.5" customHeight="1">
      <c r="A2" s="266"/>
      <c r="B2" s="267"/>
      <c r="C2" s="271"/>
      <c r="D2" s="271"/>
      <c r="E2" s="271"/>
      <c r="F2" s="271"/>
      <c r="G2" s="271"/>
      <c r="H2" s="271"/>
      <c r="I2" s="272" t="s">
        <v>165</v>
      </c>
      <c r="J2" s="273"/>
    </row>
    <row r="3" spans="1:10" s="4" customFormat="1" ht="13.5" customHeight="1">
      <c r="A3" s="266"/>
      <c r="B3" s="267"/>
      <c r="C3" s="271"/>
      <c r="D3" s="271"/>
      <c r="E3" s="271"/>
      <c r="F3" s="271"/>
      <c r="G3" s="271"/>
      <c r="H3" s="271"/>
      <c r="I3" s="272" t="s">
        <v>166</v>
      </c>
      <c r="J3" s="273"/>
    </row>
    <row r="4" spans="1:10" s="4" customFormat="1" ht="13.5" customHeight="1">
      <c r="A4" s="266"/>
      <c r="B4" s="267"/>
      <c r="C4" s="271"/>
      <c r="D4" s="271"/>
      <c r="E4" s="271"/>
      <c r="F4" s="271"/>
      <c r="G4" s="271"/>
      <c r="H4" s="271"/>
      <c r="I4" s="272" t="s">
        <v>177</v>
      </c>
      <c r="J4" s="273"/>
    </row>
    <row r="5" spans="1:10" s="4" customFormat="1" ht="12.75" customHeight="1">
      <c r="A5" s="266"/>
      <c r="B5" s="267"/>
      <c r="C5" s="271"/>
      <c r="D5" s="271"/>
      <c r="E5" s="271"/>
      <c r="F5" s="271"/>
      <c r="G5" s="271"/>
      <c r="H5" s="271"/>
      <c r="I5" s="277" t="s">
        <v>151</v>
      </c>
      <c r="J5" s="278"/>
    </row>
    <row r="6" spans="1:10" s="4" customFormat="1" ht="15.75" customHeight="1">
      <c r="A6" s="266"/>
      <c r="B6" s="267"/>
      <c r="C6" s="279" t="s">
        <v>167</v>
      </c>
      <c r="D6" s="279"/>
      <c r="E6" s="279" t="s">
        <v>168</v>
      </c>
      <c r="F6" s="279"/>
      <c r="G6" s="279"/>
      <c r="H6" s="279"/>
      <c r="I6" s="279" t="s">
        <v>169</v>
      </c>
      <c r="J6" s="280"/>
    </row>
    <row r="7" spans="1:10" s="4" customFormat="1" ht="17.25" customHeight="1">
      <c r="A7" s="266"/>
      <c r="B7" s="267"/>
      <c r="C7" s="330" t="s">
        <v>170</v>
      </c>
      <c r="D7" s="330"/>
      <c r="E7" s="279" t="s">
        <v>171</v>
      </c>
      <c r="F7" s="279"/>
      <c r="G7" s="279"/>
      <c r="H7" s="279"/>
      <c r="I7" s="279" t="s">
        <v>173</v>
      </c>
      <c r="J7" s="280"/>
    </row>
    <row r="8" spans="1:10" s="4" customFormat="1" ht="17.25" customHeight="1">
      <c r="A8" s="268"/>
      <c r="B8" s="269"/>
      <c r="C8" s="331"/>
      <c r="D8" s="331"/>
      <c r="E8" s="303" t="s">
        <v>172</v>
      </c>
      <c r="F8" s="303"/>
      <c r="G8" s="303"/>
      <c r="H8" s="303"/>
      <c r="I8" s="303" t="s">
        <v>174</v>
      </c>
      <c r="J8" s="304"/>
    </row>
    <row r="9" spans="1:10" s="4" customFormat="1" ht="16.5">
      <c r="A9" s="145" t="s">
        <v>7</v>
      </c>
      <c r="B9" s="145"/>
      <c r="C9" s="328" t="s">
        <v>243</v>
      </c>
      <c r="D9" s="329"/>
      <c r="E9" s="329"/>
      <c r="F9" s="86"/>
      <c r="G9" s="132" t="s">
        <v>118</v>
      </c>
      <c r="H9" s="132"/>
      <c r="I9" s="86"/>
    </row>
    <row r="10" spans="1:10" s="4" customFormat="1" ht="16.5">
      <c r="A10" s="305" t="s">
        <v>8</v>
      </c>
      <c r="B10" s="305"/>
      <c r="C10" s="241">
        <f>+'POA-01'!C10</f>
        <v>695986267</v>
      </c>
      <c r="D10" s="86"/>
      <c r="E10" s="86"/>
      <c r="F10" s="86"/>
      <c r="G10" s="86"/>
      <c r="H10" s="86"/>
      <c r="I10" s="86"/>
    </row>
    <row r="11" spans="1:10" s="4" customFormat="1" ht="16.5">
      <c r="A11" s="305" t="s">
        <v>10</v>
      </c>
      <c r="B11" s="305"/>
      <c r="C11" s="243">
        <f>'POA-01'!D11</f>
        <v>0</v>
      </c>
      <c r="D11" s="86"/>
      <c r="E11" s="86"/>
      <c r="F11" s="86"/>
      <c r="G11" s="86"/>
      <c r="H11" s="86"/>
      <c r="I11" s="86"/>
    </row>
    <row r="12" spans="1:10" s="4" customFormat="1" ht="16.5">
      <c r="A12" s="305" t="s">
        <v>9</v>
      </c>
      <c r="B12" s="305"/>
      <c r="C12" s="241">
        <f>+'POA-01'!C12</f>
        <v>695986267</v>
      </c>
      <c r="D12" s="86"/>
      <c r="E12" s="86"/>
      <c r="F12" s="86"/>
      <c r="G12" s="86"/>
      <c r="H12" s="86"/>
      <c r="I12" s="86"/>
    </row>
    <row r="13" spans="1:10" s="4" customFormat="1" ht="16.5">
      <c r="A13" s="65"/>
      <c r="B13" s="65"/>
      <c r="C13" s="77"/>
      <c r="D13" s="65"/>
      <c r="E13" s="65"/>
      <c r="F13" s="65"/>
      <c r="G13" s="65"/>
      <c r="H13" s="65"/>
      <c r="I13" s="65"/>
    </row>
    <row r="14" spans="1:10" s="4" customFormat="1" ht="14.25" thickBot="1">
      <c r="A14" s="87" t="s">
        <v>41</v>
      </c>
      <c r="B14" s="87"/>
      <c r="C14" s="87"/>
      <c r="D14" s="87"/>
      <c r="E14" s="87"/>
      <c r="F14" s="87"/>
      <c r="G14" s="87"/>
      <c r="H14" s="87"/>
      <c r="I14" s="88" t="s">
        <v>47</v>
      </c>
    </row>
    <row r="15" spans="1:10" s="4" customFormat="1" ht="13.5">
      <c r="A15" s="324" t="s">
        <v>50</v>
      </c>
      <c r="B15" s="320" t="s">
        <v>16</v>
      </c>
      <c r="C15" s="320" t="s">
        <v>26</v>
      </c>
      <c r="D15" s="337" t="s">
        <v>0</v>
      </c>
      <c r="E15" s="338"/>
      <c r="F15" s="339"/>
      <c r="G15" s="340" t="s">
        <v>44</v>
      </c>
      <c r="H15" s="340" t="s">
        <v>43</v>
      </c>
      <c r="I15" s="321" t="s">
        <v>3</v>
      </c>
    </row>
    <row r="16" spans="1:10" s="4" customFormat="1" ht="18.75" thickBot="1">
      <c r="A16" s="300"/>
      <c r="B16" s="285"/>
      <c r="C16" s="285"/>
      <c r="D16" s="125" t="s">
        <v>42</v>
      </c>
      <c r="E16" s="125" t="s">
        <v>4</v>
      </c>
      <c r="F16" s="125" t="s">
        <v>5</v>
      </c>
      <c r="G16" s="341"/>
      <c r="H16" s="341"/>
      <c r="I16" s="290"/>
    </row>
    <row r="17" spans="1:13" s="4" customFormat="1" ht="13.5">
      <c r="A17" s="333" t="s">
        <v>45</v>
      </c>
      <c r="B17" s="333"/>
      <c r="C17" s="333"/>
      <c r="D17" s="333"/>
      <c r="E17" s="333"/>
      <c r="F17" s="333"/>
      <c r="G17" s="333"/>
      <c r="H17" s="333"/>
      <c r="I17" s="333"/>
    </row>
    <row r="18" spans="1:13" s="4" customFormat="1" ht="67.5">
      <c r="A18" s="203"/>
      <c r="B18" s="98" t="s">
        <v>178</v>
      </c>
      <c r="C18" s="205">
        <v>78395467</v>
      </c>
      <c r="D18" s="69" t="s">
        <v>217</v>
      </c>
      <c r="E18" s="69" t="s">
        <v>218</v>
      </c>
      <c r="F18" s="69">
        <v>9</v>
      </c>
      <c r="G18" s="70" t="s">
        <v>222</v>
      </c>
      <c r="H18" s="70" t="s">
        <v>220</v>
      </c>
      <c r="I18" s="69" t="s">
        <v>221</v>
      </c>
    </row>
    <row r="19" spans="1:13" s="4" customFormat="1" ht="67.5">
      <c r="A19" s="203"/>
      <c r="B19" s="98" t="s">
        <v>179</v>
      </c>
      <c r="C19" s="205">
        <v>72000000</v>
      </c>
      <c r="D19" s="69" t="s">
        <v>217</v>
      </c>
      <c r="E19" s="69" t="s">
        <v>218</v>
      </c>
      <c r="F19" s="69">
        <v>9</v>
      </c>
      <c r="G19" s="70" t="s">
        <v>219</v>
      </c>
      <c r="H19" s="70" t="s">
        <v>220</v>
      </c>
      <c r="I19" s="69" t="s">
        <v>221</v>
      </c>
    </row>
    <row r="20" spans="1:13" s="4" customFormat="1" ht="13.5">
      <c r="A20" s="203"/>
      <c r="B20" s="203"/>
      <c r="C20" s="205"/>
      <c r="D20" s="203"/>
      <c r="E20" s="203"/>
      <c r="F20" s="203"/>
      <c r="G20" s="203"/>
      <c r="H20" s="203"/>
      <c r="I20" s="203"/>
    </row>
    <row r="21" spans="1:13" s="4" customFormat="1" ht="13.5">
      <c r="A21" s="334" t="s">
        <v>186</v>
      </c>
      <c r="B21" s="334"/>
      <c r="C21" s="206">
        <f>SUM(C18:C20)</f>
        <v>150395467</v>
      </c>
      <c r="D21" s="102"/>
      <c r="E21" s="102"/>
      <c r="F21" s="102"/>
      <c r="G21" s="102"/>
      <c r="H21" s="102"/>
      <c r="I21" s="102"/>
    </row>
    <row r="22" spans="1:13" s="4" customFormat="1" ht="13.5" customHeight="1">
      <c r="A22" s="335" t="s">
        <v>46</v>
      </c>
      <c r="B22" s="336"/>
      <c r="C22" s="102"/>
      <c r="D22" s="102"/>
      <c r="E22" s="102"/>
      <c r="F22" s="102"/>
      <c r="G22" s="102"/>
      <c r="H22" s="102"/>
      <c r="I22" s="102"/>
      <c r="K22" s="171"/>
    </row>
    <row r="23" spans="1:13" s="4" customFormat="1" ht="54">
      <c r="A23" s="69">
        <v>1</v>
      </c>
      <c r="B23" s="100" t="s">
        <v>180</v>
      </c>
      <c r="C23" s="207">
        <v>57700000</v>
      </c>
      <c r="D23" s="69" t="s">
        <v>217</v>
      </c>
      <c r="E23" s="69" t="s">
        <v>218</v>
      </c>
      <c r="F23" s="69">
        <v>9</v>
      </c>
      <c r="G23" s="118" t="s">
        <v>223</v>
      </c>
      <c r="H23" s="118" t="s">
        <v>224</v>
      </c>
      <c r="I23" s="69" t="s">
        <v>221</v>
      </c>
      <c r="K23" s="168"/>
      <c r="M23" s="172"/>
    </row>
    <row r="24" spans="1:13" s="4" customFormat="1" ht="40.5">
      <c r="A24" s="69">
        <v>2</v>
      </c>
      <c r="B24" s="100" t="s">
        <v>181</v>
      </c>
      <c r="C24" s="208">
        <v>60000000</v>
      </c>
      <c r="D24" s="69" t="s">
        <v>217</v>
      </c>
      <c r="E24" s="69" t="s">
        <v>218</v>
      </c>
      <c r="F24" s="69">
        <v>9</v>
      </c>
      <c r="G24" s="118" t="s">
        <v>223</v>
      </c>
      <c r="H24" s="118" t="s">
        <v>224</v>
      </c>
      <c r="I24" s="69" t="s">
        <v>221</v>
      </c>
      <c r="J24" s="169"/>
      <c r="K24" s="168"/>
    </row>
    <row r="25" spans="1:13" s="4" customFormat="1" ht="54">
      <c r="A25" s="69">
        <v>3</v>
      </c>
      <c r="B25" s="100" t="s">
        <v>182</v>
      </c>
      <c r="C25" s="211">
        <v>58500000</v>
      </c>
      <c r="D25" s="69" t="s">
        <v>217</v>
      </c>
      <c r="E25" s="69" t="s">
        <v>218</v>
      </c>
      <c r="F25" s="69">
        <v>9</v>
      </c>
      <c r="G25" s="118" t="s">
        <v>223</v>
      </c>
      <c r="H25" s="118" t="s">
        <v>224</v>
      </c>
      <c r="I25" s="69" t="s">
        <v>221</v>
      </c>
      <c r="J25" s="169"/>
      <c r="K25" s="168"/>
      <c r="L25" s="16"/>
    </row>
    <row r="26" spans="1:13" s="4" customFormat="1" ht="44.25" customHeight="1">
      <c r="A26" s="97">
        <v>4</v>
      </c>
      <c r="B26" s="100" t="s">
        <v>183</v>
      </c>
      <c r="C26" s="210">
        <v>62500000</v>
      </c>
      <c r="D26" s="69" t="s">
        <v>217</v>
      </c>
      <c r="E26" s="69" t="s">
        <v>218</v>
      </c>
      <c r="F26" s="69">
        <v>9</v>
      </c>
      <c r="G26" s="118" t="s">
        <v>223</v>
      </c>
      <c r="H26" s="118" t="s">
        <v>224</v>
      </c>
      <c r="I26" s="69" t="s">
        <v>221</v>
      </c>
      <c r="J26" s="169"/>
      <c r="K26" s="168"/>
    </row>
    <row r="27" spans="1:13" s="4" customFormat="1" ht="40.5">
      <c r="A27" s="97">
        <v>5</v>
      </c>
      <c r="B27" s="100" t="s">
        <v>184</v>
      </c>
      <c r="C27" s="210">
        <v>59597455</v>
      </c>
      <c r="D27" s="69" t="s">
        <v>217</v>
      </c>
      <c r="E27" s="69" t="s">
        <v>218</v>
      </c>
      <c r="F27" s="69">
        <v>9</v>
      </c>
      <c r="G27" s="118" t="s">
        <v>223</v>
      </c>
      <c r="H27" s="118" t="s">
        <v>224</v>
      </c>
      <c r="I27" s="69" t="s">
        <v>221</v>
      </c>
      <c r="J27" s="169"/>
      <c r="K27" s="168"/>
    </row>
    <row r="28" spans="1:13" s="4" customFormat="1" ht="40.5">
      <c r="A28" s="97">
        <v>6</v>
      </c>
      <c r="B28" s="100" t="s">
        <v>185</v>
      </c>
      <c r="C28" s="210">
        <v>56902545</v>
      </c>
      <c r="D28" s="69" t="s">
        <v>217</v>
      </c>
      <c r="E28" s="69" t="s">
        <v>218</v>
      </c>
      <c r="F28" s="69">
        <v>9</v>
      </c>
      <c r="G28" s="118" t="s">
        <v>223</v>
      </c>
      <c r="H28" s="118" t="s">
        <v>224</v>
      </c>
      <c r="I28" s="69" t="s">
        <v>221</v>
      </c>
      <c r="K28" s="168"/>
      <c r="L28" s="16"/>
    </row>
    <row r="29" spans="1:13" s="4" customFormat="1" ht="13.5">
      <c r="A29" s="97">
        <v>10</v>
      </c>
      <c r="B29" s="70"/>
      <c r="C29" s="209"/>
      <c r="D29" s="167"/>
      <c r="E29" s="167"/>
      <c r="F29" s="97"/>
      <c r="G29" s="102"/>
      <c r="H29" s="102"/>
      <c r="I29" s="97"/>
      <c r="J29" s="169"/>
      <c r="K29" s="168"/>
    </row>
    <row r="30" spans="1:13" s="4" customFormat="1" ht="13.5">
      <c r="A30" s="332" t="s">
        <v>30</v>
      </c>
      <c r="B30" s="332"/>
      <c r="C30" s="127">
        <f>SUM(C23:C29)</f>
        <v>355200000</v>
      </c>
      <c r="D30" s="126"/>
      <c r="E30" s="126"/>
      <c r="F30" s="126"/>
      <c r="G30" s="123"/>
      <c r="H30" s="123"/>
      <c r="I30" s="123"/>
      <c r="J30" s="16"/>
      <c r="K30" s="170"/>
      <c r="L30" s="16"/>
      <c r="M30" s="169"/>
    </row>
    <row r="31" spans="1:13" s="4" customFormat="1" ht="11.25">
      <c r="A31" s="10"/>
      <c r="B31" s="10"/>
      <c r="C31" s="10"/>
      <c r="D31" s="10"/>
      <c r="E31" s="10"/>
      <c r="F31" s="10"/>
      <c r="G31" s="10"/>
      <c r="H31" s="10"/>
      <c r="I31" s="10"/>
    </row>
    <row r="32" spans="1:13" s="4" customFormat="1" ht="11.25">
      <c r="C32" s="168">
        <f>+C21+C30</f>
        <v>505595467</v>
      </c>
      <c r="G32" s="248"/>
    </row>
    <row r="33" spans="1:3" s="4" customFormat="1" ht="11.25"/>
    <row r="34" spans="1:3" s="4" customFormat="1" ht="11.25">
      <c r="A34" s="57"/>
      <c r="B34" s="57"/>
    </row>
    <row r="35" spans="1:3" s="4" customFormat="1" ht="11.25"/>
    <row r="36" spans="1:3" s="4" customFormat="1" ht="11.25">
      <c r="C36" s="16" t="s">
        <v>161</v>
      </c>
    </row>
    <row r="37" spans="1:3" s="4" customFormat="1" ht="11.25"/>
    <row r="38" spans="1:3" s="4" customFormat="1" ht="11.25"/>
    <row r="39" spans="1:3" s="4" customFormat="1" ht="11.25"/>
    <row r="40" spans="1:3" s="4" customFormat="1" ht="11.25"/>
    <row r="41" spans="1:3" s="4" customFormat="1" ht="11.25"/>
    <row r="42" spans="1:3" s="4" customFormat="1" ht="11.25"/>
    <row r="43" spans="1:3" s="4" customFormat="1" ht="11.25"/>
    <row r="44" spans="1:3" s="4" customFormat="1" ht="11.25"/>
    <row r="45" spans="1:3" s="4" customFormat="1" ht="11.25"/>
    <row r="46" spans="1:3" s="4" customFormat="1" ht="11.25"/>
    <row r="47" spans="1:3" s="4" customFormat="1" ht="11.25"/>
    <row r="48" spans="1:3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  <row r="363" s="4" customFormat="1" ht="11.25"/>
    <row r="364" s="4" customFormat="1" ht="11.25"/>
    <row r="365" s="4" customFormat="1" ht="11.25"/>
    <row r="366" s="4" customFormat="1" ht="11.25"/>
    <row r="367" s="4" customFormat="1" ht="11.25"/>
    <row r="368" s="4" customFormat="1" ht="11.25"/>
    <row r="369" s="4" customFormat="1" ht="11.25"/>
    <row r="370" s="4" customFormat="1" ht="11.25"/>
    <row r="371" s="4" customFormat="1" ht="11.25"/>
    <row r="372" s="4" customFormat="1" ht="11.25"/>
    <row r="373" s="4" customFormat="1" ht="11.25"/>
    <row r="374" s="4" customFormat="1" ht="11.25"/>
    <row r="375" s="4" customFormat="1" ht="11.25"/>
    <row r="376" s="4" customFormat="1" ht="11.25"/>
    <row r="377" s="4" customFormat="1" ht="11.25"/>
    <row r="378" s="4" customFormat="1" ht="11.25"/>
    <row r="379" s="4" customFormat="1" ht="11.25"/>
    <row r="380" s="4" customFormat="1" ht="11.25"/>
    <row r="381" s="4" customFormat="1" ht="11.25"/>
    <row r="382" s="4" customFormat="1" ht="11.25"/>
    <row r="383" s="4" customFormat="1" ht="11.25"/>
    <row r="384" s="4" customFormat="1" ht="11.25"/>
    <row r="385" s="4" customFormat="1" ht="11.25"/>
    <row r="386" s="4" customFormat="1" ht="11.25"/>
    <row r="387" s="4" customFormat="1" ht="11.25"/>
    <row r="388" s="4" customFormat="1" ht="11.25"/>
    <row r="389" s="4" customFormat="1" ht="11.25"/>
    <row r="390" s="4" customFormat="1" ht="11.25"/>
    <row r="391" s="4" customFormat="1" ht="11.25"/>
    <row r="392" s="4" customFormat="1" ht="11.25"/>
    <row r="393" s="4" customFormat="1" ht="11.25"/>
    <row r="394" s="4" customFormat="1" ht="11.25"/>
    <row r="395" s="4" customFormat="1" ht="11.25"/>
    <row r="396" s="4" customFormat="1" ht="11.25"/>
    <row r="397" s="4" customFormat="1" ht="11.25"/>
    <row r="398" s="4" customFormat="1" ht="11.25"/>
    <row r="399" s="4" customFormat="1" ht="11.25"/>
    <row r="400" s="4" customFormat="1" ht="11.25"/>
    <row r="401" s="4" customFormat="1" ht="11.25"/>
    <row r="402" s="4" customFormat="1" ht="11.25"/>
    <row r="403" s="4" customFormat="1" ht="11.25"/>
    <row r="404" s="4" customFormat="1" ht="11.25"/>
    <row r="405" s="4" customFormat="1" ht="11.25"/>
    <row r="406" s="4" customFormat="1" ht="11.25"/>
    <row r="407" s="4" customFormat="1" ht="11.25"/>
    <row r="408" s="4" customFormat="1" ht="11.25"/>
    <row r="409" s="4" customFormat="1" ht="11.25"/>
    <row r="410" s="4" customFormat="1" ht="11.25"/>
    <row r="411" s="4" customFormat="1" ht="11.25"/>
    <row r="412" s="4" customFormat="1" ht="11.25"/>
    <row r="413" s="4" customFormat="1" ht="11.25"/>
    <row r="414" s="4" customFormat="1" ht="11.25"/>
    <row r="415" s="4" customFormat="1" ht="11.25"/>
    <row r="416" s="4" customFormat="1" ht="11.25"/>
    <row r="417" s="4" customFormat="1" ht="11.25"/>
    <row r="418" s="4" customFormat="1" ht="11.25"/>
    <row r="419" s="4" customFormat="1" ht="11.25"/>
    <row r="420" s="4" customFormat="1" ht="11.25"/>
    <row r="421" s="4" customFormat="1" ht="11.25"/>
    <row r="422" s="4" customFormat="1" ht="11.25"/>
    <row r="423" s="4" customFormat="1" ht="11.25"/>
    <row r="424" s="4" customFormat="1" ht="11.25"/>
    <row r="425" s="4" customFormat="1" ht="11.25"/>
    <row r="426" s="4" customFormat="1" ht="11.25"/>
    <row r="427" s="4" customFormat="1" ht="11.25"/>
    <row r="428" s="4" customFormat="1" ht="11.25"/>
    <row r="429" s="4" customFormat="1" ht="11.25"/>
    <row r="430" s="4" customFormat="1" ht="11.25"/>
    <row r="431" s="4" customFormat="1" ht="11.25"/>
    <row r="432" s="4" customFormat="1" ht="11.25"/>
    <row r="433" s="4" customFormat="1" ht="11.25"/>
    <row r="434" s="4" customFormat="1" ht="11.25"/>
    <row r="435" s="4" customFormat="1" ht="11.25"/>
    <row r="436" s="4" customFormat="1" ht="11.25"/>
    <row r="437" s="4" customFormat="1" ht="11.25"/>
    <row r="438" s="4" customFormat="1" ht="11.25"/>
    <row r="439" s="4" customFormat="1" ht="11.25"/>
    <row r="440" s="4" customFormat="1" ht="11.25"/>
    <row r="441" s="4" customFormat="1" ht="11.25"/>
    <row r="442" s="4" customFormat="1" ht="11.25"/>
    <row r="443" s="4" customFormat="1" ht="11.25"/>
    <row r="444" s="4" customFormat="1" ht="11.25"/>
    <row r="445" s="4" customFormat="1" ht="11.25"/>
    <row r="446" s="4" customFormat="1" ht="11.25"/>
    <row r="447" s="4" customFormat="1" ht="11.25"/>
    <row r="448" s="4" customFormat="1" ht="11.25"/>
    <row r="449" s="4" customFormat="1" ht="11.25"/>
    <row r="450" s="4" customFormat="1" ht="11.25"/>
    <row r="451" s="4" customFormat="1" ht="11.25"/>
    <row r="452" s="4" customFormat="1" ht="11.25"/>
    <row r="453" s="4" customFormat="1" ht="11.25"/>
    <row r="454" s="4" customFormat="1" ht="11.25"/>
    <row r="455" s="4" customFormat="1" ht="11.25"/>
    <row r="456" s="4" customFormat="1" ht="11.25"/>
    <row r="457" s="4" customFormat="1" ht="11.25"/>
    <row r="458" s="4" customFormat="1" ht="11.25"/>
    <row r="459" s="4" customFormat="1" ht="11.25"/>
    <row r="460" s="4" customFormat="1" ht="11.25"/>
    <row r="461" s="4" customFormat="1" ht="11.25"/>
    <row r="462" s="4" customFormat="1" ht="11.25"/>
    <row r="463" s="4" customFormat="1" ht="11.25"/>
    <row r="464" s="4" customFormat="1" ht="11.25"/>
    <row r="465" s="4" customFormat="1" ht="11.25"/>
    <row r="466" s="4" customFormat="1" ht="11.25"/>
    <row r="467" s="4" customFormat="1" ht="11.25"/>
    <row r="468" s="4" customFormat="1" ht="11.25"/>
    <row r="469" s="4" customFormat="1" ht="11.25"/>
    <row r="470" s="4" customFormat="1" ht="11.25"/>
    <row r="471" s="4" customFormat="1" ht="11.25"/>
    <row r="472" s="4" customFormat="1" ht="11.25"/>
    <row r="473" s="4" customFormat="1" ht="11.25"/>
    <row r="474" s="4" customFormat="1" ht="11.25"/>
    <row r="475" s="4" customFormat="1" ht="11.25"/>
    <row r="476" s="4" customFormat="1" ht="11.25"/>
    <row r="477" s="4" customFormat="1" ht="11.25"/>
    <row r="478" s="4" customFormat="1" ht="11.25"/>
    <row r="479" s="4" customFormat="1" ht="11.25"/>
    <row r="480" s="4" customFormat="1" ht="11.25"/>
    <row r="481" s="4" customFormat="1" ht="11.25"/>
    <row r="482" s="4" customFormat="1" ht="11.25"/>
    <row r="483" s="4" customFormat="1" ht="11.25"/>
    <row r="484" s="4" customFormat="1" ht="11.25"/>
    <row r="485" s="4" customFormat="1" ht="11.25"/>
    <row r="486" s="4" customFormat="1" ht="11.25"/>
    <row r="487" s="4" customFormat="1" ht="11.25"/>
    <row r="488" s="4" customFormat="1" ht="11.25"/>
    <row r="489" s="4" customFormat="1" ht="11.25"/>
    <row r="490" s="4" customFormat="1" ht="11.25"/>
    <row r="491" s="4" customFormat="1" ht="11.25"/>
    <row r="492" s="4" customFormat="1" ht="11.25"/>
    <row r="493" s="4" customFormat="1" ht="11.25"/>
    <row r="494" s="4" customFormat="1" ht="11.25"/>
    <row r="495" s="4" customFormat="1" ht="11.25"/>
    <row r="496" s="4" customFormat="1" ht="11.25"/>
    <row r="497" s="4" customFormat="1" ht="11.25"/>
    <row r="498" s="4" customFormat="1" ht="11.25"/>
    <row r="499" s="4" customFormat="1" ht="11.25"/>
    <row r="500" s="4" customFormat="1" ht="11.25"/>
    <row r="501" s="4" customFormat="1" ht="11.25"/>
    <row r="502" s="4" customFormat="1" ht="11.25"/>
    <row r="503" s="4" customFormat="1" ht="11.25"/>
    <row r="504" s="4" customFormat="1" ht="11.25"/>
    <row r="505" s="4" customFormat="1" ht="11.25"/>
    <row r="506" s="4" customFormat="1" ht="11.25"/>
    <row r="507" s="4" customFormat="1" ht="11.25"/>
    <row r="508" s="4" customFormat="1" ht="11.25"/>
    <row r="509" s="4" customFormat="1" ht="11.25"/>
    <row r="510" s="4" customFormat="1" ht="11.25"/>
    <row r="511" s="4" customFormat="1" ht="11.25"/>
    <row r="512" s="4" customFormat="1" ht="11.25"/>
    <row r="513" s="4" customFormat="1" ht="11.25"/>
    <row r="514" s="4" customFormat="1" ht="11.25"/>
    <row r="515" s="4" customFormat="1" ht="11.25"/>
    <row r="516" s="4" customFormat="1" ht="11.25"/>
    <row r="517" s="4" customFormat="1" ht="11.25"/>
    <row r="518" s="4" customFormat="1" ht="11.25"/>
    <row r="519" s="4" customFormat="1" ht="11.25"/>
    <row r="520" s="4" customFormat="1" ht="11.25"/>
    <row r="521" s="4" customFormat="1" ht="11.25"/>
    <row r="522" s="4" customFormat="1" ht="11.25"/>
    <row r="523" s="4" customFormat="1" ht="11.25"/>
    <row r="524" s="4" customFormat="1" ht="11.25"/>
    <row r="525" s="4" customFormat="1" ht="11.25"/>
    <row r="526" s="4" customFormat="1" ht="11.25"/>
    <row r="527" s="4" customFormat="1" ht="11.25"/>
    <row r="528" s="4" customFormat="1" ht="11.25"/>
    <row r="529" s="4" customFormat="1" ht="11.25"/>
    <row r="530" s="4" customFormat="1" ht="11.25"/>
    <row r="531" s="4" customFormat="1" ht="11.25"/>
    <row r="532" s="4" customFormat="1" ht="11.25"/>
    <row r="533" s="4" customFormat="1" ht="11.25"/>
    <row r="534" s="4" customFormat="1" ht="11.25"/>
    <row r="535" s="4" customFormat="1" ht="11.25"/>
    <row r="536" s="4" customFormat="1" ht="11.25"/>
    <row r="537" s="4" customFormat="1" ht="11.25"/>
    <row r="538" s="4" customFormat="1" ht="11.25"/>
    <row r="539" s="4" customFormat="1" ht="11.25"/>
    <row r="540" s="4" customFormat="1" ht="11.25"/>
    <row r="541" s="4" customFormat="1" ht="11.25"/>
    <row r="542" s="4" customFormat="1" ht="11.25"/>
    <row r="543" s="4" customFormat="1" ht="11.25"/>
    <row r="544" s="4" customFormat="1" ht="11.25"/>
    <row r="545" s="4" customFormat="1" ht="11.25"/>
    <row r="546" s="4" customFormat="1" ht="11.25"/>
    <row r="547" s="4" customFormat="1" ht="11.25"/>
    <row r="548" s="4" customFormat="1" ht="11.25"/>
    <row r="549" s="4" customFormat="1" ht="11.25"/>
    <row r="550" s="4" customFormat="1" ht="11.25"/>
    <row r="551" s="4" customFormat="1" ht="11.25"/>
    <row r="552" s="4" customFormat="1" ht="11.25"/>
    <row r="553" s="4" customFormat="1" ht="11.25"/>
    <row r="554" s="4" customFormat="1" ht="11.25"/>
    <row r="555" s="4" customFormat="1" ht="11.25"/>
    <row r="556" s="4" customFormat="1" ht="11.25"/>
    <row r="557" s="4" customFormat="1" ht="11.25"/>
    <row r="558" s="4" customFormat="1" ht="11.25"/>
    <row r="559" s="4" customFormat="1" ht="11.25"/>
    <row r="560" s="4" customFormat="1" ht="11.25"/>
    <row r="561" s="4" customFormat="1" ht="11.25"/>
    <row r="562" s="4" customFormat="1" ht="11.25"/>
    <row r="563" s="4" customFormat="1" ht="11.25"/>
    <row r="564" s="4" customFormat="1" ht="11.25"/>
    <row r="565" s="4" customFormat="1" ht="11.25"/>
    <row r="566" s="4" customFormat="1" ht="11.25"/>
    <row r="567" s="4" customFormat="1" ht="11.25"/>
    <row r="568" s="4" customFormat="1" ht="11.25"/>
    <row r="569" s="4" customFormat="1" ht="11.25"/>
    <row r="570" s="4" customFormat="1" ht="11.25"/>
    <row r="571" s="4" customFormat="1" ht="11.25"/>
    <row r="572" s="4" customFormat="1" ht="11.25"/>
    <row r="573" s="4" customFormat="1" ht="11.25"/>
    <row r="574" s="4" customFormat="1" ht="11.25"/>
    <row r="575" s="4" customFormat="1" ht="11.25"/>
    <row r="576" s="4" customFormat="1" ht="11.25"/>
    <row r="577" s="4" customFormat="1" ht="11.25"/>
    <row r="578" s="4" customFormat="1" ht="11.25"/>
    <row r="579" s="4" customFormat="1" ht="11.25"/>
    <row r="580" s="4" customFormat="1" ht="11.25"/>
    <row r="581" s="4" customFormat="1" ht="11.25"/>
    <row r="582" s="4" customFormat="1" ht="11.25"/>
    <row r="583" s="4" customFormat="1" ht="11.25"/>
    <row r="584" s="4" customFormat="1" ht="11.25"/>
    <row r="585" s="4" customFormat="1" ht="11.25"/>
    <row r="586" s="4" customFormat="1" ht="11.25"/>
    <row r="587" s="4" customFormat="1" ht="11.25"/>
    <row r="588" s="4" customFormat="1" ht="11.25"/>
    <row r="589" s="4" customFormat="1" ht="11.25"/>
    <row r="590" s="4" customFormat="1" ht="11.25"/>
    <row r="591" s="4" customFormat="1" ht="11.25"/>
    <row r="592" s="4" customFormat="1" ht="11.25"/>
    <row r="593" s="4" customFormat="1" ht="11.25"/>
    <row r="594" s="4" customFormat="1" ht="11.25"/>
    <row r="595" s="4" customFormat="1" ht="11.25"/>
    <row r="596" s="4" customFormat="1" ht="11.25"/>
    <row r="597" s="4" customFormat="1" ht="11.25"/>
    <row r="598" s="4" customFormat="1" ht="11.25"/>
    <row r="599" s="4" customFormat="1" ht="11.25"/>
    <row r="600" s="4" customFormat="1" ht="11.25"/>
    <row r="601" s="4" customFormat="1" ht="11.25"/>
    <row r="602" s="4" customFormat="1" ht="11.25"/>
    <row r="603" s="4" customFormat="1" ht="11.25"/>
    <row r="604" s="4" customFormat="1" ht="11.25"/>
    <row r="605" s="4" customFormat="1" ht="11.25"/>
    <row r="606" s="4" customFormat="1" ht="11.25"/>
    <row r="607" s="4" customFormat="1" ht="11.25"/>
    <row r="608" s="4" customFormat="1" ht="11.25"/>
    <row r="609" s="4" customFormat="1" ht="11.25"/>
    <row r="610" s="4" customFormat="1" ht="11.25"/>
    <row r="611" s="4" customFormat="1" ht="11.25"/>
    <row r="612" s="4" customFormat="1" ht="11.25"/>
    <row r="613" s="4" customFormat="1" ht="11.25"/>
    <row r="614" s="4" customFormat="1" ht="11.25"/>
    <row r="615" s="4" customFormat="1" ht="11.25"/>
    <row r="616" s="4" customFormat="1" ht="11.25"/>
    <row r="617" s="4" customFormat="1" ht="11.25"/>
    <row r="618" s="4" customFormat="1" ht="11.25"/>
    <row r="619" s="4" customFormat="1" ht="11.25"/>
    <row r="620" s="4" customFormat="1" ht="11.25"/>
    <row r="621" s="4" customFormat="1" ht="11.25"/>
    <row r="622" s="4" customFormat="1" ht="11.25"/>
    <row r="623" s="4" customFormat="1" ht="11.25"/>
    <row r="624" s="4" customFormat="1" ht="11.25"/>
    <row r="625" s="4" customFormat="1" ht="11.25"/>
    <row r="626" s="4" customFormat="1" ht="11.25"/>
    <row r="627" s="4" customFormat="1" ht="11.25"/>
    <row r="628" s="4" customFormat="1" ht="11.25"/>
    <row r="629" s="4" customFormat="1" ht="11.25"/>
    <row r="630" s="4" customFormat="1" ht="11.25"/>
    <row r="631" s="4" customFormat="1" ht="11.25"/>
    <row r="632" s="4" customFormat="1" ht="11.25"/>
    <row r="633" s="4" customFormat="1" ht="11.25"/>
    <row r="634" s="4" customFormat="1" ht="11.25"/>
    <row r="635" s="4" customFormat="1" ht="11.25"/>
    <row r="636" s="4" customFormat="1" ht="11.25"/>
    <row r="637" s="4" customFormat="1" ht="11.25"/>
    <row r="638" s="4" customFormat="1" ht="11.25"/>
    <row r="639" s="4" customFormat="1" ht="11.25"/>
    <row r="640" s="4" customFormat="1" ht="11.25"/>
    <row r="641" s="4" customFormat="1" ht="11.25"/>
    <row r="642" s="4" customFormat="1" ht="11.25"/>
    <row r="643" s="4" customFormat="1" ht="11.25"/>
    <row r="644" s="4" customFormat="1" ht="11.25"/>
    <row r="645" s="4" customFormat="1" ht="11.25"/>
    <row r="646" s="4" customFormat="1" ht="11.25"/>
    <row r="647" s="4" customFormat="1" ht="11.25"/>
    <row r="648" s="4" customFormat="1" ht="11.25"/>
    <row r="649" s="4" customFormat="1" ht="11.25"/>
    <row r="650" s="4" customFormat="1" ht="11.25"/>
    <row r="651" s="4" customFormat="1" ht="11.25"/>
    <row r="652" s="4" customFormat="1" ht="11.25"/>
    <row r="653" s="4" customFormat="1" ht="11.25"/>
    <row r="654" s="4" customFormat="1" ht="11.25"/>
    <row r="655" s="4" customFormat="1" ht="11.25"/>
    <row r="656" s="4" customFormat="1" ht="11.25"/>
    <row r="657" s="4" customFormat="1" ht="11.25"/>
    <row r="658" s="4" customFormat="1" ht="11.25"/>
    <row r="659" s="4" customFormat="1" ht="11.25"/>
    <row r="660" s="4" customFormat="1" ht="11.25"/>
    <row r="661" s="4" customFormat="1" ht="11.25"/>
    <row r="662" s="4" customFormat="1" ht="11.25"/>
    <row r="663" s="4" customFormat="1" ht="11.25"/>
    <row r="664" s="4" customFormat="1" ht="11.25"/>
    <row r="665" s="4" customFormat="1" ht="11.25"/>
    <row r="666" s="4" customFormat="1" ht="11.25"/>
    <row r="667" s="4" customFormat="1" ht="11.25"/>
    <row r="668" s="4" customFormat="1" ht="11.25"/>
    <row r="669" s="4" customFormat="1" ht="11.25"/>
    <row r="670" s="4" customFormat="1" ht="11.25"/>
    <row r="671" s="4" customFormat="1" ht="11.25"/>
    <row r="672" s="4" customFormat="1" ht="11.25"/>
    <row r="673" s="4" customFormat="1" ht="11.25"/>
    <row r="674" s="4" customFormat="1" ht="11.25"/>
    <row r="675" s="4" customFormat="1" ht="11.25"/>
    <row r="676" s="4" customFormat="1" ht="11.25"/>
    <row r="677" s="4" customFormat="1" ht="11.25"/>
    <row r="678" s="4" customFormat="1" ht="11.25"/>
    <row r="679" s="4" customFormat="1" ht="11.25"/>
    <row r="680" s="4" customFormat="1" ht="11.25"/>
    <row r="681" s="4" customFormat="1" ht="11.25"/>
    <row r="682" s="4" customFormat="1" ht="11.25"/>
    <row r="683" s="4" customFormat="1" ht="11.25"/>
    <row r="684" s="4" customFormat="1" ht="11.25"/>
    <row r="685" s="4" customFormat="1" ht="11.25"/>
    <row r="686" s="4" customFormat="1" ht="11.25"/>
    <row r="687" s="4" customFormat="1" ht="11.25"/>
    <row r="688" s="4" customFormat="1" ht="11.25"/>
    <row r="689" s="4" customFormat="1" ht="11.25"/>
    <row r="690" s="4" customFormat="1" ht="11.25"/>
    <row r="691" s="4" customFormat="1" ht="11.25"/>
    <row r="692" s="4" customFormat="1" ht="11.25"/>
    <row r="693" s="4" customFormat="1" ht="11.25"/>
    <row r="694" s="4" customFormat="1" ht="11.25"/>
    <row r="695" s="4" customFormat="1" ht="11.25"/>
    <row r="696" s="4" customFormat="1" ht="11.25"/>
    <row r="697" s="4" customFormat="1" ht="11.25"/>
    <row r="698" s="4" customFormat="1" ht="11.25"/>
    <row r="699" s="4" customFormat="1" ht="11.25"/>
    <row r="700" s="4" customFormat="1" ht="11.25"/>
    <row r="701" s="4" customFormat="1" ht="11.25"/>
    <row r="702" s="4" customFormat="1" ht="11.25"/>
    <row r="703" s="4" customFormat="1" ht="11.25"/>
    <row r="704" s="4" customFormat="1" ht="11.25"/>
    <row r="705" s="4" customFormat="1" ht="11.25"/>
    <row r="706" s="4" customFormat="1" ht="11.25"/>
    <row r="707" s="4" customFormat="1" ht="11.25"/>
    <row r="708" s="4" customFormat="1" ht="11.25"/>
    <row r="709" s="4" customFormat="1" ht="11.25"/>
    <row r="710" s="4" customFormat="1" ht="11.25"/>
    <row r="711" s="4" customFormat="1" ht="11.25"/>
    <row r="712" s="4" customFormat="1" ht="11.25"/>
    <row r="713" s="4" customFormat="1" ht="11.25"/>
    <row r="714" s="4" customFormat="1" ht="11.25"/>
    <row r="715" s="4" customFormat="1" ht="11.25"/>
    <row r="716" s="4" customFormat="1" ht="11.25"/>
    <row r="717" s="4" customFormat="1" ht="11.25"/>
    <row r="718" s="4" customFormat="1" ht="11.25"/>
    <row r="719" s="4" customFormat="1" ht="11.25"/>
    <row r="720" s="4" customFormat="1" ht="11.25"/>
    <row r="721" s="4" customFormat="1" ht="11.25"/>
    <row r="722" s="4" customFormat="1" ht="11.25"/>
    <row r="723" s="4" customFormat="1" ht="11.25"/>
    <row r="724" s="4" customFormat="1" ht="11.25"/>
    <row r="725" s="4" customFormat="1" ht="11.25"/>
    <row r="726" s="4" customFormat="1" ht="11.25"/>
    <row r="727" s="4" customFormat="1" ht="11.25"/>
    <row r="728" s="4" customFormat="1" ht="11.25"/>
    <row r="729" s="4" customFormat="1" ht="11.25"/>
    <row r="730" s="4" customFormat="1" ht="11.25"/>
    <row r="731" s="4" customFormat="1" ht="11.25"/>
    <row r="732" s="4" customFormat="1" ht="11.25"/>
    <row r="733" s="4" customFormat="1" ht="11.25"/>
    <row r="734" s="4" customFormat="1" ht="11.25"/>
    <row r="735" s="4" customFormat="1" ht="11.25"/>
    <row r="736" s="4" customFormat="1" ht="11.25"/>
    <row r="737" s="4" customFormat="1" ht="11.25"/>
    <row r="738" s="4" customFormat="1" ht="11.25"/>
    <row r="739" s="4" customFormat="1" ht="11.25"/>
    <row r="740" s="4" customFormat="1" ht="11.25"/>
    <row r="741" s="4" customFormat="1" ht="11.25"/>
    <row r="742" s="4" customFormat="1" ht="11.25"/>
    <row r="743" s="4" customFormat="1" ht="11.25"/>
    <row r="744" s="4" customFormat="1" ht="11.25"/>
    <row r="745" s="4" customFormat="1" ht="11.25"/>
    <row r="746" s="4" customFormat="1" ht="11.25"/>
    <row r="747" s="4" customFormat="1" ht="11.25"/>
    <row r="748" s="4" customFormat="1" ht="11.25"/>
    <row r="749" s="4" customFormat="1" ht="11.25"/>
    <row r="750" s="4" customFormat="1" ht="11.25"/>
    <row r="751" s="4" customFormat="1" ht="11.25"/>
    <row r="752" s="4" customFormat="1" ht="11.25"/>
    <row r="753" s="4" customFormat="1" ht="11.25"/>
    <row r="754" s="4" customFormat="1" ht="11.25"/>
    <row r="755" s="4" customFormat="1" ht="11.25"/>
    <row r="756" s="4" customFormat="1" ht="11.25"/>
    <row r="757" s="4" customFormat="1" ht="11.25"/>
    <row r="758" s="4" customFormat="1" ht="11.25"/>
    <row r="759" s="4" customFormat="1" ht="11.25"/>
    <row r="760" s="4" customFormat="1" ht="11.25"/>
    <row r="761" s="4" customFormat="1" ht="11.25"/>
    <row r="762" s="4" customFormat="1" ht="11.25"/>
    <row r="763" s="4" customFormat="1" ht="11.25"/>
    <row r="764" s="4" customFormat="1" ht="11.25"/>
    <row r="765" s="4" customFormat="1" ht="11.25"/>
    <row r="766" s="4" customFormat="1" ht="11.25"/>
    <row r="767" s="4" customFormat="1" ht="11.25"/>
    <row r="768" s="4" customFormat="1" ht="11.25"/>
    <row r="769" s="4" customFormat="1" ht="11.25"/>
    <row r="770" s="4" customFormat="1" ht="11.25"/>
    <row r="771" s="4" customFormat="1" ht="11.25"/>
    <row r="772" s="4" customFormat="1" ht="11.25"/>
    <row r="773" s="4" customFormat="1" ht="11.25"/>
    <row r="774" s="4" customFormat="1" ht="11.25"/>
    <row r="775" s="4" customFormat="1" ht="11.25"/>
    <row r="776" s="4" customFormat="1" ht="11.25"/>
    <row r="777" s="4" customFormat="1" ht="11.25"/>
    <row r="778" s="4" customFormat="1" ht="11.25"/>
    <row r="779" s="4" customFormat="1" ht="11.25"/>
    <row r="780" s="4" customFormat="1" ht="11.25"/>
    <row r="781" s="4" customFormat="1" ht="11.25"/>
    <row r="782" s="4" customFormat="1" ht="11.25"/>
    <row r="783" s="4" customFormat="1" ht="11.25"/>
    <row r="784" s="4" customFormat="1" ht="11.25"/>
    <row r="785" s="4" customFormat="1" ht="11.25"/>
    <row r="786" s="4" customFormat="1" ht="11.25"/>
    <row r="787" s="4" customFormat="1" ht="11.25"/>
    <row r="788" s="4" customFormat="1" ht="11.25"/>
    <row r="789" s="4" customFormat="1" ht="11.25"/>
    <row r="790" s="4" customFormat="1" ht="11.25"/>
    <row r="791" s="4" customFormat="1" ht="11.25"/>
    <row r="792" s="4" customFormat="1" ht="11.25"/>
    <row r="793" s="4" customFormat="1" ht="11.25"/>
    <row r="794" s="4" customFormat="1" ht="11.25"/>
    <row r="795" s="4" customFormat="1" ht="11.25"/>
    <row r="796" s="4" customFormat="1" ht="11.25"/>
    <row r="797" s="4" customFormat="1" ht="11.25"/>
    <row r="798" s="4" customFormat="1" ht="11.25"/>
    <row r="799" s="4" customFormat="1" ht="11.25"/>
    <row r="800" s="4" customFormat="1" ht="11.25"/>
    <row r="801" s="4" customFormat="1" ht="11.25"/>
    <row r="802" s="4" customFormat="1" ht="11.25"/>
    <row r="803" s="4" customFormat="1" ht="11.25"/>
    <row r="804" s="4" customFormat="1" ht="11.25"/>
    <row r="805" s="4" customFormat="1" ht="11.25"/>
    <row r="806" s="4" customFormat="1" ht="11.25"/>
    <row r="807" s="4" customFormat="1" ht="11.25"/>
    <row r="808" s="4" customFormat="1" ht="11.25"/>
    <row r="809" s="4" customFormat="1" ht="11.25"/>
    <row r="810" s="4" customFormat="1" ht="11.25"/>
    <row r="811" s="4" customFormat="1" ht="11.25"/>
    <row r="812" s="4" customFormat="1" ht="11.25"/>
    <row r="813" s="4" customFormat="1" ht="11.25"/>
    <row r="814" s="4" customFormat="1" ht="11.25"/>
    <row r="815" s="4" customFormat="1" ht="11.25"/>
    <row r="816" s="4" customFormat="1" ht="11.25"/>
    <row r="817" s="4" customFormat="1" ht="11.25"/>
    <row r="818" s="4" customFormat="1" ht="11.25"/>
    <row r="819" s="4" customFormat="1" ht="11.25"/>
    <row r="820" s="4" customFormat="1" ht="11.25"/>
    <row r="821" s="4" customFormat="1" ht="11.25"/>
    <row r="822" s="4" customFormat="1" ht="11.25"/>
    <row r="823" s="4" customFormat="1" ht="11.25"/>
    <row r="824" s="4" customFormat="1" ht="11.25"/>
    <row r="825" s="4" customFormat="1" ht="11.25"/>
    <row r="826" s="4" customFormat="1" ht="11.25"/>
    <row r="827" s="4" customFormat="1" ht="11.25"/>
    <row r="828" s="4" customFormat="1" ht="11.25"/>
    <row r="829" s="4" customFormat="1" ht="11.25"/>
    <row r="830" s="4" customFormat="1" ht="11.25"/>
    <row r="831" s="4" customFormat="1" ht="11.25"/>
    <row r="832" s="4" customFormat="1" ht="11.25"/>
    <row r="833" s="4" customFormat="1" ht="11.25"/>
    <row r="834" s="4" customFormat="1" ht="11.25"/>
    <row r="835" s="4" customFormat="1" ht="11.25"/>
    <row r="836" s="4" customFormat="1" ht="11.25"/>
    <row r="837" s="4" customFormat="1" ht="11.25"/>
    <row r="838" s="4" customFormat="1" ht="11.25"/>
    <row r="839" s="4" customFormat="1" ht="11.25"/>
    <row r="840" s="4" customFormat="1" ht="11.25"/>
    <row r="841" s="4" customFormat="1" ht="11.25"/>
    <row r="842" s="4" customFormat="1" ht="11.25"/>
    <row r="843" s="4" customFormat="1" ht="11.25"/>
    <row r="844" s="4" customFormat="1" ht="11.25"/>
    <row r="845" s="4" customFormat="1" ht="11.25"/>
    <row r="846" s="4" customFormat="1" ht="11.25"/>
    <row r="847" s="4" customFormat="1" ht="11.25"/>
    <row r="848" s="4" customFormat="1" ht="11.25"/>
    <row r="849" s="4" customFormat="1" ht="11.25"/>
    <row r="850" s="4" customFormat="1" ht="11.25"/>
    <row r="851" s="4" customFormat="1" ht="11.25"/>
    <row r="852" s="4" customFormat="1" ht="11.25"/>
    <row r="853" s="4" customFormat="1" ht="11.25"/>
    <row r="854" s="4" customFormat="1" ht="11.25"/>
    <row r="855" s="4" customFormat="1" ht="11.25"/>
    <row r="856" s="4" customFormat="1" ht="11.25"/>
    <row r="857" s="4" customFormat="1" ht="11.25"/>
    <row r="858" s="4" customFormat="1" ht="11.25"/>
    <row r="859" s="4" customFormat="1" ht="11.25"/>
    <row r="860" s="4" customFormat="1" ht="11.25"/>
    <row r="861" s="4" customFormat="1" ht="11.25"/>
    <row r="862" s="4" customFormat="1" ht="11.25"/>
    <row r="863" s="4" customFormat="1" ht="11.25"/>
    <row r="864" s="4" customFormat="1" ht="11.25"/>
    <row r="865" s="4" customFormat="1" ht="11.25"/>
    <row r="866" s="4" customFormat="1" ht="11.25"/>
    <row r="867" s="4" customFormat="1" ht="11.25"/>
    <row r="868" s="4" customFormat="1" ht="11.25"/>
    <row r="869" s="4" customFormat="1" ht="11.25"/>
    <row r="870" s="4" customFormat="1" ht="11.25"/>
    <row r="871" s="4" customFormat="1" ht="11.25"/>
    <row r="872" s="4" customFormat="1" ht="11.25"/>
    <row r="873" s="4" customFormat="1" ht="11.25"/>
    <row r="874" s="4" customFormat="1" ht="11.25"/>
    <row r="875" s="4" customFormat="1" ht="11.25"/>
    <row r="876" s="4" customFormat="1" ht="11.25"/>
    <row r="877" s="4" customFormat="1" ht="11.25"/>
    <row r="878" s="4" customFormat="1" ht="11.25"/>
    <row r="879" s="4" customFormat="1" ht="11.25"/>
    <row r="880" s="4" customFormat="1" ht="11.25"/>
    <row r="881" s="4" customFormat="1" ht="11.25"/>
    <row r="882" s="4" customFormat="1" ht="11.25"/>
    <row r="883" s="4" customFormat="1" ht="11.25"/>
    <row r="884" s="4" customFormat="1" ht="11.25"/>
    <row r="885" s="4" customFormat="1" ht="11.25"/>
    <row r="886" s="4" customFormat="1" ht="11.25"/>
    <row r="887" s="4" customFormat="1" ht="11.25"/>
    <row r="888" s="4" customFormat="1" ht="11.25"/>
    <row r="889" s="4" customFormat="1" ht="11.25"/>
    <row r="890" s="4" customFormat="1" ht="11.25"/>
    <row r="891" s="4" customFormat="1" ht="11.25"/>
    <row r="892" s="4" customFormat="1" ht="11.25"/>
    <row r="893" s="4" customFormat="1" ht="11.25"/>
    <row r="894" s="4" customFormat="1" ht="11.25"/>
    <row r="895" s="4" customFormat="1" ht="11.25"/>
    <row r="896" s="4" customFormat="1" ht="11.25"/>
    <row r="897" s="4" customFormat="1" ht="11.25"/>
    <row r="898" s="4" customFormat="1" ht="11.25"/>
    <row r="899" s="4" customFormat="1" ht="11.25"/>
    <row r="900" s="4" customFormat="1" ht="11.25"/>
    <row r="901" s="4" customFormat="1" ht="11.25"/>
    <row r="902" s="4" customFormat="1" ht="11.25"/>
    <row r="903" s="4" customFormat="1" ht="11.25"/>
    <row r="904" s="4" customFormat="1" ht="11.25"/>
    <row r="905" s="4" customFormat="1" ht="11.25"/>
    <row r="906" s="4" customFormat="1" ht="11.25"/>
    <row r="907" s="4" customFormat="1" ht="11.25"/>
    <row r="908" s="4" customFormat="1" ht="11.25"/>
    <row r="909" s="4" customFormat="1" ht="11.25"/>
    <row r="910" s="4" customFormat="1" ht="11.25"/>
    <row r="911" s="4" customFormat="1" ht="11.25"/>
    <row r="912" s="4" customFormat="1" ht="11.25"/>
    <row r="913" s="4" customFormat="1" ht="11.25"/>
    <row r="914" s="4" customFormat="1" ht="11.25"/>
    <row r="915" s="4" customFormat="1" ht="11.25"/>
    <row r="916" s="4" customFormat="1" ht="11.25"/>
    <row r="917" s="4" customFormat="1" ht="11.25"/>
    <row r="918" s="4" customFormat="1" ht="11.25"/>
    <row r="919" s="4" customFormat="1" ht="11.25"/>
    <row r="920" s="4" customFormat="1" ht="11.25"/>
    <row r="921" s="4" customFormat="1" ht="11.25"/>
    <row r="922" s="4" customFormat="1" ht="11.25"/>
    <row r="923" s="4" customFormat="1" ht="11.25"/>
    <row r="924" s="4" customFormat="1" ht="11.25"/>
    <row r="925" s="4" customFormat="1" ht="11.25"/>
    <row r="926" s="4" customFormat="1" ht="11.25"/>
    <row r="927" s="4" customFormat="1" ht="11.25"/>
    <row r="928" s="4" customFormat="1" ht="11.25"/>
    <row r="929" s="4" customFormat="1" ht="11.25"/>
    <row r="930" s="4" customFormat="1" ht="11.25"/>
    <row r="931" s="4" customFormat="1" ht="11.25"/>
    <row r="932" s="4" customFormat="1" ht="11.25"/>
    <row r="933" s="4" customFormat="1" ht="11.25"/>
    <row r="934" s="4" customFormat="1" ht="11.25"/>
    <row r="935" s="4" customFormat="1" ht="11.25"/>
    <row r="936" s="4" customFormat="1" ht="11.25"/>
    <row r="937" s="4" customFormat="1" ht="11.25"/>
    <row r="938" s="4" customFormat="1" ht="11.25"/>
    <row r="939" s="4" customFormat="1" ht="11.25"/>
    <row r="940" s="4" customFormat="1" ht="11.25"/>
    <row r="941" s="4" customFormat="1" ht="11.25"/>
    <row r="942" s="4" customFormat="1" ht="11.25"/>
    <row r="943" s="4" customFormat="1" ht="11.25"/>
    <row r="944" s="4" customFormat="1" ht="11.25"/>
    <row r="945" s="4" customFormat="1" ht="11.25"/>
    <row r="946" s="4" customFormat="1" ht="11.25"/>
    <row r="947" s="4" customFormat="1" ht="11.25"/>
    <row r="948" s="4" customFormat="1" ht="11.25"/>
    <row r="949" s="4" customFormat="1" ht="11.25"/>
    <row r="950" s="4" customFormat="1" ht="11.25"/>
    <row r="951" s="4" customFormat="1" ht="11.25"/>
    <row r="952" s="4" customFormat="1" ht="11.25"/>
    <row r="953" s="4" customFormat="1" ht="11.25"/>
    <row r="954" s="4" customFormat="1" ht="11.25"/>
    <row r="955" s="4" customFormat="1" ht="11.25"/>
    <row r="956" s="4" customFormat="1" ht="11.25"/>
    <row r="957" s="4" customFormat="1" ht="11.25"/>
    <row r="958" s="4" customFormat="1" ht="11.25"/>
    <row r="959" s="4" customFormat="1" ht="11.25"/>
    <row r="960" s="4" customFormat="1" ht="11.25"/>
    <row r="961" s="4" customFormat="1" ht="11.25"/>
    <row r="962" s="4" customFormat="1" ht="11.25"/>
    <row r="963" s="4" customFormat="1" ht="11.25"/>
    <row r="964" s="4" customFormat="1" ht="11.25"/>
    <row r="965" s="4" customFormat="1" ht="11.25"/>
    <row r="966" s="4" customFormat="1" ht="11.25"/>
    <row r="967" s="4" customFormat="1" ht="11.25"/>
    <row r="968" s="4" customFormat="1" ht="11.25"/>
    <row r="969" s="4" customFormat="1" ht="11.25"/>
    <row r="970" s="4" customFormat="1" ht="11.25"/>
    <row r="971" s="4" customFormat="1" ht="11.25"/>
    <row r="972" s="4" customFormat="1" ht="11.25"/>
    <row r="973" s="4" customFormat="1" ht="11.25"/>
    <row r="974" s="4" customFormat="1" ht="11.25"/>
    <row r="975" s="4" customFormat="1" ht="11.25"/>
    <row r="976" s="4" customFormat="1" ht="11.25"/>
    <row r="977" s="4" customFormat="1" ht="11.25"/>
    <row r="978" s="4" customFormat="1" ht="11.25"/>
    <row r="979" s="4" customFormat="1" ht="11.25"/>
    <row r="980" s="4" customFormat="1" ht="11.25"/>
    <row r="981" s="4" customFormat="1" ht="11.25"/>
    <row r="982" s="4" customFormat="1" ht="11.25"/>
    <row r="983" s="4" customFormat="1" ht="11.25"/>
    <row r="984" s="4" customFormat="1" ht="11.25"/>
    <row r="985" s="4" customFormat="1" ht="11.25"/>
    <row r="986" s="4" customFormat="1" ht="11.25"/>
    <row r="987" s="4" customFormat="1" ht="11.25"/>
    <row r="988" s="4" customFormat="1" ht="11.25"/>
    <row r="989" s="4" customFormat="1" ht="11.25"/>
    <row r="990" s="4" customFormat="1" ht="11.25"/>
    <row r="991" s="4" customFormat="1" ht="11.25"/>
    <row r="992" s="4" customFormat="1" ht="11.25"/>
    <row r="993" s="4" customFormat="1" ht="11.25"/>
    <row r="994" s="4" customFormat="1" ht="11.25"/>
    <row r="995" s="4" customFormat="1" ht="11.25"/>
    <row r="996" s="4" customFormat="1" ht="11.25"/>
    <row r="997" s="4" customFormat="1" ht="11.25"/>
    <row r="998" s="4" customFormat="1" ht="11.25"/>
    <row r="999" s="4" customFormat="1" ht="11.25"/>
    <row r="1000" s="4" customFormat="1" ht="11.25"/>
    <row r="1001" s="4" customFormat="1" ht="11.25"/>
    <row r="1002" s="4" customFormat="1" ht="11.25"/>
    <row r="1003" s="4" customFormat="1" ht="11.25"/>
    <row r="1004" s="4" customFormat="1" ht="11.25"/>
    <row r="1005" s="4" customFormat="1" ht="11.25"/>
    <row r="1006" s="4" customFormat="1" ht="11.25"/>
    <row r="1007" s="4" customFormat="1" ht="11.25"/>
    <row r="1008" s="4" customFormat="1" ht="11.25"/>
    <row r="1009" s="4" customFormat="1" ht="11.25"/>
    <row r="1010" s="4" customFormat="1" ht="11.25"/>
    <row r="1011" s="4" customFormat="1" ht="11.25"/>
    <row r="1012" s="4" customFormat="1" ht="11.25"/>
    <row r="1013" s="4" customFormat="1" ht="11.25"/>
    <row r="1014" s="4" customFormat="1" ht="11.25"/>
    <row r="1015" s="4" customFormat="1" ht="11.25"/>
    <row r="1016" s="4" customFormat="1" ht="11.25"/>
    <row r="1017" s="4" customFormat="1" ht="11.25"/>
    <row r="1018" s="4" customFormat="1" ht="11.25"/>
    <row r="1019" s="4" customFormat="1" ht="11.25"/>
    <row r="1020" s="4" customFormat="1" ht="11.25"/>
    <row r="1021" s="4" customFormat="1" ht="11.25"/>
    <row r="1022" s="4" customFormat="1" ht="11.25"/>
    <row r="1023" s="4" customFormat="1" ht="11.25"/>
    <row r="1024" s="4" customFormat="1" ht="11.25"/>
    <row r="1025" s="4" customFormat="1" ht="11.25"/>
    <row r="1026" s="4" customFormat="1" ht="11.25"/>
    <row r="1027" s="4" customFormat="1" ht="11.25"/>
    <row r="1028" s="4" customFormat="1" ht="11.25"/>
    <row r="1029" s="4" customFormat="1" ht="11.25"/>
    <row r="1030" s="4" customFormat="1" ht="11.25"/>
    <row r="1031" s="4" customFormat="1" ht="11.25"/>
    <row r="1032" s="4" customFormat="1" ht="11.25"/>
    <row r="1033" s="4" customFormat="1" ht="11.25"/>
    <row r="1034" s="4" customFormat="1" ht="11.25"/>
    <row r="1035" s="4" customFormat="1" ht="11.25"/>
    <row r="1036" s="4" customFormat="1" ht="11.25"/>
    <row r="1037" s="4" customFormat="1" ht="11.25"/>
    <row r="1038" s="4" customFormat="1" ht="11.25"/>
    <row r="1039" s="4" customFormat="1" ht="11.25"/>
    <row r="1040" s="4" customFormat="1" ht="11.25"/>
    <row r="1041" s="4" customFormat="1" ht="11.25"/>
    <row r="1042" s="4" customFormat="1" ht="11.25"/>
    <row r="1043" s="4" customFormat="1" ht="11.25"/>
    <row r="1044" s="4" customFormat="1" ht="11.25"/>
    <row r="1045" s="4" customFormat="1" ht="11.25"/>
    <row r="1046" s="4" customFormat="1" ht="11.25"/>
    <row r="1047" s="4" customFormat="1" ht="11.25"/>
    <row r="1048" s="4" customFormat="1" ht="11.25"/>
    <row r="1049" s="4" customFormat="1" ht="11.25"/>
    <row r="1050" s="4" customFormat="1" ht="11.25"/>
    <row r="1051" s="4" customFormat="1" ht="11.25"/>
    <row r="1052" s="4" customFormat="1" ht="11.25"/>
    <row r="1053" s="4" customFormat="1" ht="11.25"/>
    <row r="1054" s="4" customFormat="1" ht="11.25"/>
    <row r="1055" s="4" customFormat="1" ht="11.25"/>
    <row r="1056" s="4" customFormat="1" ht="11.25"/>
    <row r="1057" s="4" customFormat="1" ht="11.25"/>
    <row r="1058" s="4" customFormat="1" ht="11.25"/>
    <row r="1059" s="4" customFormat="1" ht="11.25"/>
    <row r="1060" s="4" customFormat="1" ht="11.25"/>
    <row r="1061" s="4" customFormat="1" ht="11.25"/>
    <row r="1062" s="4" customFormat="1" ht="11.25"/>
    <row r="1063" s="4" customFormat="1" ht="11.25"/>
    <row r="1064" s="4" customFormat="1" ht="11.25"/>
    <row r="1065" s="4" customFormat="1" ht="11.25"/>
    <row r="1066" s="4" customFormat="1" ht="11.25"/>
    <row r="1067" s="4" customFormat="1" ht="11.25"/>
    <row r="1068" s="4" customFormat="1" ht="11.25"/>
    <row r="1069" s="4" customFormat="1" ht="11.25"/>
    <row r="1070" s="4" customFormat="1" ht="11.25"/>
    <row r="1071" s="4" customFormat="1" ht="11.25"/>
    <row r="1072" s="4" customFormat="1" ht="11.25"/>
    <row r="1073" s="4" customFormat="1" ht="11.25"/>
    <row r="1074" s="4" customFormat="1" ht="11.25"/>
    <row r="1075" s="4" customFormat="1" ht="11.25"/>
    <row r="1076" s="4" customFormat="1" ht="11.25"/>
    <row r="1077" s="4" customFormat="1" ht="11.25"/>
    <row r="1078" s="4" customFormat="1" ht="11.25"/>
    <row r="1079" s="4" customFormat="1" ht="11.25"/>
    <row r="1080" s="4" customFormat="1" ht="11.25"/>
    <row r="1081" s="4" customFormat="1" ht="11.25"/>
    <row r="1082" s="4" customFormat="1" ht="11.25"/>
    <row r="1083" s="4" customFormat="1" ht="11.25"/>
    <row r="1084" s="4" customFormat="1" ht="11.25"/>
    <row r="1085" s="4" customFormat="1" ht="11.25"/>
    <row r="1086" s="4" customFormat="1" ht="11.25"/>
    <row r="1087" s="4" customFormat="1" ht="11.25"/>
    <row r="1088" s="4" customFormat="1" ht="11.25"/>
    <row r="1089" s="4" customFormat="1" ht="11.25"/>
    <row r="1090" s="4" customFormat="1" ht="11.25"/>
    <row r="1091" s="4" customFormat="1" ht="11.25"/>
    <row r="1092" s="4" customFormat="1" ht="11.25"/>
    <row r="1093" s="4" customFormat="1" ht="11.25"/>
    <row r="1094" s="4" customFormat="1" ht="11.25"/>
    <row r="1095" s="4" customFormat="1" ht="11.25"/>
    <row r="1096" s="4" customFormat="1" ht="11.25"/>
    <row r="1097" s="4" customFormat="1" ht="11.25"/>
    <row r="1098" s="4" customFormat="1" ht="11.25"/>
    <row r="1099" s="4" customFormat="1" ht="11.25"/>
    <row r="1100" s="4" customFormat="1" ht="11.25"/>
    <row r="1101" s="4" customFormat="1" ht="11.25"/>
    <row r="1102" s="4" customFormat="1" ht="11.25"/>
    <row r="1103" s="4" customFormat="1" ht="11.25"/>
    <row r="1104" s="4" customFormat="1" ht="11.25"/>
    <row r="1105" s="4" customFormat="1" ht="11.25"/>
    <row r="1106" s="4" customFormat="1" ht="11.25"/>
    <row r="1107" s="4" customFormat="1" ht="11.25"/>
    <row r="1108" s="4" customFormat="1" ht="11.25"/>
    <row r="1109" s="4" customFormat="1" ht="11.25"/>
    <row r="1110" s="4" customFormat="1" ht="11.25"/>
    <row r="1111" s="4" customFormat="1" ht="11.25"/>
    <row r="1112" s="4" customFormat="1" ht="11.25"/>
    <row r="1113" s="4" customFormat="1" ht="11.25"/>
    <row r="1114" s="4" customFormat="1" ht="11.25"/>
    <row r="1115" s="4" customFormat="1" ht="11.25"/>
    <row r="1116" s="4" customFormat="1" ht="11.25"/>
    <row r="1117" s="4" customFormat="1" ht="11.25"/>
    <row r="1118" s="4" customFormat="1" ht="11.25"/>
  </sheetData>
  <mergeCells count="30">
    <mergeCell ref="C6:D6"/>
    <mergeCell ref="A10:B10"/>
    <mergeCell ref="E6:H6"/>
    <mergeCell ref="A21:B21"/>
    <mergeCell ref="I15:I16"/>
    <mergeCell ref="A22:B22"/>
    <mergeCell ref="D15:F15"/>
    <mergeCell ref="G15:G16"/>
    <mergeCell ref="H15:H16"/>
    <mergeCell ref="I6:J6"/>
    <mergeCell ref="I3:J3"/>
    <mergeCell ref="I4:J4"/>
    <mergeCell ref="I5:J5"/>
    <mergeCell ref="A11:B11"/>
    <mergeCell ref="A12:B12"/>
    <mergeCell ref="A30:B30"/>
    <mergeCell ref="A15:A16"/>
    <mergeCell ref="B15:B16"/>
    <mergeCell ref="C15:C16"/>
    <mergeCell ref="A17:I17"/>
    <mergeCell ref="C9:E9"/>
    <mergeCell ref="E7:H7"/>
    <mergeCell ref="I7:J7"/>
    <mergeCell ref="A1:B8"/>
    <mergeCell ref="C1:H5"/>
    <mergeCell ref="E8:H8"/>
    <mergeCell ref="I8:J8"/>
    <mergeCell ref="C7:D8"/>
    <mergeCell ref="I1:J1"/>
    <mergeCell ref="I2:J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topLeftCell="A19" zoomScale="120" zoomScaleNormal="120" workbookViewId="0">
      <selection activeCell="D35" sqref="D35"/>
    </sheetView>
  </sheetViews>
  <sheetFormatPr baseColWidth="10" defaultRowHeight="12.75"/>
  <cols>
    <col min="1" max="1" width="7.5703125" style="3" customWidth="1"/>
    <col min="2" max="2" width="16.85546875" style="3" customWidth="1"/>
    <col min="3" max="3" width="27.28515625" style="3" customWidth="1"/>
    <col min="4" max="4" width="16.140625" style="3" customWidth="1"/>
    <col min="5" max="5" width="7.42578125" style="3" hidden="1" customWidth="1"/>
    <col min="6" max="6" width="9.5703125" style="3" customWidth="1"/>
    <col min="7" max="7" width="9.85546875" style="3" customWidth="1"/>
    <col min="8" max="8" width="5.7109375" style="3" customWidth="1"/>
    <col min="9" max="9" width="13.28515625" style="3" customWidth="1"/>
    <col min="10" max="10" width="7.28515625" style="3" customWidth="1"/>
    <col min="11" max="11" width="10.42578125" style="3" customWidth="1"/>
    <col min="12" max="12" width="9.42578125" style="3" customWidth="1"/>
    <col min="13" max="13" width="8.5703125" style="3" customWidth="1"/>
    <col min="14" max="14" width="8.42578125" style="3" customWidth="1"/>
    <col min="15" max="16384" width="11.42578125" style="3"/>
  </cols>
  <sheetData>
    <row r="1" spans="1:10" ht="12.75" customHeight="1">
      <c r="A1" s="264"/>
      <c r="B1" s="265"/>
      <c r="C1" s="270" t="s">
        <v>175</v>
      </c>
      <c r="D1" s="270"/>
      <c r="E1" s="270"/>
      <c r="F1" s="270"/>
      <c r="G1" s="270"/>
      <c r="H1" s="270"/>
      <c r="I1" s="275" t="s">
        <v>164</v>
      </c>
      <c r="J1" s="276"/>
    </row>
    <row r="2" spans="1:10" ht="12.75" customHeight="1">
      <c r="A2" s="266"/>
      <c r="B2" s="267"/>
      <c r="C2" s="271"/>
      <c r="D2" s="271"/>
      <c r="E2" s="271"/>
      <c r="F2" s="271"/>
      <c r="G2" s="271"/>
      <c r="H2" s="271"/>
      <c r="I2" s="272" t="s">
        <v>165</v>
      </c>
      <c r="J2" s="273"/>
    </row>
    <row r="3" spans="1:10" ht="12.75" customHeight="1">
      <c r="A3" s="266"/>
      <c r="B3" s="267"/>
      <c r="C3" s="271"/>
      <c r="D3" s="271"/>
      <c r="E3" s="271"/>
      <c r="F3" s="271"/>
      <c r="G3" s="271"/>
      <c r="H3" s="271"/>
      <c r="I3" s="272" t="s">
        <v>166</v>
      </c>
      <c r="J3" s="273"/>
    </row>
    <row r="4" spans="1:10" ht="12.75" customHeight="1">
      <c r="A4" s="266"/>
      <c r="B4" s="267"/>
      <c r="C4" s="271"/>
      <c r="D4" s="271"/>
      <c r="E4" s="271"/>
      <c r="F4" s="271"/>
      <c r="G4" s="271"/>
      <c r="H4" s="271"/>
      <c r="I4" s="272" t="s">
        <v>177</v>
      </c>
      <c r="J4" s="273"/>
    </row>
    <row r="5" spans="1:10" s="13" customFormat="1" ht="18">
      <c r="A5" s="266"/>
      <c r="B5" s="267"/>
      <c r="C5" s="271"/>
      <c r="D5" s="271"/>
      <c r="E5" s="271"/>
      <c r="F5" s="271"/>
      <c r="G5" s="271"/>
      <c r="H5" s="271"/>
      <c r="I5" s="318" t="s">
        <v>151</v>
      </c>
      <c r="J5" s="319"/>
    </row>
    <row r="6" spans="1:10" ht="14.25" customHeight="1">
      <c r="A6" s="266"/>
      <c r="B6" s="267"/>
      <c r="C6" s="279" t="s">
        <v>167</v>
      </c>
      <c r="D6" s="279"/>
      <c r="E6" s="279" t="s">
        <v>168</v>
      </c>
      <c r="F6" s="279"/>
      <c r="G6" s="279"/>
      <c r="H6" s="279"/>
      <c r="I6" s="279" t="s">
        <v>169</v>
      </c>
      <c r="J6" s="280"/>
    </row>
    <row r="7" spans="1:10" s="5" customFormat="1" ht="14.25">
      <c r="A7" s="266"/>
      <c r="B7" s="267"/>
      <c r="C7" s="279" t="s">
        <v>170</v>
      </c>
      <c r="D7" s="279"/>
      <c r="E7" s="279" t="s">
        <v>171</v>
      </c>
      <c r="F7" s="279"/>
      <c r="G7" s="279"/>
      <c r="H7" s="279"/>
      <c r="I7" s="279" t="s">
        <v>173</v>
      </c>
      <c r="J7" s="280"/>
    </row>
    <row r="8" spans="1:10" s="5" customFormat="1" ht="14.25">
      <c r="A8" s="268"/>
      <c r="B8" s="269"/>
      <c r="C8" s="303"/>
      <c r="D8" s="303"/>
      <c r="E8" s="303" t="s">
        <v>172</v>
      </c>
      <c r="F8" s="303"/>
      <c r="G8" s="303"/>
      <c r="H8" s="303"/>
      <c r="I8" s="303" t="s">
        <v>174</v>
      </c>
      <c r="J8" s="304"/>
    </row>
    <row r="9" spans="1:10" s="5" customFormat="1" ht="15" customHeight="1">
      <c r="A9" s="345" t="s">
        <v>156</v>
      </c>
      <c r="B9" s="345"/>
      <c r="C9" s="345" t="s">
        <v>243</v>
      </c>
      <c r="D9" s="345"/>
      <c r="E9" s="9"/>
      <c r="F9" s="9"/>
      <c r="G9" s="132" t="s">
        <v>118</v>
      </c>
      <c r="H9" s="346"/>
      <c r="I9" s="346"/>
      <c r="J9" s="6"/>
    </row>
    <row r="10" spans="1:10" s="5" customFormat="1" ht="16.5">
      <c r="A10" s="344" t="s">
        <v>8</v>
      </c>
      <c r="B10" s="344"/>
      <c r="C10" s="245">
        <f>+'POA-01'!C10</f>
        <v>695986267</v>
      </c>
      <c r="D10" s="86"/>
      <c r="E10" s="9"/>
      <c r="F10" s="9"/>
      <c r="G10" s="9"/>
      <c r="H10" s="9"/>
      <c r="I10" s="9"/>
      <c r="J10" s="6"/>
    </row>
    <row r="11" spans="1:10" s="5" customFormat="1" ht="16.5">
      <c r="A11" s="344" t="s">
        <v>10</v>
      </c>
      <c r="B11" s="344"/>
      <c r="C11" s="66">
        <f>'POA-01'!D11</f>
        <v>0</v>
      </c>
      <c r="D11" s="86"/>
      <c r="E11" s="9"/>
      <c r="F11" s="9"/>
      <c r="G11" s="9"/>
      <c r="H11" s="9"/>
      <c r="I11" s="9"/>
      <c r="J11" s="6"/>
    </row>
    <row r="12" spans="1:10" s="5" customFormat="1" ht="15" customHeight="1">
      <c r="A12" s="344" t="s">
        <v>153</v>
      </c>
      <c r="B12" s="344"/>
      <c r="C12" s="66">
        <f>+'POA-01'!C12</f>
        <v>695986267</v>
      </c>
      <c r="D12" s="86"/>
      <c r="E12" s="9"/>
      <c r="F12" s="9"/>
      <c r="G12" s="9"/>
      <c r="H12" s="9"/>
      <c r="I12" s="9"/>
      <c r="J12" s="6"/>
    </row>
    <row r="13" spans="1:10" s="4" customFormat="1" ht="12.75" customHeight="1">
      <c r="A13" s="106"/>
      <c r="B13" s="106"/>
      <c r="C13" s="106"/>
      <c r="D13" s="106"/>
    </row>
    <row r="14" spans="1:10" s="7" customFormat="1" ht="14.25" thickBot="1">
      <c r="A14" s="87" t="s">
        <v>48</v>
      </c>
      <c r="B14" s="87"/>
      <c r="C14" s="87"/>
      <c r="D14" s="88" t="s">
        <v>49</v>
      </c>
    </row>
    <row r="15" spans="1:10" s="4" customFormat="1" ht="12.75" customHeight="1" thickBot="1">
      <c r="A15" s="128" t="s">
        <v>50</v>
      </c>
      <c r="B15" s="348" t="s">
        <v>34</v>
      </c>
      <c r="C15" s="349"/>
      <c r="D15" s="129" t="s">
        <v>26</v>
      </c>
    </row>
    <row r="16" spans="1:10" s="4" customFormat="1" ht="13.5">
      <c r="A16" s="130">
        <v>2</v>
      </c>
      <c r="B16" s="350" t="s">
        <v>134</v>
      </c>
      <c r="C16" s="351"/>
      <c r="D16" s="131">
        <f>+D17+D18+D22+D27+D31</f>
        <v>40143235</v>
      </c>
    </row>
    <row r="17" spans="1:9" s="4" customFormat="1" ht="13.5">
      <c r="A17" s="98" t="s">
        <v>121</v>
      </c>
      <c r="B17" s="347" t="s">
        <v>225</v>
      </c>
      <c r="C17" s="347"/>
      <c r="D17" s="99">
        <v>3800000</v>
      </c>
    </row>
    <row r="18" spans="1:9" s="4" customFormat="1" ht="13.5">
      <c r="A18" s="98" t="s">
        <v>122</v>
      </c>
      <c r="B18" s="347" t="s">
        <v>226</v>
      </c>
      <c r="C18" s="347"/>
      <c r="D18" s="99">
        <f>+'POA-03'!I22</f>
        <v>25000000</v>
      </c>
    </row>
    <row r="19" spans="1:9" s="4" customFormat="1" ht="13.5">
      <c r="A19" s="98" t="s">
        <v>123</v>
      </c>
      <c r="B19" s="343" t="s">
        <v>227</v>
      </c>
      <c r="C19" s="343"/>
      <c r="D19" s="232">
        <v>0</v>
      </c>
    </row>
    <row r="20" spans="1:9" s="4" customFormat="1" ht="13.5">
      <c r="A20" s="98" t="s">
        <v>124</v>
      </c>
      <c r="B20" s="343" t="s">
        <v>228</v>
      </c>
      <c r="C20" s="343"/>
      <c r="D20" s="233">
        <v>0</v>
      </c>
      <c r="I20" s="248">
        <f>+D22/5</f>
        <v>1328647</v>
      </c>
    </row>
    <row r="21" spans="1:9" s="4" customFormat="1" ht="13.5">
      <c r="A21" s="98" t="s">
        <v>125</v>
      </c>
      <c r="B21" s="343" t="s">
        <v>229</v>
      </c>
      <c r="C21" s="343"/>
      <c r="D21" s="233">
        <v>0</v>
      </c>
    </row>
    <row r="22" spans="1:9" s="4" customFormat="1" ht="13.5">
      <c r="A22" s="98" t="s">
        <v>126</v>
      </c>
      <c r="B22" s="343" t="s">
        <v>230</v>
      </c>
      <c r="C22" s="343"/>
      <c r="D22" s="233">
        <f>3455735+3187500</f>
        <v>6643235</v>
      </c>
    </row>
    <row r="23" spans="1:9" s="4" customFormat="1" ht="13.5">
      <c r="A23" s="98" t="s">
        <v>127</v>
      </c>
      <c r="B23" s="343" t="s">
        <v>231</v>
      </c>
      <c r="C23" s="343"/>
      <c r="D23" s="232">
        <v>0</v>
      </c>
    </row>
    <row r="24" spans="1:9" s="4" customFormat="1" ht="13.5">
      <c r="A24" s="98" t="s">
        <v>128</v>
      </c>
      <c r="B24" s="343" t="s">
        <v>232</v>
      </c>
      <c r="C24" s="343"/>
      <c r="D24" s="232">
        <v>0</v>
      </c>
    </row>
    <row r="25" spans="1:9" s="4" customFormat="1" ht="13.5">
      <c r="A25" s="98" t="s">
        <v>129</v>
      </c>
      <c r="B25" s="343" t="s">
        <v>233</v>
      </c>
      <c r="C25" s="343"/>
      <c r="D25" s="233">
        <v>0</v>
      </c>
    </row>
    <row r="26" spans="1:9" s="4" customFormat="1" ht="13.5">
      <c r="A26" s="98" t="s">
        <v>130</v>
      </c>
      <c r="B26" s="343" t="s">
        <v>234</v>
      </c>
      <c r="C26" s="343"/>
      <c r="D26" s="232">
        <v>0</v>
      </c>
    </row>
    <row r="27" spans="1:9" s="4" customFormat="1" ht="13.5">
      <c r="A27" s="98" t="s">
        <v>131</v>
      </c>
      <c r="B27" s="343" t="s">
        <v>235</v>
      </c>
      <c r="C27" s="343"/>
      <c r="D27" s="234">
        <f>1575000+1625000</f>
        <v>3200000</v>
      </c>
    </row>
    <row r="28" spans="1:9" s="4" customFormat="1" ht="13.5">
      <c r="A28" s="98" t="s">
        <v>132</v>
      </c>
      <c r="B28" s="343" t="s">
        <v>236</v>
      </c>
      <c r="C28" s="343"/>
      <c r="D28" s="232">
        <v>0</v>
      </c>
    </row>
    <row r="29" spans="1:9" s="4" customFormat="1" ht="13.5">
      <c r="A29" s="98" t="s">
        <v>133</v>
      </c>
      <c r="B29" s="343" t="s">
        <v>237</v>
      </c>
      <c r="C29" s="343"/>
      <c r="D29" s="232">
        <v>0</v>
      </c>
    </row>
    <row r="30" spans="1:9" s="4" customFormat="1" ht="13.5">
      <c r="A30" s="98" t="s">
        <v>135</v>
      </c>
      <c r="B30" s="343" t="s">
        <v>238</v>
      </c>
      <c r="C30" s="343"/>
      <c r="D30" s="232">
        <v>0</v>
      </c>
    </row>
    <row r="31" spans="1:9" s="4" customFormat="1" ht="13.5">
      <c r="A31" s="98"/>
      <c r="B31" s="343" t="s">
        <v>239</v>
      </c>
      <c r="C31" s="343"/>
      <c r="D31" s="232">
        <v>1500000</v>
      </c>
    </row>
    <row r="32" spans="1:9" s="4" customFormat="1" ht="13.5">
      <c r="A32" s="98"/>
      <c r="B32" s="343" t="s">
        <v>240</v>
      </c>
      <c r="C32" s="343"/>
      <c r="D32" s="232">
        <v>0</v>
      </c>
    </row>
    <row r="33" spans="1:9" s="4" customFormat="1" ht="13.5">
      <c r="A33" s="98"/>
      <c r="B33" s="342" t="s">
        <v>113</v>
      </c>
      <c r="C33" s="342"/>
      <c r="D33" s="232">
        <v>0</v>
      </c>
    </row>
    <row r="34" spans="1:9" s="4" customFormat="1" ht="13.5">
      <c r="A34" s="98"/>
      <c r="B34" s="342" t="s">
        <v>114</v>
      </c>
      <c r="C34" s="342"/>
      <c r="D34" s="103">
        <f>+'POA-05'!C30</f>
        <v>355200000</v>
      </c>
    </row>
    <row r="35" spans="1:9" s="4" customFormat="1" ht="13.5">
      <c r="A35" s="98"/>
      <c r="B35" s="342" t="s">
        <v>115</v>
      </c>
      <c r="C35" s="342"/>
      <c r="D35" s="103">
        <f>+'POA-05'!C21</f>
        <v>150395467</v>
      </c>
    </row>
    <row r="36" spans="1:9" s="4" customFormat="1" ht="13.5">
      <c r="A36" s="230"/>
      <c r="B36" s="342" t="s">
        <v>241</v>
      </c>
      <c r="C36" s="342"/>
      <c r="D36" s="235">
        <f>+'POA-02'!J26</f>
        <v>132247565.40798</v>
      </c>
    </row>
    <row r="37" spans="1:9" s="4" customFormat="1" ht="13.5">
      <c r="A37" s="231"/>
      <c r="B37" s="342" t="s">
        <v>242</v>
      </c>
      <c r="C37" s="342"/>
      <c r="D37" s="235">
        <f>+'POA-02'!J21</f>
        <v>0</v>
      </c>
    </row>
    <row r="38" spans="1:9" s="4" customFormat="1" ht="11.25">
      <c r="D38" s="57">
        <f>+D16+D34+D35+D36+D37</f>
        <v>677986267.40797997</v>
      </c>
      <c r="I38" s="57">
        <f>+C10-D38</f>
        <v>17999999.592020035</v>
      </c>
    </row>
    <row r="39" spans="1:9" s="4" customFormat="1" ht="11.25"/>
    <row r="40" spans="1:9" s="4" customFormat="1" ht="11.25"/>
    <row r="41" spans="1:9" s="4" customFormat="1" ht="11.25"/>
    <row r="42" spans="1:9" s="4" customFormat="1" ht="11.25"/>
    <row r="43" spans="1:9" s="4" customFormat="1" ht="11.25"/>
    <row r="44" spans="1:9" s="4" customFormat="1" ht="11.25"/>
    <row r="45" spans="1:9" s="4" customFormat="1" ht="11.25"/>
    <row r="46" spans="1:9" s="4" customFormat="1" ht="11.25"/>
    <row r="47" spans="1:9" s="4" customFormat="1" ht="11.25"/>
    <row r="48" spans="1:9" s="4" customFormat="1" ht="11.25"/>
    <row r="49" s="4" customFormat="1" ht="12" customHeight="1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5" customHeight="1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</sheetData>
  <mergeCells count="45">
    <mergeCell ref="B18:C18"/>
    <mergeCell ref="B15:C15"/>
    <mergeCell ref="B16:C16"/>
    <mergeCell ref="B17:C17"/>
    <mergeCell ref="B34:C34"/>
    <mergeCell ref="B29:C29"/>
    <mergeCell ref="B19:C19"/>
    <mergeCell ref="B20:C20"/>
    <mergeCell ref="B21:C21"/>
    <mergeCell ref="B22:C22"/>
    <mergeCell ref="B23:C23"/>
    <mergeCell ref="B26:C26"/>
    <mergeCell ref="B27:C27"/>
    <mergeCell ref="B25:C25"/>
    <mergeCell ref="B28:C28"/>
    <mergeCell ref="A11:B11"/>
    <mergeCell ref="I8:J8"/>
    <mergeCell ref="C6:D6"/>
    <mergeCell ref="B33:C33"/>
    <mergeCell ref="B24:C24"/>
    <mergeCell ref="C9:D9"/>
    <mergeCell ref="A9:B9"/>
    <mergeCell ref="H9:I9"/>
    <mergeCell ref="I6:J6"/>
    <mergeCell ref="A12:B12"/>
    <mergeCell ref="C7:D7"/>
    <mergeCell ref="E7:H7"/>
    <mergeCell ref="I7:J7"/>
    <mergeCell ref="B36:C36"/>
    <mergeCell ref="I1:J1"/>
    <mergeCell ref="I2:J2"/>
    <mergeCell ref="I3:J3"/>
    <mergeCell ref="I4:J4"/>
    <mergeCell ref="I5:J5"/>
    <mergeCell ref="A10:B10"/>
    <mergeCell ref="B37:C37"/>
    <mergeCell ref="A1:B8"/>
    <mergeCell ref="C1:H5"/>
    <mergeCell ref="C8:D8"/>
    <mergeCell ref="E8:H8"/>
    <mergeCell ref="B30:C30"/>
    <mergeCell ref="B35:C35"/>
    <mergeCell ref="B31:C31"/>
    <mergeCell ref="B32:C32"/>
    <mergeCell ref="E6:H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topLeftCell="A32" zoomScale="115" workbookViewId="0">
      <selection activeCell="O16" sqref="O16"/>
    </sheetView>
  </sheetViews>
  <sheetFormatPr baseColWidth="10" defaultRowHeight="10.5"/>
  <cols>
    <col min="1" max="1" width="7" style="17" customWidth="1"/>
    <col min="2" max="2" width="18.7109375" style="17" customWidth="1"/>
    <col min="3" max="3" width="11.28515625" style="17" customWidth="1"/>
    <col min="4" max="4" width="7.85546875" style="17" customWidth="1"/>
    <col min="5" max="5" width="8.7109375" style="17" customWidth="1"/>
    <col min="6" max="6" width="9.140625" style="17" customWidth="1"/>
    <col min="7" max="7" width="9.28515625" style="17" customWidth="1"/>
    <col min="8" max="8" width="9.140625" style="17" customWidth="1"/>
    <col min="9" max="10" width="9.85546875" style="17" customWidth="1"/>
    <col min="11" max="11" width="9.5703125" style="17" customWidth="1"/>
    <col min="12" max="12" width="9.28515625" style="17" customWidth="1"/>
    <col min="13" max="13" width="9.42578125" style="17" customWidth="1"/>
    <col min="14" max="14" width="9.5703125" style="17" customWidth="1"/>
    <col min="15" max="15" width="11" style="17" customWidth="1"/>
    <col min="16" max="16" width="10.85546875" style="17" customWidth="1"/>
    <col min="17" max="17" width="10.140625" style="17" customWidth="1"/>
    <col min="18" max="16384" width="11.42578125" style="17"/>
  </cols>
  <sheetData>
    <row r="1" spans="1:24" ht="11.25" customHeight="1">
      <c r="A1" s="264"/>
      <c r="B1" s="265"/>
      <c r="C1" s="270" t="s">
        <v>175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5" t="s">
        <v>164</v>
      </c>
      <c r="O1" s="275"/>
      <c r="P1" s="276"/>
    </row>
    <row r="2" spans="1:24" ht="12.75" customHeight="1">
      <c r="A2" s="266"/>
      <c r="B2" s="267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 t="s">
        <v>165</v>
      </c>
      <c r="O2" s="272"/>
      <c r="P2" s="273"/>
    </row>
    <row r="3" spans="1:24" ht="12.75" customHeight="1">
      <c r="A3" s="266"/>
      <c r="B3" s="267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2" t="s">
        <v>166</v>
      </c>
      <c r="O3" s="272"/>
      <c r="P3" s="273"/>
    </row>
    <row r="4" spans="1:24" ht="11.25" customHeight="1">
      <c r="A4" s="266"/>
      <c r="B4" s="267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2" t="s">
        <v>177</v>
      </c>
      <c r="O4" s="272"/>
      <c r="P4" s="273"/>
    </row>
    <row r="5" spans="1:24" ht="10.5" customHeight="1">
      <c r="A5" s="266"/>
      <c r="B5" s="267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7" t="s">
        <v>151</v>
      </c>
      <c r="O5" s="277"/>
      <c r="P5" s="278"/>
    </row>
    <row r="6" spans="1:24" ht="15" customHeight="1">
      <c r="A6" s="266"/>
      <c r="B6" s="267"/>
      <c r="C6" s="279" t="s">
        <v>167</v>
      </c>
      <c r="D6" s="279"/>
      <c r="E6" s="279"/>
      <c r="F6" s="279"/>
      <c r="G6" s="279"/>
      <c r="H6" s="279" t="s">
        <v>168</v>
      </c>
      <c r="I6" s="279"/>
      <c r="J6" s="279"/>
      <c r="K6" s="279"/>
      <c r="L6" s="279"/>
      <c r="M6" s="279" t="s">
        <v>169</v>
      </c>
      <c r="N6" s="279"/>
      <c r="O6" s="279"/>
      <c r="P6" s="280"/>
    </row>
    <row r="7" spans="1:24" ht="11.25" customHeight="1">
      <c r="A7" s="266"/>
      <c r="B7" s="267"/>
      <c r="C7" s="364" t="s">
        <v>170</v>
      </c>
      <c r="D7" s="364"/>
      <c r="E7" s="364"/>
      <c r="F7" s="364"/>
      <c r="G7" s="364"/>
      <c r="H7" s="279" t="s">
        <v>171</v>
      </c>
      <c r="I7" s="279"/>
      <c r="J7" s="279"/>
      <c r="K7" s="279"/>
      <c r="L7" s="279"/>
      <c r="M7" s="279" t="s">
        <v>173</v>
      </c>
      <c r="N7" s="279"/>
      <c r="O7" s="279"/>
      <c r="P7" s="280"/>
    </row>
    <row r="8" spans="1:24" ht="13.5" customHeight="1">
      <c r="A8" s="268"/>
      <c r="B8" s="269"/>
      <c r="C8" s="365"/>
      <c r="D8" s="365"/>
      <c r="E8" s="365"/>
      <c r="F8" s="365"/>
      <c r="G8" s="365"/>
      <c r="H8" s="303" t="s">
        <v>172</v>
      </c>
      <c r="I8" s="303"/>
      <c r="J8" s="303"/>
      <c r="K8" s="303"/>
      <c r="L8" s="303"/>
      <c r="M8" s="303" t="s">
        <v>174</v>
      </c>
      <c r="N8" s="303"/>
      <c r="O8" s="303"/>
      <c r="P8" s="304"/>
    </row>
    <row r="9" spans="1:24" ht="12.75" customHeight="1" thickBot="1">
      <c r="A9" s="363" t="s">
        <v>120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43"/>
      <c r="R9" s="43"/>
      <c r="S9" s="43"/>
      <c r="T9" s="43"/>
      <c r="U9" s="43"/>
      <c r="V9" s="43"/>
      <c r="W9" s="43"/>
      <c r="X9" s="43"/>
    </row>
    <row r="10" spans="1:24" ht="3" hidden="1" customHeight="1" thickBot="1">
      <c r="A10" s="133"/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6"/>
      <c r="Q10" s="39"/>
      <c r="R10" s="43"/>
      <c r="S10" s="37"/>
      <c r="T10" s="43"/>
      <c r="U10" s="43"/>
      <c r="V10" s="39"/>
      <c r="W10" s="43"/>
      <c r="X10" s="37"/>
    </row>
    <row r="11" spans="1:24" ht="13.5" thickBot="1">
      <c r="A11" s="354"/>
      <c r="B11" s="356" t="s">
        <v>27</v>
      </c>
      <c r="C11" s="358" t="s">
        <v>137</v>
      </c>
      <c r="D11" s="360" t="s">
        <v>53</v>
      </c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2"/>
      <c r="P11" s="352" t="s">
        <v>30</v>
      </c>
    </row>
    <row r="12" spans="1:24" ht="13.5" thickBot="1">
      <c r="A12" s="355"/>
      <c r="B12" s="357"/>
      <c r="C12" s="359"/>
      <c r="D12" s="137" t="s">
        <v>55</v>
      </c>
      <c r="E12" s="138" t="s">
        <v>56</v>
      </c>
      <c r="F12" s="138" t="s">
        <v>57</v>
      </c>
      <c r="G12" s="138" t="s">
        <v>58</v>
      </c>
      <c r="H12" s="138" t="s">
        <v>59</v>
      </c>
      <c r="I12" s="138" t="s">
        <v>60</v>
      </c>
      <c r="J12" s="138" t="s">
        <v>61</v>
      </c>
      <c r="K12" s="138" t="s">
        <v>62</v>
      </c>
      <c r="L12" s="138" t="s">
        <v>63</v>
      </c>
      <c r="M12" s="138" t="s">
        <v>64</v>
      </c>
      <c r="N12" s="138" t="s">
        <v>65</v>
      </c>
      <c r="O12" s="139" t="s">
        <v>66</v>
      </c>
      <c r="P12" s="353"/>
      <c r="Q12" s="41"/>
      <c r="R12" s="41"/>
      <c r="S12" s="41"/>
      <c r="T12" s="40"/>
      <c r="U12" s="40"/>
      <c r="V12" s="42"/>
      <c r="W12" s="40"/>
      <c r="X12" s="40"/>
    </row>
    <row r="13" spans="1:24" ht="12.75">
      <c r="A13" s="140">
        <v>1000</v>
      </c>
      <c r="B13" s="146" t="s">
        <v>67</v>
      </c>
      <c r="C13" s="249">
        <f>SUM(C14:C15)</f>
        <v>150247565.40798</v>
      </c>
      <c r="D13" s="249">
        <f t="shared" ref="D13:P13" si="0">SUM(D14:D15)</f>
        <v>11020630.450664999</v>
      </c>
      <c r="E13" s="249">
        <f t="shared" si="0"/>
        <v>11020630.450664999</v>
      </c>
      <c r="F13" s="249">
        <f t="shared" si="0"/>
        <v>14020630.450664999</v>
      </c>
      <c r="G13" s="249">
        <f t="shared" si="0"/>
        <v>14020630.450664999</v>
      </c>
      <c r="H13" s="249">
        <f t="shared" si="0"/>
        <v>14020630.450664999</v>
      </c>
      <c r="I13" s="249">
        <f t="shared" si="0"/>
        <v>14020630.450664999</v>
      </c>
      <c r="J13" s="249">
        <f t="shared" si="0"/>
        <v>14020630.450664999</v>
      </c>
      <c r="K13" s="249">
        <f t="shared" si="0"/>
        <v>14020630.450664999</v>
      </c>
      <c r="L13" s="249">
        <f t="shared" si="0"/>
        <v>11020630.450664999</v>
      </c>
      <c r="M13" s="249">
        <f t="shared" si="0"/>
        <v>11020630.450664999</v>
      </c>
      <c r="N13" s="249">
        <f t="shared" si="0"/>
        <v>11020630.450664999</v>
      </c>
      <c r="O13" s="249">
        <f t="shared" si="0"/>
        <v>11020630.450664999</v>
      </c>
      <c r="P13" s="249">
        <f t="shared" si="0"/>
        <v>150247565.40797997</v>
      </c>
    </row>
    <row r="14" spans="1:24" ht="12.75">
      <c r="A14" s="141">
        <v>1001</v>
      </c>
      <c r="B14" s="147" t="s">
        <v>68</v>
      </c>
      <c r="C14" s="250">
        <f>'POA-02'!J20</f>
        <v>18000000</v>
      </c>
      <c r="D14" s="251"/>
      <c r="E14" s="251"/>
      <c r="F14" s="251">
        <f>'POA-02'!J18/6+'POA-02'!J19/6</f>
        <v>3000000</v>
      </c>
      <c r="G14" s="255">
        <f>'POA-02'!J18/6+'POA-02'!J19/6</f>
        <v>3000000</v>
      </c>
      <c r="H14" s="255">
        <f>'POA-02'!J18/6+'POA-02'!J19/6</f>
        <v>3000000</v>
      </c>
      <c r="I14" s="255">
        <f>'POA-02'!J18/6+'POA-02'!J19/6</f>
        <v>3000000</v>
      </c>
      <c r="J14" s="255">
        <f>'POA-02'!J18/6+'POA-02'!J19/6</f>
        <v>3000000</v>
      </c>
      <c r="K14" s="255">
        <f>'POA-02'!J18/6+'POA-02'!J19/6</f>
        <v>3000000</v>
      </c>
      <c r="L14" s="255"/>
      <c r="M14" s="255"/>
      <c r="N14" s="255"/>
      <c r="O14" s="255"/>
      <c r="P14" s="252">
        <f>SUM(D14:O14)</f>
        <v>18000000</v>
      </c>
      <c r="Q14" s="41"/>
      <c r="R14" s="41"/>
      <c r="S14" s="41"/>
      <c r="T14" s="40"/>
      <c r="U14" s="40"/>
      <c r="V14" s="42"/>
      <c r="W14" s="40"/>
      <c r="X14" s="40"/>
    </row>
    <row r="15" spans="1:24" ht="12.75">
      <c r="A15" s="141">
        <v>1002</v>
      </c>
      <c r="B15" s="147" t="s">
        <v>69</v>
      </c>
      <c r="C15" s="251">
        <f>+'POA-02'!J26</f>
        <v>132247565.40798</v>
      </c>
      <c r="D15" s="257">
        <f>'POA-02'!J26/12</f>
        <v>11020630.450664999</v>
      </c>
      <c r="E15" s="257">
        <f>'POA-02'!J26/12</f>
        <v>11020630.450664999</v>
      </c>
      <c r="F15" s="257">
        <f>'POA-02'!J26/12</f>
        <v>11020630.450664999</v>
      </c>
      <c r="G15" s="257">
        <f>'POA-02'!J26/12</f>
        <v>11020630.450664999</v>
      </c>
      <c r="H15" s="257">
        <f>'POA-02'!J26/12</f>
        <v>11020630.450664999</v>
      </c>
      <c r="I15" s="257">
        <f>'POA-02'!J26/12</f>
        <v>11020630.450664999</v>
      </c>
      <c r="J15" s="257">
        <f>'POA-02'!J26/12</f>
        <v>11020630.450664999</v>
      </c>
      <c r="K15" s="257">
        <f>'POA-02'!J26/12</f>
        <v>11020630.450664999</v>
      </c>
      <c r="L15" s="257">
        <f>'POA-02'!J26/12</f>
        <v>11020630.450664999</v>
      </c>
      <c r="M15" s="257">
        <f>'POA-02'!J26/12</f>
        <v>11020630.450664999</v>
      </c>
      <c r="N15" s="257">
        <f>'POA-02'!J26/12</f>
        <v>11020630.450664999</v>
      </c>
      <c r="O15" s="257">
        <f>'POA-02'!J26/12</f>
        <v>11020630.450664999</v>
      </c>
      <c r="P15" s="252">
        <f>SUM(D15:O15)</f>
        <v>132247565.40797998</v>
      </c>
    </row>
    <row r="16" spans="1:24" ht="12.75">
      <c r="A16" s="142">
        <v>2000</v>
      </c>
      <c r="B16" s="147" t="s">
        <v>70</v>
      </c>
      <c r="C16" s="252">
        <f>+C17+C18+C22+C23+C27+C30+C34+C35+C36+C37+C38+C39+C40+C41+C42+C45+C46</f>
        <v>40143235</v>
      </c>
      <c r="D16" s="252">
        <f t="shared" ref="D16:P16" si="1">+D17+D18+D22+D23+D27+D30+D34+D35+D36+D37+D38+D39+D40+D41+D42+D45+D46</f>
        <v>0</v>
      </c>
      <c r="E16" s="252">
        <f t="shared" si="1"/>
        <v>984323.5</v>
      </c>
      <c r="F16" s="252">
        <f>+F17+F18+F22+F23+F27+F30+F34+F35+F36+F37+F38+F39+F40+F41+F42+F45+F46</f>
        <v>984323.5</v>
      </c>
      <c r="G16" s="252">
        <f t="shared" si="1"/>
        <v>9784323.5</v>
      </c>
      <c r="H16" s="252">
        <f t="shared" si="1"/>
        <v>5984323.5</v>
      </c>
      <c r="I16" s="252">
        <f t="shared" si="1"/>
        <v>6734323.5</v>
      </c>
      <c r="J16" s="252">
        <f t="shared" si="1"/>
        <v>5984323.5</v>
      </c>
      <c r="K16" s="252">
        <f>+K18+K30+K38++K42</f>
        <v>5984323.5</v>
      </c>
      <c r="L16" s="252">
        <f t="shared" si="1"/>
        <v>984323.5</v>
      </c>
      <c r="M16" s="252">
        <f t="shared" si="1"/>
        <v>984323.5</v>
      </c>
      <c r="N16" s="252">
        <f t="shared" si="1"/>
        <v>1734323.5</v>
      </c>
      <c r="O16" s="252">
        <f t="shared" si="1"/>
        <v>0</v>
      </c>
      <c r="P16" s="252">
        <f t="shared" si="1"/>
        <v>40143235</v>
      </c>
      <c r="Q16" s="41"/>
      <c r="R16" s="41"/>
      <c r="S16" s="41"/>
      <c r="T16" s="40"/>
      <c r="U16" s="40"/>
      <c r="V16" s="42"/>
      <c r="W16" s="40"/>
      <c r="X16" s="40"/>
    </row>
    <row r="17" spans="1:24" ht="12.75">
      <c r="A17" s="141">
        <v>2001</v>
      </c>
      <c r="B17" s="147" t="s">
        <v>71</v>
      </c>
      <c r="C17" s="251">
        <v>3800000</v>
      </c>
      <c r="D17" s="251">
        <v>0</v>
      </c>
      <c r="E17" s="251"/>
      <c r="F17" s="251"/>
      <c r="G17" s="251">
        <f>+C17</f>
        <v>3800000</v>
      </c>
      <c r="H17" s="251">
        <v>0</v>
      </c>
      <c r="I17" s="251"/>
      <c r="J17" s="251">
        <v>0</v>
      </c>
      <c r="K17" s="251">
        <v>0</v>
      </c>
      <c r="L17" s="251">
        <v>0</v>
      </c>
      <c r="M17" s="251">
        <v>0</v>
      </c>
      <c r="N17" s="251">
        <v>0</v>
      </c>
      <c r="O17" s="251">
        <v>0</v>
      </c>
      <c r="P17" s="252">
        <f t="shared" ref="P17:P51" si="2">SUM(D17:O17)</f>
        <v>3800000</v>
      </c>
    </row>
    <row r="18" spans="1:24" ht="12.75">
      <c r="A18" s="141">
        <v>2002</v>
      </c>
      <c r="B18" s="147" t="s">
        <v>142</v>
      </c>
      <c r="C18" s="251">
        <f>'POA-03'!I22</f>
        <v>25000000</v>
      </c>
      <c r="D18" s="251"/>
      <c r="E18" s="251"/>
      <c r="F18" s="251"/>
      <c r="G18" s="251">
        <f>+C18/5</f>
        <v>5000000</v>
      </c>
      <c r="H18" s="251">
        <f>+C18/5</f>
        <v>5000000</v>
      </c>
      <c r="I18" s="251">
        <f>+C18/5</f>
        <v>5000000</v>
      </c>
      <c r="J18" s="251">
        <f>+C18/5</f>
        <v>5000000</v>
      </c>
      <c r="K18" s="251">
        <f>+C18/5</f>
        <v>5000000</v>
      </c>
      <c r="L18" s="251"/>
      <c r="M18" s="251"/>
      <c r="N18" s="251"/>
      <c r="O18" s="251"/>
      <c r="P18" s="252">
        <f t="shared" si="2"/>
        <v>25000000</v>
      </c>
      <c r="Q18" s="44"/>
      <c r="R18" s="44"/>
      <c r="S18" s="44"/>
      <c r="T18" s="44"/>
      <c r="U18" s="44"/>
      <c r="V18" s="44"/>
      <c r="W18" s="44"/>
      <c r="X18" s="44"/>
    </row>
    <row r="19" spans="1:24" ht="12.75">
      <c r="A19" s="141" t="s">
        <v>73</v>
      </c>
      <c r="B19" s="147" t="s">
        <v>74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2">
        <f t="shared" si="2"/>
        <v>0</v>
      </c>
    </row>
    <row r="20" spans="1:24" ht="12.75">
      <c r="A20" s="141" t="s">
        <v>75</v>
      </c>
      <c r="B20" s="147" t="s">
        <v>76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2">
        <f t="shared" si="2"/>
        <v>0</v>
      </c>
      <c r="Q20" s="41"/>
      <c r="R20" s="41"/>
      <c r="S20" s="41"/>
      <c r="T20" s="40"/>
      <c r="U20" s="40"/>
      <c r="V20" s="42"/>
      <c r="W20" s="40"/>
      <c r="X20" s="40"/>
    </row>
    <row r="21" spans="1:24" ht="12.75">
      <c r="A21" s="141" t="s">
        <v>77</v>
      </c>
      <c r="B21" s="147" t="s">
        <v>78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2">
        <f t="shared" si="2"/>
        <v>0</v>
      </c>
    </row>
    <row r="22" spans="1:24" ht="12" customHeight="1">
      <c r="A22" s="141">
        <v>2003</v>
      </c>
      <c r="B22" s="148" t="s">
        <v>79</v>
      </c>
      <c r="C22" s="250">
        <f>'POA-06'!D68</f>
        <v>0</v>
      </c>
      <c r="D22" s="251">
        <v>0</v>
      </c>
      <c r="E22" s="251"/>
      <c r="F22" s="251">
        <v>0</v>
      </c>
      <c r="G22" s="251">
        <v>0</v>
      </c>
      <c r="H22" s="251"/>
      <c r="I22" s="251">
        <v>0</v>
      </c>
      <c r="J22" s="251"/>
      <c r="K22" s="251">
        <v>0</v>
      </c>
      <c r="L22" s="251">
        <v>0</v>
      </c>
      <c r="M22" s="251">
        <v>0</v>
      </c>
      <c r="N22" s="251"/>
      <c r="O22" s="251">
        <v>0</v>
      </c>
      <c r="P22" s="252">
        <f t="shared" si="2"/>
        <v>0</v>
      </c>
    </row>
    <row r="23" spans="1:24" ht="12.75">
      <c r="A23" s="141">
        <v>2004</v>
      </c>
      <c r="B23" s="147" t="s">
        <v>80</v>
      </c>
      <c r="C23" s="250">
        <f>'POA-06'!D69</f>
        <v>0</v>
      </c>
      <c r="D23" s="251">
        <v>0</v>
      </c>
      <c r="E23" s="251">
        <v>0</v>
      </c>
      <c r="F23" s="251">
        <v>0</v>
      </c>
      <c r="G23" s="251">
        <v>0</v>
      </c>
      <c r="H23" s="251">
        <v>0</v>
      </c>
      <c r="I23" s="251">
        <v>0</v>
      </c>
      <c r="J23" s="251">
        <v>0</v>
      </c>
      <c r="K23" s="251">
        <v>0</v>
      </c>
      <c r="L23" s="251">
        <v>0</v>
      </c>
      <c r="M23" s="251">
        <v>0</v>
      </c>
      <c r="N23" s="251">
        <v>0</v>
      </c>
      <c r="O23" s="251">
        <v>0</v>
      </c>
      <c r="P23" s="252">
        <f t="shared" si="2"/>
        <v>0</v>
      </c>
      <c r="Q23" s="41"/>
      <c r="R23" s="41"/>
      <c r="S23" s="41"/>
      <c r="T23" s="40"/>
      <c r="U23" s="40"/>
      <c r="V23" s="42"/>
      <c r="W23" s="40"/>
      <c r="X23" s="40"/>
    </row>
    <row r="24" spans="1:24" ht="12.75">
      <c r="A24" s="141" t="s">
        <v>81</v>
      </c>
      <c r="B24" s="147" t="s">
        <v>82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2">
        <f t="shared" si="2"/>
        <v>0</v>
      </c>
    </row>
    <row r="25" spans="1:24" ht="12.75">
      <c r="A25" s="141" t="s">
        <v>83</v>
      </c>
      <c r="B25" s="147" t="s">
        <v>84</v>
      </c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2">
        <f t="shared" si="2"/>
        <v>0</v>
      </c>
    </row>
    <row r="26" spans="1:24" ht="12.75">
      <c r="A26" s="141" t="s">
        <v>85</v>
      </c>
      <c r="B26" s="147" t="s">
        <v>86</v>
      </c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2">
        <f t="shared" si="2"/>
        <v>0</v>
      </c>
    </row>
    <row r="27" spans="1:24" ht="12.75">
      <c r="A27" s="141">
        <v>2005</v>
      </c>
      <c r="B27" s="147" t="s">
        <v>87</v>
      </c>
      <c r="C27" s="250">
        <f>'POA-06'!D70</f>
        <v>0</v>
      </c>
      <c r="D27" s="251">
        <v>0</v>
      </c>
      <c r="E27" s="251">
        <v>0</v>
      </c>
      <c r="F27" s="251">
        <v>0</v>
      </c>
      <c r="G27" s="251">
        <v>0</v>
      </c>
      <c r="H27" s="251">
        <v>0</v>
      </c>
      <c r="I27" s="251">
        <v>0</v>
      </c>
      <c r="J27" s="251">
        <v>0</v>
      </c>
      <c r="K27" s="251">
        <v>0</v>
      </c>
      <c r="L27" s="251">
        <v>0</v>
      </c>
      <c r="M27" s="251">
        <v>0</v>
      </c>
      <c r="N27" s="251">
        <v>0</v>
      </c>
      <c r="O27" s="251">
        <v>0</v>
      </c>
      <c r="P27" s="252">
        <f t="shared" si="2"/>
        <v>0</v>
      </c>
      <c r="Q27" s="41"/>
      <c r="R27" s="41"/>
      <c r="S27" s="41"/>
      <c r="T27" s="40"/>
      <c r="U27" s="40"/>
      <c r="V27" s="42"/>
      <c r="W27" s="40"/>
      <c r="X27" s="40"/>
    </row>
    <row r="28" spans="1:24" ht="12.75">
      <c r="A28" s="141" t="s">
        <v>88</v>
      </c>
      <c r="B28" s="147" t="s">
        <v>89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2">
        <f t="shared" si="2"/>
        <v>0</v>
      </c>
    </row>
    <row r="29" spans="1:24" ht="12.75">
      <c r="A29" s="141" t="s">
        <v>90</v>
      </c>
      <c r="B29" s="147" t="s">
        <v>91</v>
      </c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2">
        <f t="shared" si="2"/>
        <v>0</v>
      </c>
    </row>
    <row r="30" spans="1:24" ht="12.75">
      <c r="A30" s="141">
        <v>2006</v>
      </c>
      <c r="B30" s="147" t="s">
        <v>92</v>
      </c>
      <c r="C30" s="253">
        <f>+'POA-06'!D22</f>
        <v>6643235</v>
      </c>
      <c r="D30" s="251">
        <f>+D31+D32</f>
        <v>0</v>
      </c>
      <c r="E30" s="251">
        <f>+C30/10</f>
        <v>664323.5</v>
      </c>
      <c r="F30" s="251">
        <f>+C30/10</f>
        <v>664323.5</v>
      </c>
      <c r="G30" s="251">
        <f>+C30/10</f>
        <v>664323.5</v>
      </c>
      <c r="H30" s="251">
        <f>+C30/10</f>
        <v>664323.5</v>
      </c>
      <c r="I30" s="251">
        <f>+C30/10</f>
        <v>664323.5</v>
      </c>
      <c r="J30" s="251">
        <f>+C30/10</f>
        <v>664323.5</v>
      </c>
      <c r="K30" s="251">
        <f>+C30/10</f>
        <v>664323.5</v>
      </c>
      <c r="L30" s="251">
        <f>+C30/10</f>
        <v>664323.5</v>
      </c>
      <c r="M30" s="251">
        <f>+C30/10</f>
        <v>664323.5</v>
      </c>
      <c r="N30" s="251">
        <f>+C30/10</f>
        <v>664323.5</v>
      </c>
      <c r="O30" s="251">
        <f>+O31+O32</f>
        <v>0</v>
      </c>
      <c r="P30" s="252">
        <f t="shared" si="2"/>
        <v>6643235</v>
      </c>
    </row>
    <row r="31" spans="1:24" ht="12.75">
      <c r="A31" s="141" t="s">
        <v>93</v>
      </c>
      <c r="B31" s="147" t="s">
        <v>94</v>
      </c>
      <c r="C31" s="254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2">
        <f t="shared" si="2"/>
        <v>0</v>
      </c>
    </row>
    <row r="32" spans="1:24" ht="12.75">
      <c r="A32" s="141" t="s">
        <v>95</v>
      </c>
      <c r="B32" s="149" t="s">
        <v>160</v>
      </c>
      <c r="C32" s="254">
        <v>6643235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2">
        <f t="shared" si="2"/>
        <v>0</v>
      </c>
    </row>
    <row r="33" spans="1:16" ht="11.25" customHeight="1">
      <c r="A33" s="141" t="s">
        <v>96</v>
      </c>
      <c r="B33" s="147" t="s">
        <v>97</v>
      </c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2">
        <f t="shared" si="2"/>
        <v>0</v>
      </c>
    </row>
    <row r="34" spans="1:16" ht="12.75">
      <c r="A34" s="141">
        <v>2007</v>
      </c>
      <c r="B34" s="149" t="s">
        <v>141</v>
      </c>
      <c r="C34" s="250">
        <v>0</v>
      </c>
      <c r="D34" s="251">
        <v>0</v>
      </c>
      <c r="E34" s="251">
        <v>0</v>
      </c>
      <c r="F34" s="251">
        <v>0</v>
      </c>
      <c r="G34" s="251"/>
      <c r="H34" s="251"/>
      <c r="I34" s="251">
        <v>0</v>
      </c>
      <c r="J34" s="251"/>
      <c r="K34" s="251">
        <v>0</v>
      </c>
      <c r="L34" s="251">
        <v>0</v>
      </c>
      <c r="M34" s="251">
        <v>0</v>
      </c>
      <c r="N34" s="251"/>
      <c r="O34" s="251"/>
      <c r="P34" s="252">
        <f t="shared" si="2"/>
        <v>0</v>
      </c>
    </row>
    <row r="35" spans="1:16" ht="12.75" customHeight="1">
      <c r="A35" s="141">
        <v>2008</v>
      </c>
      <c r="B35" s="149" t="s">
        <v>159</v>
      </c>
      <c r="C35" s="250"/>
      <c r="D35" s="251">
        <v>0</v>
      </c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2">
        <f t="shared" si="2"/>
        <v>0</v>
      </c>
    </row>
    <row r="36" spans="1:16" ht="12.75">
      <c r="A36" s="141">
        <v>2009</v>
      </c>
      <c r="B36" s="147" t="s">
        <v>100</v>
      </c>
      <c r="C36" s="250">
        <f>'POA-06'!D74</f>
        <v>0</v>
      </c>
      <c r="D36" s="251">
        <v>0</v>
      </c>
      <c r="E36" s="251">
        <v>0</v>
      </c>
      <c r="F36" s="251"/>
      <c r="G36" s="251">
        <v>0</v>
      </c>
      <c r="H36" s="251">
        <v>0</v>
      </c>
      <c r="I36" s="251">
        <v>0</v>
      </c>
      <c r="J36" s="251">
        <v>0</v>
      </c>
      <c r="K36" s="251">
        <v>0</v>
      </c>
      <c r="L36" s="251">
        <v>0</v>
      </c>
      <c r="M36" s="251">
        <v>0</v>
      </c>
      <c r="N36" s="251">
        <v>0</v>
      </c>
      <c r="O36" s="251">
        <v>0</v>
      </c>
      <c r="P36" s="252">
        <f t="shared" si="2"/>
        <v>0</v>
      </c>
    </row>
    <row r="37" spans="1:16" ht="12.75">
      <c r="A37" s="141">
        <v>2010</v>
      </c>
      <c r="B37" s="149" t="s">
        <v>158</v>
      </c>
      <c r="C37" s="250">
        <f>'POA-06'!D75</f>
        <v>0</v>
      </c>
      <c r="D37" s="251">
        <v>0</v>
      </c>
      <c r="E37" s="251">
        <v>0</v>
      </c>
      <c r="F37" s="251">
        <v>0</v>
      </c>
      <c r="G37" s="251">
        <v>0</v>
      </c>
      <c r="H37" s="251">
        <v>0</v>
      </c>
      <c r="I37" s="251">
        <v>0</v>
      </c>
      <c r="J37" s="251">
        <v>0</v>
      </c>
      <c r="K37" s="251">
        <v>0</v>
      </c>
      <c r="L37" s="251">
        <v>0</v>
      </c>
      <c r="M37" s="251">
        <v>0</v>
      </c>
      <c r="N37" s="251">
        <v>0</v>
      </c>
      <c r="O37" s="251">
        <v>0</v>
      </c>
      <c r="P37" s="252">
        <f t="shared" si="2"/>
        <v>0</v>
      </c>
    </row>
    <row r="38" spans="1:16" ht="12.75">
      <c r="A38" s="141">
        <v>2011</v>
      </c>
      <c r="B38" s="147" t="s">
        <v>102</v>
      </c>
      <c r="C38" s="250">
        <f>+'POA-06'!D27</f>
        <v>3200000</v>
      </c>
      <c r="D38" s="251"/>
      <c r="E38" s="251">
        <f>+C38/10</f>
        <v>320000</v>
      </c>
      <c r="F38" s="251">
        <f>+C38/10</f>
        <v>320000</v>
      </c>
      <c r="G38" s="251">
        <f>+C38/10</f>
        <v>320000</v>
      </c>
      <c r="H38" s="251">
        <f>+C38/10</f>
        <v>320000</v>
      </c>
      <c r="I38" s="256">
        <f>+C38/10</f>
        <v>320000</v>
      </c>
      <c r="J38" s="251">
        <f>+C38/10</f>
        <v>320000</v>
      </c>
      <c r="K38" s="251">
        <f>+C38/10</f>
        <v>320000</v>
      </c>
      <c r="L38" s="251">
        <f>+C38/10</f>
        <v>320000</v>
      </c>
      <c r="M38" s="251">
        <f>+C38/10</f>
        <v>320000</v>
      </c>
      <c r="N38" s="251">
        <f>+C38/10</f>
        <v>320000</v>
      </c>
      <c r="O38" s="251"/>
      <c r="P38" s="252">
        <f t="shared" si="2"/>
        <v>3200000</v>
      </c>
    </row>
    <row r="39" spans="1:16" ht="12.75" customHeight="1">
      <c r="A39" s="141">
        <v>2012</v>
      </c>
      <c r="B39" s="148" t="s">
        <v>103</v>
      </c>
      <c r="C39" s="250">
        <f>'POA-06'!D77</f>
        <v>0</v>
      </c>
      <c r="D39" s="251">
        <v>0</v>
      </c>
      <c r="E39" s="251"/>
      <c r="F39" s="251">
        <v>0</v>
      </c>
      <c r="G39" s="251">
        <v>0</v>
      </c>
      <c r="H39" s="251"/>
      <c r="I39" s="251">
        <v>0</v>
      </c>
      <c r="J39" s="251">
        <v>0</v>
      </c>
      <c r="K39" s="251"/>
      <c r="L39" s="251">
        <v>0</v>
      </c>
      <c r="M39" s="251">
        <v>0</v>
      </c>
      <c r="N39" s="251"/>
      <c r="O39" s="251">
        <v>0</v>
      </c>
      <c r="P39" s="252">
        <f t="shared" si="2"/>
        <v>0</v>
      </c>
    </row>
    <row r="40" spans="1:16" ht="12.75">
      <c r="A40" s="141">
        <v>2013</v>
      </c>
      <c r="B40" s="147" t="s">
        <v>104</v>
      </c>
      <c r="C40" s="250"/>
      <c r="D40" s="251">
        <v>0</v>
      </c>
      <c r="E40" s="251"/>
      <c r="F40" s="251">
        <v>0</v>
      </c>
      <c r="G40" s="251">
        <v>0</v>
      </c>
      <c r="H40" s="251">
        <v>0</v>
      </c>
      <c r="I40" s="251">
        <v>0</v>
      </c>
      <c r="J40" s="251">
        <v>0</v>
      </c>
      <c r="K40" s="251">
        <v>0</v>
      </c>
      <c r="L40" s="251">
        <v>0</v>
      </c>
      <c r="M40" s="251">
        <v>0</v>
      </c>
      <c r="N40" s="251">
        <v>0</v>
      </c>
      <c r="O40" s="251">
        <v>0</v>
      </c>
      <c r="P40" s="252">
        <f t="shared" si="2"/>
        <v>0</v>
      </c>
    </row>
    <row r="41" spans="1:16" ht="12.75">
      <c r="A41" s="141">
        <v>2014</v>
      </c>
      <c r="B41" s="147" t="s">
        <v>105</v>
      </c>
      <c r="C41" s="250">
        <f>'POA-06'!D79</f>
        <v>0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2">
        <f t="shared" si="2"/>
        <v>0</v>
      </c>
    </row>
    <row r="42" spans="1:16" ht="12.75">
      <c r="A42" s="141">
        <v>2015</v>
      </c>
      <c r="B42" s="147" t="s">
        <v>106</v>
      </c>
      <c r="C42" s="250">
        <f>+'POA-06'!D31</f>
        <v>1500000</v>
      </c>
      <c r="D42" s="251"/>
      <c r="E42" s="251"/>
      <c r="F42" s="251"/>
      <c r="G42" s="251"/>
      <c r="H42" s="251"/>
      <c r="I42" s="251">
        <f>+C42/2</f>
        <v>750000</v>
      </c>
      <c r="J42" s="251"/>
      <c r="K42" s="251"/>
      <c r="L42" s="251"/>
      <c r="M42" s="251"/>
      <c r="N42" s="251">
        <f>+C42/2</f>
        <v>750000</v>
      </c>
      <c r="O42" s="251"/>
      <c r="P42" s="252">
        <f t="shared" si="2"/>
        <v>1500000</v>
      </c>
    </row>
    <row r="43" spans="1:16" ht="12.75">
      <c r="A43" s="141" t="s">
        <v>107</v>
      </c>
      <c r="B43" s="147" t="s">
        <v>108</v>
      </c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2">
        <f t="shared" si="2"/>
        <v>0</v>
      </c>
    </row>
    <row r="44" spans="1:16" ht="12.75">
      <c r="A44" s="141" t="s">
        <v>109</v>
      </c>
      <c r="B44" s="147" t="s">
        <v>110</v>
      </c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2">
        <f t="shared" si="2"/>
        <v>0</v>
      </c>
    </row>
    <row r="45" spans="1:16" ht="12.75">
      <c r="A45" s="141">
        <v>2016</v>
      </c>
      <c r="B45" s="147" t="s">
        <v>111</v>
      </c>
      <c r="C45" s="251">
        <f>'POA-06'!D81</f>
        <v>0</v>
      </c>
      <c r="D45" s="251">
        <v>0</v>
      </c>
      <c r="E45" s="251">
        <v>0</v>
      </c>
      <c r="F45" s="251">
        <v>0</v>
      </c>
      <c r="G45" s="251">
        <v>0</v>
      </c>
      <c r="H45" s="251"/>
      <c r="I45" s="251">
        <v>0</v>
      </c>
      <c r="J45" s="251"/>
      <c r="K45" s="251">
        <v>0</v>
      </c>
      <c r="L45" s="251">
        <v>0</v>
      </c>
      <c r="M45" s="251">
        <v>0</v>
      </c>
      <c r="N45" s="251">
        <v>0</v>
      </c>
      <c r="O45" s="251"/>
      <c r="P45" s="252">
        <f t="shared" si="2"/>
        <v>0</v>
      </c>
    </row>
    <row r="46" spans="1:16" ht="12.75">
      <c r="A46" s="141">
        <v>2017</v>
      </c>
      <c r="B46" s="147" t="s">
        <v>112</v>
      </c>
      <c r="C46" s="251">
        <v>0</v>
      </c>
      <c r="D46" s="251">
        <v>0</v>
      </c>
      <c r="E46" s="251">
        <v>0</v>
      </c>
      <c r="F46" s="251">
        <v>0</v>
      </c>
      <c r="G46" s="251">
        <v>0</v>
      </c>
      <c r="H46" s="251">
        <v>0</v>
      </c>
      <c r="I46" s="251">
        <v>0</v>
      </c>
      <c r="J46" s="251">
        <v>0</v>
      </c>
      <c r="K46" s="251">
        <v>0</v>
      </c>
      <c r="L46" s="251">
        <v>0</v>
      </c>
      <c r="M46" s="251">
        <v>0</v>
      </c>
      <c r="N46" s="251">
        <v>0</v>
      </c>
      <c r="O46" s="251">
        <v>0</v>
      </c>
      <c r="P46" s="252">
        <f t="shared" si="2"/>
        <v>0</v>
      </c>
    </row>
    <row r="47" spans="1:16" ht="12.75">
      <c r="A47" s="142">
        <v>3000</v>
      </c>
      <c r="B47" s="147" t="s">
        <v>113</v>
      </c>
      <c r="C47" s="252">
        <v>0</v>
      </c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>
        <f t="shared" si="2"/>
        <v>0</v>
      </c>
    </row>
    <row r="48" spans="1:16" ht="12.75">
      <c r="A48" s="142">
        <v>4000</v>
      </c>
      <c r="B48" s="147" t="s">
        <v>114</v>
      </c>
      <c r="C48" s="251">
        <f>'POA-05'!C30</f>
        <v>355200000</v>
      </c>
      <c r="D48" s="252">
        <v>0</v>
      </c>
      <c r="E48" s="251">
        <f>+C48/10</f>
        <v>35520000</v>
      </c>
      <c r="F48" s="251">
        <f>+C48/10</f>
        <v>35520000</v>
      </c>
      <c r="G48" s="251">
        <f>+C48/10</f>
        <v>35520000</v>
      </c>
      <c r="H48" s="251">
        <f>+C48/10</f>
        <v>35520000</v>
      </c>
      <c r="I48" s="251">
        <f>+C48/10</f>
        <v>35520000</v>
      </c>
      <c r="J48" s="251">
        <f>+C48/10</f>
        <v>35520000</v>
      </c>
      <c r="K48" s="251">
        <f>+C48/10</f>
        <v>35520000</v>
      </c>
      <c r="L48" s="251">
        <f>+C48/10</f>
        <v>35520000</v>
      </c>
      <c r="M48" s="251">
        <f>+C48/10</f>
        <v>35520000</v>
      </c>
      <c r="N48" s="251">
        <f>+C48/10</f>
        <v>35520000</v>
      </c>
      <c r="O48" s="252"/>
      <c r="P48" s="252">
        <f t="shared" si="2"/>
        <v>355200000</v>
      </c>
    </row>
    <row r="49" spans="1:16" ht="12.75">
      <c r="A49" s="142">
        <v>5000</v>
      </c>
      <c r="B49" s="147" t="s">
        <v>115</v>
      </c>
      <c r="C49" s="251">
        <f>+'POA-05'!C21</f>
        <v>150395467</v>
      </c>
      <c r="D49" s="252">
        <v>0</v>
      </c>
      <c r="E49" s="252">
        <v>0</v>
      </c>
      <c r="F49" s="252"/>
      <c r="G49" s="252">
        <v>0</v>
      </c>
      <c r="H49" s="252">
        <v>0</v>
      </c>
      <c r="I49" s="254">
        <f>+C49/4</f>
        <v>37598866.75</v>
      </c>
      <c r="J49" s="251">
        <f>+C49/4</f>
        <v>37598866.75</v>
      </c>
      <c r="K49" s="251">
        <f>+C49/4</f>
        <v>37598866.75</v>
      </c>
      <c r="L49" s="251">
        <v>0</v>
      </c>
      <c r="M49" s="251">
        <v>0</v>
      </c>
      <c r="N49" s="251">
        <f>+C49/4</f>
        <v>37598866.75</v>
      </c>
      <c r="O49" s="252">
        <v>0</v>
      </c>
      <c r="P49" s="252">
        <f t="shared" si="2"/>
        <v>150395467</v>
      </c>
    </row>
    <row r="50" spans="1:16" ht="12.75">
      <c r="A50" s="142">
        <v>6000</v>
      </c>
      <c r="B50" s="147" t="s">
        <v>116</v>
      </c>
      <c r="C50" s="253">
        <v>0</v>
      </c>
      <c r="D50" s="252"/>
      <c r="E50" s="252">
        <v>0</v>
      </c>
      <c r="F50" s="252">
        <v>0</v>
      </c>
      <c r="G50" s="252">
        <v>0</v>
      </c>
      <c r="H50" s="252">
        <v>0</v>
      </c>
      <c r="I50" s="252">
        <v>0</v>
      </c>
      <c r="J50" s="252">
        <v>0</v>
      </c>
      <c r="K50" s="252">
        <v>0</v>
      </c>
      <c r="L50" s="252">
        <v>0</v>
      </c>
      <c r="M50" s="252">
        <v>0</v>
      </c>
      <c r="N50" s="252">
        <v>0</v>
      </c>
      <c r="O50" s="252"/>
      <c r="P50" s="252">
        <f t="shared" si="2"/>
        <v>0</v>
      </c>
    </row>
    <row r="51" spans="1:16" ht="12.75">
      <c r="A51" s="142">
        <v>7000</v>
      </c>
      <c r="B51" s="147" t="s">
        <v>117</v>
      </c>
      <c r="C51" s="253"/>
      <c r="D51" s="252">
        <v>0</v>
      </c>
      <c r="E51" s="252"/>
      <c r="F51" s="252"/>
      <c r="G51" s="252"/>
      <c r="H51" s="252">
        <v>0</v>
      </c>
      <c r="I51" s="252"/>
      <c r="J51" s="252">
        <v>0</v>
      </c>
      <c r="K51" s="252"/>
      <c r="L51" s="252">
        <v>0</v>
      </c>
      <c r="M51" s="252"/>
      <c r="N51" s="252"/>
      <c r="O51" s="252"/>
      <c r="P51" s="252">
        <f t="shared" si="2"/>
        <v>0</v>
      </c>
    </row>
    <row r="52" spans="1:16" ht="12.75">
      <c r="A52" s="143"/>
      <c r="B52" s="143" t="s">
        <v>30</v>
      </c>
      <c r="C52" s="253">
        <f>+C13+C16+C47+C48+C49+C50+C51</f>
        <v>695986267.40797997</v>
      </c>
      <c r="D52" s="253">
        <f t="shared" ref="D52:O52" si="3">+D13+D16+D47+D48+D49+D50+D51</f>
        <v>11020630.450664999</v>
      </c>
      <c r="E52" s="253">
        <f t="shared" si="3"/>
        <v>47524953.950664997</v>
      </c>
      <c r="F52" s="253">
        <f t="shared" si="3"/>
        <v>50524953.950664997</v>
      </c>
      <c r="G52" s="253">
        <f t="shared" si="3"/>
        <v>59324953.950664997</v>
      </c>
      <c r="H52" s="253">
        <f t="shared" si="3"/>
        <v>55524953.950664997</v>
      </c>
      <c r="I52" s="253">
        <f t="shared" si="3"/>
        <v>93873820.700664997</v>
      </c>
      <c r="J52" s="253">
        <f t="shared" si="3"/>
        <v>93123820.700664997</v>
      </c>
      <c r="K52" s="253">
        <f t="shared" si="3"/>
        <v>93123820.700664997</v>
      </c>
      <c r="L52" s="253">
        <f t="shared" si="3"/>
        <v>47524953.950664997</v>
      </c>
      <c r="M52" s="253">
        <f t="shared" si="3"/>
        <v>47524953.950664997</v>
      </c>
      <c r="N52" s="253">
        <f t="shared" si="3"/>
        <v>85873820.700664997</v>
      </c>
      <c r="O52" s="253">
        <f t="shared" si="3"/>
        <v>11020630.450664999</v>
      </c>
      <c r="P52" s="253">
        <f>+D52+E52+F52+G52+H52+I52+J52+K52+L52+M52+N52+O52</f>
        <v>695986267.40797997</v>
      </c>
    </row>
    <row r="54" spans="1:16">
      <c r="C54" s="19"/>
      <c r="O54" s="144"/>
    </row>
    <row r="56" spans="1:16">
      <c r="C56" s="19"/>
    </row>
    <row r="58" spans="1:16">
      <c r="C58" s="19"/>
      <c r="E58" s="19"/>
    </row>
  </sheetData>
  <mergeCells count="21">
    <mergeCell ref="M8:P8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6:L6"/>
    <mergeCell ref="P11:P12"/>
    <mergeCell ref="H7:L7"/>
    <mergeCell ref="H8:L8"/>
    <mergeCell ref="M6:P6"/>
    <mergeCell ref="M7:P7"/>
    <mergeCell ref="A11:A12"/>
    <mergeCell ref="B11:B12"/>
    <mergeCell ref="C11:C12"/>
    <mergeCell ref="D11:O11"/>
    <mergeCell ref="A9:P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70"/>
  <sheetViews>
    <sheetView tabSelected="1" zoomScaleNormal="100" workbookViewId="0">
      <selection activeCell="D15" sqref="D15"/>
    </sheetView>
  </sheetViews>
  <sheetFormatPr baseColWidth="10" defaultRowHeight="12.75"/>
  <cols>
    <col min="1" max="1" width="13.140625" customWidth="1"/>
    <col min="2" max="2" width="23.285156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10" width="14.85546875" customWidth="1"/>
    <col min="11" max="11" width="16" customWidth="1"/>
  </cols>
  <sheetData>
    <row r="1" spans="1:11" ht="12.75" customHeight="1">
      <c r="A1" s="264"/>
      <c r="B1" s="265"/>
      <c r="C1" s="270" t="s">
        <v>175</v>
      </c>
      <c r="D1" s="270"/>
      <c r="E1" s="270"/>
      <c r="F1" s="270"/>
      <c r="G1" s="270"/>
      <c r="H1" s="192"/>
      <c r="I1" s="192"/>
      <c r="J1" s="192"/>
      <c r="K1" s="195"/>
    </row>
    <row r="2" spans="1:11" ht="12.75" customHeight="1">
      <c r="A2" s="266"/>
      <c r="B2" s="267"/>
      <c r="C2" s="271"/>
      <c r="D2" s="271"/>
      <c r="E2" s="271"/>
      <c r="F2" s="271"/>
      <c r="G2" s="271"/>
      <c r="H2" s="193"/>
      <c r="I2" s="193"/>
      <c r="J2" s="193"/>
      <c r="K2" s="194"/>
    </row>
    <row r="3" spans="1:11" ht="12.75" customHeight="1">
      <c r="A3" s="266"/>
      <c r="B3" s="267"/>
      <c r="C3" s="271"/>
      <c r="D3" s="271"/>
      <c r="E3" s="271"/>
      <c r="F3" s="271"/>
      <c r="G3" s="271"/>
      <c r="H3" s="193"/>
      <c r="I3" s="193"/>
      <c r="J3" s="193"/>
      <c r="K3" s="194"/>
    </row>
    <row r="4" spans="1:11" ht="12.75" customHeight="1">
      <c r="A4" s="266"/>
      <c r="B4" s="267"/>
      <c r="C4" s="271"/>
      <c r="D4" s="271"/>
      <c r="E4" s="271"/>
      <c r="F4" s="271"/>
      <c r="G4" s="271"/>
      <c r="H4" s="193"/>
      <c r="I4" s="193"/>
      <c r="J4" s="193"/>
      <c r="K4" s="194"/>
    </row>
    <row r="5" spans="1:11" ht="12.75" customHeight="1">
      <c r="A5" s="266"/>
      <c r="B5" s="267"/>
      <c r="C5" s="271"/>
      <c r="D5" s="271"/>
      <c r="E5" s="271"/>
      <c r="F5" s="271"/>
      <c r="G5" s="271"/>
      <c r="H5" s="193"/>
      <c r="I5" s="193"/>
      <c r="J5" s="193"/>
      <c r="K5" s="196"/>
    </row>
    <row r="6" spans="1:11" ht="13.5" customHeight="1">
      <c r="A6" s="266"/>
      <c r="B6" s="267"/>
      <c r="C6" s="279" t="s">
        <v>167</v>
      </c>
      <c r="D6" s="279"/>
      <c r="E6" s="279" t="s">
        <v>168</v>
      </c>
      <c r="F6" s="279"/>
      <c r="G6" s="279"/>
      <c r="H6" s="197"/>
      <c r="I6" s="197"/>
      <c r="J6" s="197"/>
      <c r="K6" s="198"/>
    </row>
    <row r="7" spans="1:11" ht="13.5" customHeight="1">
      <c r="A7" s="266"/>
      <c r="B7" s="267"/>
      <c r="C7" s="374" t="s">
        <v>170</v>
      </c>
      <c r="D7" s="374"/>
      <c r="E7" s="279" t="s">
        <v>171</v>
      </c>
      <c r="F7" s="279"/>
      <c r="G7" s="279"/>
      <c r="H7" s="197"/>
      <c r="I7" s="197"/>
      <c r="J7" s="197"/>
      <c r="K7" s="198"/>
    </row>
    <row r="8" spans="1:11">
      <c r="A8" s="268"/>
      <c r="B8" s="269"/>
      <c r="C8" s="375"/>
      <c r="D8" s="375"/>
      <c r="E8" s="303" t="s">
        <v>172</v>
      </c>
      <c r="F8" s="303"/>
      <c r="G8" s="303"/>
      <c r="H8" s="199"/>
      <c r="I8" s="199"/>
      <c r="J8" s="199"/>
      <c r="K8" s="200"/>
    </row>
    <row r="9" spans="1:11">
      <c r="A9" s="370" t="s">
        <v>120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</row>
    <row r="10" spans="1:11" ht="13.5" thickBot="1">
      <c r="A10" s="18"/>
      <c r="B10" s="19"/>
      <c r="C10" s="20"/>
      <c r="D10" s="20"/>
      <c r="E10" s="20"/>
      <c r="F10" s="20"/>
      <c r="G10" s="20"/>
      <c r="H10" s="20"/>
      <c r="I10" s="20"/>
      <c r="J10" s="20"/>
      <c r="K10" s="21"/>
    </row>
    <row r="11" spans="1:11" ht="13.5" thickBot="1">
      <c r="A11" s="366"/>
      <c r="B11" s="368" t="s">
        <v>27</v>
      </c>
      <c r="C11" s="371" t="s">
        <v>143</v>
      </c>
      <c r="D11" s="372"/>
      <c r="E11" s="372"/>
      <c r="F11" s="372"/>
      <c r="G11" s="372"/>
      <c r="H11" s="372"/>
      <c r="I11" s="372"/>
      <c r="J11" s="372"/>
      <c r="K11" s="373"/>
    </row>
    <row r="12" spans="1:11" ht="13.5" thickBot="1">
      <c r="A12" s="367"/>
      <c r="B12" s="369"/>
      <c r="C12" s="258" t="s">
        <v>144</v>
      </c>
      <c r="D12" s="258" t="s">
        <v>145</v>
      </c>
      <c r="E12" s="258" t="s">
        <v>146</v>
      </c>
      <c r="F12" s="258" t="s">
        <v>147</v>
      </c>
      <c r="G12" s="258" t="s">
        <v>148</v>
      </c>
      <c r="H12" s="201" t="s">
        <v>149</v>
      </c>
      <c r="I12" s="201" t="s">
        <v>252</v>
      </c>
      <c r="J12" s="201" t="s">
        <v>253</v>
      </c>
      <c r="K12" s="202" t="s">
        <v>30</v>
      </c>
    </row>
    <row r="13" spans="1:11">
      <c r="A13" s="30">
        <v>1000</v>
      </c>
      <c r="B13" s="31" t="s">
        <v>67</v>
      </c>
      <c r="C13" s="32">
        <f t="shared" ref="C13:I13" si="0">+C14+C15</f>
        <v>17716705.675897501</v>
      </c>
      <c r="D13" s="32">
        <f t="shared" si="0"/>
        <v>20425483.675957501</v>
      </c>
      <c r="E13" s="32">
        <f t="shared" si="0"/>
        <v>16530945.675997499</v>
      </c>
      <c r="F13" s="32">
        <f t="shared" si="0"/>
        <v>29450647.675957501</v>
      </c>
      <c r="G13" s="32">
        <f t="shared" si="0"/>
        <v>16530945.675997499</v>
      </c>
      <c r="H13" s="32">
        <f t="shared" si="0"/>
        <v>16530945.675997499</v>
      </c>
      <c r="I13" s="32">
        <f t="shared" si="0"/>
        <v>16530945.675997499</v>
      </c>
      <c r="J13" s="32">
        <f>+J15+J14</f>
        <v>16530945.675997499</v>
      </c>
      <c r="K13" s="32">
        <f>SUM(C13:J13)</f>
        <v>150247565.40779999</v>
      </c>
    </row>
    <row r="14" spans="1:11">
      <c r="A14" s="22">
        <v>1001</v>
      </c>
      <c r="B14" s="22" t="s">
        <v>68</v>
      </c>
      <c r="C14" s="28">
        <f>'POA-02'!J20*0.06587555555</f>
        <v>1185759.9999000002</v>
      </c>
      <c r="D14" s="28">
        <f>'POA-02'!J20*0.21636322222</f>
        <v>3894537.9999600002</v>
      </c>
      <c r="E14" s="28">
        <f>+'POA-02'!J21/4</f>
        <v>0</v>
      </c>
      <c r="F14" s="28">
        <f>'POA-02'!J20*0.71776122222</f>
        <v>12919701.999960002</v>
      </c>
      <c r="G14" s="28"/>
      <c r="H14" s="28">
        <f>+'POA-02'!J21/4</f>
        <v>0</v>
      </c>
      <c r="I14" s="28"/>
      <c r="J14" s="28"/>
      <c r="K14" s="28">
        <f>SUM(C14:J14)</f>
        <v>17999999.999820001</v>
      </c>
    </row>
    <row r="15" spans="1:11">
      <c r="A15" s="22">
        <v>1002</v>
      </c>
      <c r="B15" s="22" t="s">
        <v>69</v>
      </c>
      <c r="C15" s="28">
        <f>+'POA-02'!J26/8</f>
        <v>16530945.675997499</v>
      </c>
      <c r="D15" s="28">
        <f>+'POA-02'!J26/8</f>
        <v>16530945.675997499</v>
      </c>
      <c r="E15" s="28">
        <f>+'POA-02'!J26/8</f>
        <v>16530945.675997499</v>
      </c>
      <c r="F15" s="28">
        <f>+'POA-02'!J26/8</f>
        <v>16530945.675997499</v>
      </c>
      <c r="G15" s="28">
        <f>+'POA-02'!J26/8</f>
        <v>16530945.675997499</v>
      </c>
      <c r="H15" s="28">
        <f>+'POA-02'!J26/8</f>
        <v>16530945.675997499</v>
      </c>
      <c r="I15" s="28">
        <f>+'POA-02'!J26/8</f>
        <v>16530945.675997499</v>
      </c>
      <c r="J15" s="28">
        <f>+'POA-02'!J26/8</f>
        <v>16530945.675997499</v>
      </c>
      <c r="K15" s="28">
        <f>+C15+D15+E15+F15+G15+H15+I15+J15</f>
        <v>132247565.40797998</v>
      </c>
    </row>
    <row r="16" spans="1:11">
      <c r="A16" s="24">
        <v>2000</v>
      </c>
      <c r="B16" s="22" t="s">
        <v>70</v>
      </c>
      <c r="C16" s="26">
        <f>+C18+C30+C38+C42</f>
        <v>8878647</v>
      </c>
      <c r="D16" s="26"/>
      <c r="E16" s="26">
        <f>+E17+E18+E30+E38</f>
        <v>11747269</v>
      </c>
      <c r="F16" s="26">
        <f>+F18+F30+F38+F42</f>
        <v>527555</v>
      </c>
      <c r="G16" s="26">
        <f>+G18+G30+G42+G38</f>
        <v>1527544</v>
      </c>
      <c r="H16" s="26">
        <f>+H18+H30+H38+H42</f>
        <v>6947269</v>
      </c>
      <c r="I16" s="26">
        <f>+I30+I38+I18</f>
        <v>7389951</v>
      </c>
      <c r="J16" s="26">
        <f>+J17+J18</f>
        <v>3125000</v>
      </c>
      <c r="K16" s="26">
        <f>SUM(C16:J16)</f>
        <v>40143235</v>
      </c>
    </row>
    <row r="17" spans="1:11">
      <c r="A17" s="22">
        <v>2001</v>
      </c>
      <c r="B17" s="22" t="s">
        <v>71</v>
      </c>
      <c r="C17" s="28"/>
      <c r="D17" s="28"/>
      <c r="E17" s="28">
        <v>3800000</v>
      </c>
      <c r="F17" s="28"/>
      <c r="G17" s="28"/>
      <c r="H17" s="28"/>
      <c r="I17" s="28"/>
      <c r="J17" s="28"/>
      <c r="K17" s="28">
        <v>3800000</v>
      </c>
    </row>
    <row r="18" spans="1:11">
      <c r="A18" s="22">
        <v>2002</v>
      </c>
      <c r="B18" s="22" t="s">
        <v>142</v>
      </c>
      <c r="C18" s="28">
        <f>+'POA-03'!I22/4</f>
        <v>6250000</v>
      </c>
      <c r="D18" s="28"/>
      <c r="E18" s="28">
        <f>+'POA-03'!I22/4</f>
        <v>6250000</v>
      </c>
      <c r="F18" s="28"/>
      <c r="G18" s="28"/>
      <c r="H18" s="28">
        <f>+'POA-03'!I22/4</f>
        <v>6250000</v>
      </c>
      <c r="I18" s="28">
        <v>3125000</v>
      </c>
      <c r="J18" s="28">
        <v>3125000</v>
      </c>
      <c r="K18" s="28">
        <f>SUM(C18:J18)</f>
        <v>25000000</v>
      </c>
    </row>
    <row r="19" spans="1:11">
      <c r="A19" s="22" t="s">
        <v>73</v>
      </c>
      <c r="B19" s="22" t="s">
        <v>74</v>
      </c>
      <c r="C19" s="28"/>
      <c r="D19" s="28"/>
      <c r="E19" s="28"/>
      <c r="F19" s="28"/>
      <c r="G19" s="28"/>
      <c r="H19" s="28"/>
      <c r="I19" s="28"/>
      <c r="J19" s="28"/>
      <c r="K19" s="26"/>
    </row>
    <row r="20" spans="1:11">
      <c r="A20" s="22" t="s">
        <v>75</v>
      </c>
      <c r="B20" s="22" t="s">
        <v>76</v>
      </c>
      <c r="C20" s="28"/>
      <c r="D20" s="28"/>
      <c r="E20" s="28"/>
      <c r="F20" s="28"/>
      <c r="G20" s="28"/>
      <c r="H20" s="28"/>
      <c r="I20" s="28"/>
      <c r="J20" s="28"/>
      <c r="K20" s="26"/>
    </row>
    <row r="21" spans="1:11">
      <c r="A21" s="22" t="s">
        <v>77</v>
      </c>
      <c r="B21" s="22" t="s">
        <v>78</v>
      </c>
      <c r="C21" s="28"/>
      <c r="D21" s="28"/>
      <c r="E21" s="28"/>
      <c r="F21" s="28"/>
      <c r="G21" s="28"/>
      <c r="H21" s="28"/>
      <c r="I21" s="28"/>
      <c r="J21" s="28"/>
      <c r="K21" s="26"/>
    </row>
    <row r="22" spans="1:11">
      <c r="A22" s="22">
        <v>2003</v>
      </c>
      <c r="B22" s="29" t="s">
        <v>79</v>
      </c>
      <c r="C22" s="28"/>
      <c r="D22" s="28"/>
      <c r="E22" s="28"/>
      <c r="F22" s="28"/>
      <c r="G22" s="28"/>
      <c r="H22" s="28"/>
      <c r="I22" s="28"/>
      <c r="J22" s="28"/>
      <c r="K22" s="26"/>
    </row>
    <row r="23" spans="1:11">
      <c r="A23" s="22">
        <v>2004</v>
      </c>
      <c r="B23" s="22" t="s">
        <v>80</v>
      </c>
      <c r="C23" s="28"/>
      <c r="D23" s="28"/>
      <c r="E23" s="28"/>
      <c r="F23" s="28"/>
      <c r="G23" s="28"/>
      <c r="H23" s="28"/>
      <c r="I23" s="28"/>
      <c r="J23" s="28"/>
      <c r="K23" s="26"/>
    </row>
    <row r="24" spans="1:11">
      <c r="A24" s="22" t="s">
        <v>81</v>
      </c>
      <c r="B24" s="22" t="s">
        <v>82</v>
      </c>
      <c r="C24" s="28"/>
      <c r="D24" s="28"/>
      <c r="E24" s="28"/>
      <c r="F24" s="28"/>
      <c r="G24" s="28"/>
      <c r="H24" s="28"/>
      <c r="I24" s="28"/>
      <c r="J24" s="28"/>
      <c r="K24" s="26"/>
    </row>
    <row r="25" spans="1:11">
      <c r="A25" s="22" t="s">
        <v>83</v>
      </c>
      <c r="B25" s="22" t="s">
        <v>84</v>
      </c>
      <c r="C25" s="28"/>
      <c r="D25" s="28"/>
      <c r="E25" s="28"/>
      <c r="F25" s="28"/>
      <c r="G25" s="28"/>
      <c r="H25" s="28"/>
      <c r="I25" s="28"/>
      <c r="J25" s="28"/>
      <c r="K25" s="26"/>
    </row>
    <row r="26" spans="1:11">
      <c r="A26" s="22" t="s">
        <v>85</v>
      </c>
      <c r="B26" s="22" t="s">
        <v>86</v>
      </c>
      <c r="C26" s="28"/>
      <c r="D26" s="28"/>
      <c r="E26" s="28"/>
      <c r="F26" s="28"/>
      <c r="G26" s="28"/>
      <c r="H26" s="28"/>
      <c r="I26" s="28"/>
      <c r="J26" s="28"/>
      <c r="K26" s="26"/>
    </row>
    <row r="27" spans="1:11">
      <c r="A27" s="22">
        <v>2005</v>
      </c>
      <c r="B27" s="22" t="s">
        <v>87</v>
      </c>
      <c r="C27" s="28"/>
      <c r="D27" s="28"/>
      <c r="E27" s="28"/>
      <c r="F27" s="28"/>
      <c r="G27" s="28"/>
      <c r="H27" s="28"/>
      <c r="I27" s="28"/>
      <c r="J27" s="28"/>
      <c r="K27" s="26"/>
    </row>
    <row r="28" spans="1:11">
      <c r="A28" s="22" t="s">
        <v>88</v>
      </c>
      <c r="B28" s="22" t="s">
        <v>89</v>
      </c>
      <c r="C28" s="28"/>
      <c r="D28" s="28"/>
      <c r="E28" s="28"/>
      <c r="F28" s="28"/>
      <c r="G28" s="28"/>
      <c r="H28" s="28"/>
      <c r="I28" s="28"/>
      <c r="J28" s="28"/>
      <c r="K28" s="26"/>
    </row>
    <row r="29" spans="1:11">
      <c r="A29" s="22" t="s">
        <v>90</v>
      </c>
      <c r="B29" s="22" t="s">
        <v>91</v>
      </c>
      <c r="C29" s="28"/>
      <c r="D29" s="28"/>
      <c r="E29" s="28"/>
      <c r="F29" s="28"/>
      <c r="G29" s="28"/>
      <c r="H29" s="28"/>
      <c r="I29" s="28"/>
      <c r="J29" s="28"/>
      <c r="K29" s="26"/>
    </row>
    <row r="30" spans="1:11">
      <c r="A30" s="22">
        <v>2006</v>
      </c>
      <c r="B30" s="22" t="s">
        <v>92</v>
      </c>
      <c r="C30" s="28">
        <f>+'POA-06'!D22/5</f>
        <v>1328647</v>
      </c>
      <c r="D30" s="28"/>
      <c r="E30" s="28">
        <f>+'POA-06'!D22/5</f>
        <v>1328647</v>
      </c>
      <c r="F30" s="28">
        <v>527555</v>
      </c>
      <c r="G30" s="28"/>
      <c r="H30" s="28"/>
      <c r="I30" s="28">
        <v>3458386</v>
      </c>
      <c r="J30" s="28"/>
      <c r="K30" s="28">
        <f>SUM(C30:J30)</f>
        <v>6643235</v>
      </c>
    </row>
    <row r="31" spans="1:11">
      <c r="A31" s="22" t="s">
        <v>93</v>
      </c>
      <c r="B31" s="22" t="s">
        <v>94</v>
      </c>
      <c r="C31" s="28"/>
      <c r="D31" s="28"/>
      <c r="E31" s="28"/>
      <c r="F31" s="28"/>
      <c r="G31" s="28"/>
      <c r="H31" s="28"/>
      <c r="I31" s="28"/>
      <c r="J31" s="28"/>
      <c r="K31" s="26"/>
    </row>
    <row r="32" spans="1:11" ht="21.75">
      <c r="A32" s="22" t="s">
        <v>95</v>
      </c>
      <c r="B32" s="29" t="s">
        <v>136</v>
      </c>
      <c r="C32" s="28">
        <v>1328647</v>
      </c>
      <c r="D32" s="28"/>
      <c r="E32" s="28">
        <v>1328647</v>
      </c>
      <c r="F32" s="28">
        <v>527555</v>
      </c>
      <c r="G32" s="28"/>
      <c r="H32" s="28"/>
      <c r="I32" s="28">
        <v>1328647</v>
      </c>
      <c r="J32" s="28"/>
      <c r="K32" s="26"/>
    </row>
    <row r="33" spans="1:11">
      <c r="A33" s="22" t="s">
        <v>96</v>
      </c>
      <c r="B33" s="22" t="s">
        <v>97</v>
      </c>
      <c r="C33" s="28"/>
      <c r="D33" s="28"/>
      <c r="E33" s="28"/>
      <c r="F33" s="28"/>
      <c r="G33" s="28"/>
      <c r="H33" s="28"/>
      <c r="I33" s="28"/>
      <c r="J33" s="28"/>
      <c r="K33" s="26"/>
    </row>
    <row r="34" spans="1:11">
      <c r="A34" s="22">
        <v>2007</v>
      </c>
      <c r="B34" s="29" t="s">
        <v>141</v>
      </c>
      <c r="C34" s="28"/>
      <c r="D34" s="46"/>
      <c r="E34" s="28"/>
      <c r="F34" s="28"/>
      <c r="G34" s="28"/>
      <c r="H34" s="28"/>
      <c r="I34" s="28"/>
      <c r="J34" s="28"/>
      <c r="K34" s="26"/>
    </row>
    <row r="35" spans="1:11" ht="21.75">
      <c r="A35" s="22">
        <v>2008</v>
      </c>
      <c r="B35" s="29" t="s">
        <v>99</v>
      </c>
      <c r="C35" s="28"/>
      <c r="D35" s="28"/>
      <c r="E35" s="28"/>
      <c r="F35" s="28"/>
      <c r="G35" s="28"/>
      <c r="H35" s="28"/>
      <c r="I35" s="28"/>
      <c r="J35" s="28"/>
      <c r="K35" s="26"/>
    </row>
    <row r="36" spans="1:11">
      <c r="A36" s="22">
        <v>2009</v>
      </c>
      <c r="B36" s="22" t="s">
        <v>100</v>
      </c>
      <c r="C36" s="28"/>
      <c r="D36" s="28"/>
      <c r="E36" s="28"/>
      <c r="F36" s="28"/>
      <c r="G36" s="28"/>
      <c r="H36" s="28"/>
      <c r="I36" s="28"/>
      <c r="J36" s="28"/>
      <c r="K36" s="26"/>
    </row>
    <row r="37" spans="1:11">
      <c r="A37" s="22">
        <v>2010</v>
      </c>
      <c r="B37" s="29" t="s">
        <v>101</v>
      </c>
      <c r="C37" s="28"/>
      <c r="D37" s="28"/>
      <c r="E37" s="28"/>
      <c r="F37" s="28"/>
      <c r="G37" s="28"/>
      <c r="H37" s="28"/>
      <c r="I37" s="28"/>
      <c r="J37" s="28"/>
      <c r="K37" s="26"/>
    </row>
    <row r="38" spans="1:11">
      <c r="A38" s="22">
        <v>2011</v>
      </c>
      <c r="B38" s="22" t="s">
        <v>102</v>
      </c>
      <c r="C38" s="28">
        <f>+'POA-06'!D27/4</f>
        <v>800000</v>
      </c>
      <c r="D38" s="28"/>
      <c r="E38" s="28">
        <v>368622</v>
      </c>
      <c r="F38" s="28"/>
      <c r="G38" s="28">
        <v>527544</v>
      </c>
      <c r="H38" s="28">
        <v>697269</v>
      </c>
      <c r="I38" s="28">
        <v>806565</v>
      </c>
      <c r="J38" s="28"/>
      <c r="K38" s="28">
        <f>SUM(C38:J38)</f>
        <v>3200000</v>
      </c>
    </row>
    <row r="39" spans="1:11">
      <c r="A39" s="22">
        <v>2012</v>
      </c>
      <c r="B39" s="29" t="s">
        <v>103</v>
      </c>
      <c r="C39" s="28"/>
      <c r="D39" s="28"/>
      <c r="E39" s="28"/>
      <c r="F39" s="28"/>
      <c r="G39" s="28"/>
      <c r="H39" s="28"/>
      <c r="I39" s="28"/>
      <c r="J39" s="28"/>
      <c r="K39" s="26"/>
    </row>
    <row r="40" spans="1:11">
      <c r="A40" s="22">
        <v>2013</v>
      </c>
      <c r="B40" s="22" t="s">
        <v>104</v>
      </c>
      <c r="C40" s="28"/>
      <c r="D40" s="28"/>
      <c r="E40" s="28"/>
      <c r="F40" s="28"/>
      <c r="G40" s="28"/>
      <c r="H40" s="28"/>
      <c r="I40" s="28"/>
      <c r="J40" s="28"/>
      <c r="K40" s="26"/>
    </row>
    <row r="41" spans="1:11">
      <c r="A41" s="22">
        <v>2014</v>
      </c>
      <c r="B41" s="22" t="s">
        <v>105</v>
      </c>
      <c r="C41" s="28"/>
      <c r="D41" s="28"/>
      <c r="E41" s="28"/>
      <c r="F41" s="28"/>
      <c r="G41" s="28"/>
      <c r="H41" s="28"/>
      <c r="I41" s="28"/>
      <c r="J41" s="28"/>
      <c r="K41" s="26"/>
    </row>
    <row r="42" spans="1:11">
      <c r="A42" s="22">
        <v>2015</v>
      </c>
      <c r="B42" s="22" t="s">
        <v>106</v>
      </c>
      <c r="C42" s="4">
        <f>+'POA-06'!D31/3</f>
        <v>500000</v>
      </c>
      <c r="D42" s="28"/>
      <c r="E42" s="28"/>
      <c r="F42" s="45"/>
      <c r="G42" s="28">
        <v>1000000</v>
      </c>
      <c r="H42" s="28"/>
      <c r="I42" s="28"/>
      <c r="J42" s="28"/>
      <c r="K42" s="28">
        <f>SUM(C42:J42)</f>
        <v>1500000</v>
      </c>
    </row>
    <row r="43" spans="1:11">
      <c r="A43" s="22" t="s">
        <v>107</v>
      </c>
      <c r="B43" s="22" t="s">
        <v>108</v>
      </c>
      <c r="C43" s="28"/>
      <c r="D43" s="28"/>
      <c r="E43" s="28"/>
      <c r="F43" s="28"/>
      <c r="G43" s="28"/>
      <c r="H43" s="28"/>
      <c r="I43" s="28"/>
      <c r="J43" s="28"/>
      <c r="K43" s="26"/>
    </row>
    <row r="44" spans="1:11">
      <c r="A44" s="22" t="s">
        <v>109</v>
      </c>
      <c r="B44" s="22" t="s">
        <v>110</v>
      </c>
      <c r="C44" s="28"/>
      <c r="D44" s="28"/>
      <c r="E44" s="28"/>
      <c r="F44" s="28"/>
      <c r="G44" s="28"/>
      <c r="H44" s="28"/>
      <c r="I44" s="28"/>
      <c r="J44" s="28"/>
      <c r="K44" s="26"/>
    </row>
    <row r="45" spans="1:11">
      <c r="A45" s="22">
        <v>2016</v>
      </c>
      <c r="B45" s="22" t="s">
        <v>111</v>
      </c>
      <c r="C45" s="28"/>
      <c r="D45" s="28"/>
      <c r="E45" s="28"/>
      <c r="F45" s="28"/>
      <c r="G45" s="28"/>
      <c r="H45" s="28"/>
      <c r="I45" s="28"/>
      <c r="J45" s="28"/>
      <c r="K45" s="26"/>
    </row>
    <row r="46" spans="1:11">
      <c r="A46" s="22">
        <v>2017</v>
      </c>
      <c r="B46" s="22" t="s">
        <v>112</v>
      </c>
      <c r="C46" s="28"/>
      <c r="D46" s="28"/>
      <c r="E46" s="28"/>
      <c r="F46" s="28"/>
      <c r="G46" s="28"/>
      <c r="H46" s="28"/>
      <c r="I46" s="28"/>
      <c r="J46" s="28"/>
      <c r="K46" s="26"/>
    </row>
    <row r="47" spans="1:11">
      <c r="A47" s="24">
        <v>3000</v>
      </c>
      <c r="B47" s="22" t="s">
        <v>113</v>
      </c>
      <c r="C47" s="26"/>
      <c r="D47" s="26"/>
      <c r="E47" s="26"/>
      <c r="F47" s="26"/>
      <c r="G47" s="26"/>
      <c r="H47" s="26"/>
      <c r="I47" s="26"/>
      <c r="J47" s="26"/>
      <c r="K47" s="26"/>
    </row>
    <row r="48" spans="1:11">
      <c r="A48" s="24">
        <v>4000</v>
      </c>
      <c r="B48" s="22" t="s">
        <v>114</v>
      </c>
      <c r="C48" s="16"/>
      <c r="D48" s="60"/>
      <c r="E48" s="28">
        <f>+'POA-05'!C23</f>
        <v>57700000</v>
      </c>
      <c r="F48" s="28">
        <f>+'POA-05'!C24</f>
        <v>60000000</v>
      </c>
      <c r="G48" s="28">
        <f>+'POA-05'!C25</f>
        <v>58500000</v>
      </c>
      <c r="H48" s="28">
        <f>+'POA-05'!C26</f>
        <v>62500000</v>
      </c>
      <c r="I48" s="28">
        <f>+'POA-05'!C27</f>
        <v>59597455</v>
      </c>
      <c r="J48" s="28">
        <f>+'POA-05'!C28</f>
        <v>56902545</v>
      </c>
      <c r="K48" s="26">
        <f>SUM(C48:J48)</f>
        <v>355200000</v>
      </c>
    </row>
    <row r="49" spans="1:11">
      <c r="A49" s="24">
        <v>5000</v>
      </c>
      <c r="B49" s="22" t="s">
        <v>115</v>
      </c>
      <c r="C49" s="28">
        <f>+'POA-05'!C18</f>
        <v>78395467</v>
      </c>
      <c r="D49" s="28">
        <f>+'POA-05'!C19</f>
        <v>72000000</v>
      </c>
      <c r="E49" s="26"/>
      <c r="F49" s="26"/>
      <c r="G49" s="26"/>
      <c r="H49" s="26"/>
      <c r="I49" s="26"/>
      <c r="J49" s="26"/>
      <c r="K49" s="26">
        <f>SUM(C49:J49)</f>
        <v>150395467</v>
      </c>
    </row>
    <row r="50" spans="1:11">
      <c r="A50" s="24">
        <v>6000</v>
      </c>
      <c r="B50" s="22" t="s">
        <v>116</v>
      </c>
      <c r="C50" s="26"/>
      <c r="D50" s="26"/>
      <c r="E50" s="26"/>
      <c r="F50" s="26"/>
      <c r="G50" s="26"/>
      <c r="H50" s="26"/>
      <c r="I50" s="26"/>
      <c r="J50" s="26"/>
      <c r="K50" s="26"/>
    </row>
    <row r="51" spans="1:11">
      <c r="A51" s="24">
        <v>7000</v>
      </c>
      <c r="B51" s="22" t="s">
        <v>117</v>
      </c>
      <c r="C51" s="26"/>
      <c r="D51" s="26"/>
      <c r="E51" s="26"/>
      <c r="F51" s="26"/>
      <c r="G51" s="26"/>
      <c r="H51" s="26"/>
      <c r="I51" s="26"/>
      <c r="J51" s="26"/>
      <c r="K51" s="26"/>
    </row>
    <row r="52" spans="1:11">
      <c r="A52" s="36"/>
      <c r="B52" s="36" t="s">
        <v>30</v>
      </c>
      <c r="C52" s="25">
        <f>+C13+C16+C49+C48</f>
        <v>104990819.67589751</v>
      </c>
      <c r="D52" s="25">
        <f t="shared" ref="D52:J52" si="1">+D13+D16+D48+D49</f>
        <v>92425483.675957501</v>
      </c>
      <c r="E52" s="25">
        <f t="shared" si="1"/>
        <v>85978214.675997496</v>
      </c>
      <c r="F52" s="25">
        <f t="shared" si="1"/>
        <v>89978202.675957501</v>
      </c>
      <c r="G52" s="25">
        <f t="shared" si="1"/>
        <v>76558489.675997496</v>
      </c>
      <c r="H52" s="25">
        <f t="shared" si="1"/>
        <v>85978214.675997496</v>
      </c>
      <c r="I52" s="25">
        <f t="shared" si="1"/>
        <v>83518351.675997496</v>
      </c>
      <c r="J52" s="25">
        <f t="shared" si="1"/>
        <v>76558490.675997496</v>
      </c>
      <c r="K52" s="25">
        <f>+K13+K16+K48+K49</f>
        <v>695986267.40779996</v>
      </c>
    </row>
    <row r="53" spans="1:1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6" spans="1:11">
      <c r="A56" s="259">
        <v>55895467</v>
      </c>
      <c r="B56" s="259">
        <v>104397940.05</v>
      </c>
      <c r="C56" s="259">
        <f>+B56-C52</f>
        <v>-592879.62589751184</v>
      </c>
    </row>
    <row r="57" spans="1:11">
      <c r="A57" s="259">
        <v>52500000</v>
      </c>
      <c r="B57" s="259">
        <v>90478214.710000008</v>
      </c>
      <c r="D57" s="259">
        <f>+B57-D52</f>
        <v>-1947268.9659574926</v>
      </c>
    </row>
    <row r="58" spans="1:11">
      <c r="A58" s="259"/>
      <c r="B58" s="259">
        <v>90478214.710000008</v>
      </c>
      <c r="E58" s="259">
        <f>+B58-E52</f>
        <v>4500000.0340025127</v>
      </c>
    </row>
    <row r="59" spans="1:11">
      <c r="A59" s="259">
        <v>108395467</v>
      </c>
      <c r="B59" s="259">
        <v>83518352.039999992</v>
      </c>
      <c r="F59" s="259">
        <f>+B59-F52</f>
        <v>-6459850.6359575093</v>
      </c>
    </row>
    <row r="60" spans="1:11">
      <c r="B60" s="259">
        <v>76558489.370000005</v>
      </c>
      <c r="G60" s="259">
        <f>+B60-G52</f>
        <v>-0.30599749088287354</v>
      </c>
    </row>
    <row r="61" spans="1:11">
      <c r="B61" s="259">
        <v>90478214.710000008</v>
      </c>
      <c r="H61" s="259">
        <f>+B61-H52</f>
        <v>4500000.0340025127</v>
      </c>
    </row>
    <row r="62" spans="1:11">
      <c r="B62" s="259">
        <v>83518352.040000007</v>
      </c>
      <c r="I62" s="259">
        <f>+B62-I52</f>
        <v>0.36400251090526581</v>
      </c>
    </row>
    <row r="63" spans="1:11">
      <c r="B63" s="259">
        <v>76558489.370000005</v>
      </c>
      <c r="J63" s="259">
        <f>+B63-J52</f>
        <v>-1.3059974908828735</v>
      </c>
    </row>
    <row r="64" spans="1:11">
      <c r="B64" s="259">
        <f>SUM(B56:B63)</f>
        <v>695986267</v>
      </c>
      <c r="D64" s="259"/>
    </row>
    <row r="65" spans="3:9">
      <c r="I65" s="259"/>
    </row>
    <row r="67" spans="3:9">
      <c r="C67" s="259">
        <f>+C56+D57+E58+H61</f>
        <v>6459851.476150021</v>
      </c>
      <c r="D67" s="259">
        <f>+F59+G60+I62+J63</f>
        <v>-6459851.8839499801</v>
      </c>
    </row>
    <row r="70" spans="3:9">
      <c r="C70">
        <f>4500000-3907120</f>
        <v>592880</v>
      </c>
      <c r="D70">
        <f>4500000-2552731</f>
        <v>1947269</v>
      </c>
      <c r="E70">
        <f>800000-431378</f>
        <v>368622</v>
      </c>
    </row>
  </sheetData>
  <mergeCells count="11">
    <mergeCell ref="C1:G5"/>
    <mergeCell ref="E6:G6"/>
    <mergeCell ref="E7:G7"/>
    <mergeCell ref="E8:G8"/>
    <mergeCell ref="A11:A12"/>
    <mergeCell ref="B11:B12"/>
    <mergeCell ref="A9:K9"/>
    <mergeCell ref="C6:D6"/>
    <mergeCell ref="A1:B8"/>
    <mergeCell ref="C11:K11"/>
    <mergeCell ref="C7:D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8"/>
  <sheetViews>
    <sheetView workbookViewId="0">
      <selection activeCell="O45" sqref="O45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264"/>
      <c r="B1" s="265"/>
      <c r="C1" s="270" t="s">
        <v>175</v>
      </c>
      <c r="D1" s="270"/>
      <c r="E1" s="270"/>
      <c r="F1" s="270"/>
      <c r="G1" s="270"/>
      <c r="H1" s="270"/>
      <c r="I1" s="275" t="s">
        <v>164</v>
      </c>
      <c r="J1" s="276"/>
    </row>
    <row r="2" spans="1:15" ht="12.75" customHeight="1">
      <c r="A2" s="266"/>
      <c r="B2" s="267"/>
      <c r="C2" s="271"/>
      <c r="D2" s="271"/>
      <c r="E2" s="271"/>
      <c r="F2" s="271"/>
      <c r="G2" s="271"/>
      <c r="H2" s="271"/>
      <c r="I2" s="272" t="s">
        <v>165</v>
      </c>
      <c r="J2" s="273"/>
    </row>
    <row r="3" spans="1:15" ht="12.75" customHeight="1">
      <c r="A3" s="266"/>
      <c r="B3" s="267"/>
      <c r="C3" s="271"/>
      <c r="D3" s="271"/>
      <c r="E3" s="271"/>
      <c r="F3" s="271"/>
      <c r="G3" s="271"/>
      <c r="H3" s="271"/>
      <c r="I3" s="272" t="s">
        <v>166</v>
      </c>
      <c r="J3" s="273"/>
    </row>
    <row r="4" spans="1:15" ht="12.75" customHeight="1">
      <c r="A4" s="266"/>
      <c r="B4" s="267"/>
      <c r="C4" s="271"/>
      <c r="D4" s="271"/>
      <c r="E4" s="271"/>
      <c r="F4" s="271"/>
      <c r="G4" s="271"/>
      <c r="H4" s="271"/>
      <c r="I4" s="272" t="s">
        <v>177</v>
      </c>
      <c r="J4" s="273"/>
    </row>
    <row r="5" spans="1:15">
      <c r="A5" s="266"/>
      <c r="B5" s="267"/>
      <c r="C5" s="271"/>
      <c r="D5" s="271"/>
      <c r="E5" s="271"/>
      <c r="F5" s="271"/>
      <c r="G5" s="271"/>
      <c r="H5" s="271"/>
      <c r="I5" s="277" t="s">
        <v>151</v>
      </c>
      <c r="J5" s="278"/>
    </row>
    <row r="6" spans="1:15" ht="13.5">
      <c r="A6" s="266"/>
      <c r="B6" s="267"/>
      <c r="C6" s="281" t="s">
        <v>167</v>
      </c>
      <c r="D6" s="281"/>
      <c r="E6" s="281" t="s">
        <v>168</v>
      </c>
      <c r="F6" s="281"/>
      <c r="G6" s="281"/>
      <c r="H6" s="281"/>
      <c r="I6" s="279" t="s">
        <v>169</v>
      </c>
      <c r="J6" s="280"/>
    </row>
    <row r="7" spans="1:15" ht="14.25" customHeight="1">
      <c r="A7" s="266"/>
      <c r="B7" s="267"/>
      <c r="C7" s="376" t="s">
        <v>170</v>
      </c>
      <c r="D7" s="376"/>
      <c r="E7" s="281" t="s">
        <v>171</v>
      </c>
      <c r="F7" s="281"/>
      <c r="G7" s="281"/>
      <c r="H7" s="281"/>
      <c r="I7" s="281" t="s">
        <v>173</v>
      </c>
      <c r="J7" s="282"/>
      <c r="K7" s="58"/>
      <c r="L7" s="58"/>
      <c r="M7" s="58"/>
      <c r="N7" s="58"/>
      <c r="O7" s="58"/>
    </row>
    <row r="8" spans="1:15" ht="13.5">
      <c r="A8" s="268"/>
      <c r="B8" s="269"/>
      <c r="C8" s="377"/>
      <c r="D8" s="377"/>
      <c r="E8" s="283" t="s">
        <v>172</v>
      </c>
      <c r="F8" s="283"/>
      <c r="G8" s="283"/>
      <c r="H8" s="283"/>
      <c r="I8" s="283" t="s">
        <v>174</v>
      </c>
      <c r="J8" s="291"/>
      <c r="K8" s="61"/>
      <c r="L8" s="61"/>
      <c r="M8" s="61"/>
      <c r="N8" s="61"/>
      <c r="O8" s="61"/>
    </row>
    <row r="9" spans="1:15">
      <c r="A9" s="378" t="s">
        <v>120</v>
      </c>
      <c r="B9" s="378"/>
      <c r="C9" s="378"/>
      <c r="D9" s="378"/>
      <c r="E9" s="378"/>
      <c r="F9" s="378"/>
      <c r="G9" s="378"/>
      <c r="H9" s="58"/>
      <c r="I9" s="58"/>
      <c r="J9" s="58"/>
      <c r="K9" s="58"/>
      <c r="L9" s="58"/>
      <c r="M9" s="58"/>
      <c r="N9" s="58"/>
      <c r="O9" s="58"/>
    </row>
    <row r="12" spans="1:15" ht="15" customHeight="1">
      <c r="A12" s="22"/>
      <c r="B12" s="24" t="s">
        <v>27</v>
      </c>
      <c r="C12" s="23" t="s">
        <v>54</v>
      </c>
    </row>
    <row r="13" spans="1:15" ht="16.5" customHeight="1">
      <c r="A13" s="24">
        <v>1000</v>
      </c>
      <c r="B13" s="33" t="s">
        <v>139</v>
      </c>
      <c r="C13" s="262">
        <f>+'POA-02'!J28</f>
        <v>150247565.40798</v>
      </c>
    </row>
    <row r="14" spans="1:15" ht="14.25" hidden="1" customHeight="1">
      <c r="A14" s="22">
        <v>1001</v>
      </c>
      <c r="B14" s="34" t="s">
        <v>68</v>
      </c>
      <c r="C14" s="27" t="e">
        <f>'POA-02'!#REF!</f>
        <v>#REF!</v>
      </c>
    </row>
    <row r="15" spans="1:15" ht="14.25" hidden="1" customHeight="1">
      <c r="A15" s="22">
        <v>1002</v>
      </c>
      <c r="B15" s="34" t="s">
        <v>69</v>
      </c>
      <c r="C15" s="27" t="e">
        <f>'POA-02'!#REF!</f>
        <v>#REF!</v>
      </c>
    </row>
    <row r="16" spans="1:15" ht="21" customHeight="1">
      <c r="A16" s="24">
        <v>2000</v>
      </c>
      <c r="B16" s="34" t="s">
        <v>140</v>
      </c>
      <c r="C16" s="263">
        <f>+'POA-06'!D16</f>
        <v>40143235</v>
      </c>
    </row>
    <row r="17" spans="1:3" ht="14.25" hidden="1" customHeight="1">
      <c r="A17" s="22">
        <v>2001</v>
      </c>
      <c r="B17" s="34" t="s">
        <v>71</v>
      </c>
      <c r="C17" s="28">
        <f>'POA-04'!H19</f>
        <v>3800000</v>
      </c>
    </row>
    <row r="18" spans="1:3" ht="14.25" hidden="1" customHeight="1">
      <c r="A18" s="22">
        <v>2002</v>
      </c>
      <c r="B18" s="34" t="s">
        <v>72</v>
      </c>
      <c r="C18" s="28">
        <f>'POA-03'!I22</f>
        <v>25000000</v>
      </c>
    </row>
    <row r="19" spans="1:3" hidden="1">
      <c r="A19" s="22" t="s">
        <v>73</v>
      </c>
      <c r="B19" s="34" t="s">
        <v>74</v>
      </c>
      <c r="C19" s="28"/>
    </row>
    <row r="20" spans="1:3" hidden="1">
      <c r="A20" s="22" t="s">
        <v>75</v>
      </c>
      <c r="B20" s="34" t="s">
        <v>76</v>
      </c>
      <c r="C20" s="28"/>
    </row>
    <row r="21" spans="1:3" hidden="1">
      <c r="A21" s="22" t="s">
        <v>77</v>
      </c>
      <c r="B21" s="34" t="s">
        <v>78</v>
      </c>
      <c r="C21" s="28"/>
    </row>
    <row r="22" spans="1:3" ht="21.75" hidden="1">
      <c r="A22" s="22">
        <v>2003</v>
      </c>
      <c r="B22" s="35" t="s">
        <v>79</v>
      </c>
      <c r="C22" s="27">
        <f>'POA-06'!D17</f>
        <v>3800000</v>
      </c>
    </row>
    <row r="23" spans="1:3" hidden="1">
      <c r="A23" s="22">
        <v>2004</v>
      </c>
      <c r="B23" s="34" t="s">
        <v>80</v>
      </c>
      <c r="C23" s="27">
        <f>'POA-06'!D18</f>
        <v>25000000</v>
      </c>
    </row>
    <row r="24" spans="1:3" hidden="1">
      <c r="A24" s="22" t="s">
        <v>81</v>
      </c>
      <c r="B24" s="34" t="s">
        <v>82</v>
      </c>
      <c r="C24" s="28"/>
    </row>
    <row r="25" spans="1:3" hidden="1">
      <c r="A25" s="22" t="s">
        <v>83</v>
      </c>
      <c r="B25" s="34" t="s">
        <v>84</v>
      </c>
      <c r="C25" s="28"/>
    </row>
    <row r="26" spans="1:3" hidden="1">
      <c r="A26" s="22" t="s">
        <v>85</v>
      </c>
      <c r="B26" s="34" t="s">
        <v>86</v>
      </c>
      <c r="C26" s="28"/>
    </row>
    <row r="27" spans="1:3" hidden="1">
      <c r="A27" s="22">
        <v>2005</v>
      </c>
      <c r="B27" s="34" t="s">
        <v>87</v>
      </c>
      <c r="C27" s="27">
        <v>0</v>
      </c>
    </row>
    <row r="28" spans="1:3" hidden="1">
      <c r="A28" s="22" t="s">
        <v>88</v>
      </c>
      <c r="B28" s="34" t="s">
        <v>89</v>
      </c>
      <c r="C28" s="28"/>
    </row>
    <row r="29" spans="1:3" hidden="1">
      <c r="A29" s="22" t="s">
        <v>90</v>
      </c>
      <c r="B29" s="34" t="s">
        <v>91</v>
      </c>
      <c r="C29" s="28"/>
    </row>
    <row r="30" spans="1:3" hidden="1">
      <c r="A30" s="22">
        <v>2006</v>
      </c>
      <c r="B30" s="34" t="s">
        <v>92</v>
      </c>
      <c r="C30" s="27">
        <f>'POA-06'!D20</f>
        <v>0</v>
      </c>
    </row>
    <row r="31" spans="1:3" hidden="1">
      <c r="A31" s="22" t="s">
        <v>93</v>
      </c>
      <c r="B31" s="34" t="s">
        <v>94</v>
      </c>
      <c r="C31" s="28"/>
    </row>
    <row r="32" spans="1:3" ht="21.75" hidden="1">
      <c r="A32" s="22" t="s">
        <v>95</v>
      </c>
      <c r="B32" s="35" t="s">
        <v>136</v>
      </c>
      <c r="C32" s="28"/>
    </row>
    <row r="33" spans="1:3" hidden="1">
      <c r="A33" s="22" t="s">
        <v>96</v>
      </c>
      <c r="B33" s="34" t="s">
        <v>97</v>
      </c>
      <c r="C33" s="28"/>
    </row>
    <row r="34" spans="1:3" ht="21.75" hidden="1">
      <c r="A34" s="22">
        <v>2007</v>
      </c>
      <c r="B34" s="35" t="s">
        <v>98</v>
      </c>
      <c r="C34" s="27">
        <f>'POA-06'!D21</f>
        <v>0</v>
      </c>
    </row>
    <row r="35" spans="1:3" ht="21.75" hidden="1">
      <c r="A35" s="22">
        <v>2008</v>
      </c>
      <c r="B35" s="35" t="s">
        <v>99</v>
      </c>
      <c r="C35" s="27">
        <f>'POA-06'!D19</f>
        <v>0</v>
      </c>
    </row>
    <row r="36" spans="1:3" hidden="1">
      <c r="A36" s="22">
        <v>2009</v>
      </c>
      <c r="B36" s="34" t="s">
        <v>100</v>
      </c>
      <c r="C36" s="27">
        <v>0</v>
      </c>
    </row>
    <row r="37" spans="1:3" ht="21.75" hidden="1">
      <c r="A37" s="22">
        <v>2010</v>
      </c>
      <c r="B37" s="35" t="s">
        <v>101</v>
      </c>
      <c r="C37" s="27">
        <v>0</v>
      </c>
    </row>
    <row r="38" spans="1:3" hidden="1">
      <c r="A38" s="22">
        <v>2011</v>
      </c>
      <c r="B38" s="34" t="s">
        <v>102</v>
      </c>
      <c r="C38" s="27">
        <f>'POA-06'!D25</f>
        <v>0</v>
      </c>
    </row>
    <row r="39" spans="1:3" ht="21.75" hidden="1">
      <c r="A39" s="22">
        <v>2012</v>
      </c>
      <c r="B39" s="35" t="s">
        <v>103</v>
      </c>
      <c r="C39" s="27">
        <f>'POA-06'!D26</f>
        <v>0</v>
      </c>
    </row>
    <row r="40" spans="1:3" hidden="1">
      <c r="A40" s="22">
        <v>2013</v>
      </c>
      <c r="B40" s="34" t="s">
        <v>104</v>
      </c>
      <c r="C40" s="27">
        <f>'POA-06'!D24</f>
        <v>0</v>
      </c>
    </row>
    <row r="41" spans="1:3" hidden="1">
      <c r="A41" s="22">
        <v>2014</v>
      </c>
      <c r="B41" s="34" t="s">
        <v>105</v>
      </c>
      <c r="C41" s="27">
        <v>0</v>
      </c>
    </row>
    <row r="42" spans="1:3" hidden="1">
      <c r="A42" s="22">
        <v>2015</v>
      </c>
      <c r="B42" s="34" t="s">
        <v>106</v>
      </c>
      <c r="C42" s="27">
        <f>'POA-06'!D29</f>
        <v>0</v>
      </c>
    </row>
    <row r="43" spans="1:3" hidden="1">
      <c r="A43" s="22" t="s">
        <v>107</v>
      </c>
      <c r="B43" s="34" t="s">
        <v>108</v>
      </c>
      <c r="C43" s="28"/>
    </row>
    <row r="44" spans="1:3" ht="12" customHeight="1">
      <c r="A44" s="24">
        <v>3000</v>
      </c>
      <c r="B44" s="34" t="s">
        <v>114</v>
      </c>
      <c r="C44" s="260">
        <f>+'POA-05'!C30</f>
        <v>355200000</v>
      </c>
    </row>
    <row r="45" spans="1:3" ht="16.5" customHeight="1">
      <c r="A45" s="24">
        <v>4000</v>
      </c>
      <c r="B45" s="34" t="s">
        <v>254</v>
      </c>
      <c r="C45" s="261">
        <f>+'POA-05'!C21</f>
        <v>150395467</v>
      </c>
    </row>
    <row r="46" spans="1:3" ht="15" customHeight="1">
      <c r="A46" s="24"/>
      <c r="B46" s="22" t="s">
        <v>30</v>
      </c>
      <c r="C46" s="25">
        <f>+C13+C16+C44+C45</f>
        <v>695986267.40797997</v>
      </c>
    </row>
    <row r="47" spans="1:3" hidden="1">
      <c r="A47" s="24">
        <v>7000</v>
      </c>
      <c r="B47" s="22" t="s">
        <v>117</v>
      </c>
      <c r="C47" s="25">
        <v>0</v>
      </c>
    </row>
    <row r="48" spans="1:3" hidden="1">
      <c r="A48" s="24"/>
      <c r="B48" s="24" t="s">
        <v>30</v>
      </c>
      <c r="C48" s="25" t="e">
        <f>+C13+C16+C44+#REF!+C45+C46+C47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2011-11-08T21:27:17Z</cp:lastPrinted>
  <dcterms:created xsi:type="dcterms:W3CDTF">2004-12-29T19:49:42Z</dcterms:created>
  <dcterms:modified xsi:type="dcterms:W3CDTF">2012-05-30T16:09:29Z</dcterms:modified>
</cp:coreProperties>
</file>