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55" yWindow="60" windowWidth="9810" windowHeight="8340"/>
  </bookViews>
  <sheets>
    <sheet name="POA-01" sheetId="1" r:id="rId1"/>
    <sheet name="POA-02" sheetId="9" r:id="rId2"/>
    <sheet name="POA-03" sheetId="8" r:id="rId3"/>
    <sheet name="POA-04" sheetId="7" r:id="rId4"/>
    <sheet name="POA-05" sheetId="6" r:id="rId5"/>
    <sheet name="POA-06" sheetId="5" r:id="rId6"/>
    <sheet name="POA-07" sheetId="4" r:id="rId7"/>
    <sheet name="PTOXACTIV" sheetId="14" r:id="rId8"/>
    <sheet name="grafico" sheetId="11" r:id="rId9"/>
  </sheets>
  <definedNames>
    <definedName name="_xlnm._FilterDatabase" localSheetId="8" hidden="1">grafico!$A$13:$C$52</definedName>
    <definedName name="_xlnm.Print_Area" localSheetId="0">'POA-01'!$A$9:$J$24</definedName>
    <definedName name="_xlnm.Print_Area" localSheetId="4">'POA-05'!$A$9:$I$25</definedName>
    <definedName name="_xlnm.Print_Area" localSheetId="6">'POA-07'!$A$9:$P$53</definedName>
    <definedName name="_xlnm.Print_Titles" localSheetId="0">'POA-01'!$9:$15</definedName>
    <definedName name="_xlnm.Print_Titles" localSheetId="6">'POA-07'!$9:$13</definedName>
    <definedName name="_xlnm.Print_Titles" localSheetId="7">PTOXACTIV!$9:$13</definedName>
  </definedNames>
  <calcPr calcId="145621"/>
</workbook>
</file>

<file path=xl/calcChain.xml><?xml version="1.0" encoding="utf-8"?>
<calcChain xmlns="http://schemas.openxmlformats.org/spreadsheetml/2006/main">
  <c r="C21" i="6" l="1"/>
  <c r="C22" i="6"/>
  <c r="C23" i="6"/>
  <c r="O49" i="4" s="1"/>
  <c r="D20" i="5"/>
  <c r="J32" i="9"/>
  <c r="I32" i="9"/>
  <c r="I33" i="9" s="1"/>
  <c r="J33" i="9" s="1"/>
  <c r="J34" i="9" s="1"/>
  <c r="J31" i="9"/>
  <c r="I31" i="9" s="1"/>
  <c r="I19" i="9" s="1"/>
  <c r="J19" i="9" s="1"/>
  <c r="J30" i="9"/>
  <c r="I30" i="9"/>
  <c r="J29" i="9"/>
  <c r="I29" i="9" s="1"/>
  <c r="C1" i="11"/>
  <c r="C1" i="14"/>
  <c r="C1" i="4"/>
  <c r="C1" i="5"/>
  <c r="C1" i="6"/>
  <c r="C1" i="7"/>
  <c r="C1" i="8"/>
  <c r="C1" i="9"/>
  <c r="H16" i="14"/>
  <c r="H14" i="14" s="1"/>
  <c r="H53" i="14" s="1"/>
  <c r="A20" i="8"/>
  <c r="A21" i="8"/>
  <c r="A22" i="8"/>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H18" i="7"/>
  <c r="A17" i="7"/>
  <c r="I30" i="8"/>
  <c r="I20" i="8"/>
  <c r="I21" i="8"/>
  <c r="I22" i="8"/>
  <c r="I23" i="8"/>
  <c r="I24" i="8"/>
  <c r="I25" i="8"/>
  <c r="I26" i="8"/>
  <c r="I27" i="8"/>
  <c r="I28" i="8"/>
  <c r="I29"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19" i="8"/>
  <c r="I88" i="8" s="1"/>
  <c r="G22" i="7"/>
  <c r="G21" i="7"/>
  <c r="G20" i="7"/>
  <c r="G19" i="7"/>
  <c r="G17" i="7"/>
  <c r="H17" i="7"/>
  <c r="G16" i="7"/>
  <c r="H16" i="7" s="1"/>
  <c r="H23" i="7" s="1"/>
  <c r="C18" i="11" s="1"/>
  <c r="I18" i="9"/>
  <c r="J18" i="9" s="1"/>
  <c r="J20" i="9"/>
  <c r="J21" i="9"/>
  <c r="L21" i="9" s="1"/>
  <c r="J22" i="9"/>
  <c r="J23" i="9"/>
  <c r="J24" i="9"/>
  <c r="L24" i="9" s="1"/>
  <c r="J25" i="9"/>
  <c r="L25" i="9" s="1"/>
  <c r="J26" i="9"/>
  <c r="H19" i="7"/>
  <c r="H20" i="7"/>
  <c r="H21" i="7"/>
  <c r="H22" i="7"/>
  <c r="C19" i="6"/>
  <c r="C50" i="14" s="1"/>
  <c r="F87" i="8"/>
  <c r="F86" i="8"/>
  <c r="F71" i="8"/>
  <c r="F68" i="8"/>
  <c r="F67" i="8"/>
  <c r="F62" i="8"/>
  <c r="F57" i="8"/>
  <c r="F54" i="8"/>
  <c r="F47" i="8"/>
  <c r="F40" i="8"/>
  <c r="F35" i="8"/>
  <c r="F34" i="8"/>
  <c r="F30" i="8"/>
  <c r="F28" i="8"/>
  <c r="F23" i="8"/>
  <c r="F29" i="8"/>
  <c r="L17" i="1"/>
  <c r="F20" i="8"/>
  <c r="F85" i="8"/>
  <c r="F84" i="8"/>
  <c r="F83" i="8"/>
  <c r="F82" i="8"/>
  <c r="F81" i="8"/>
  <c r="F80" i="8"/>
  <c r="F79" i="8"/>
  <c r="F78" i="8"/>
  <c r="F77" i="8"/>
  <c r="F76" i="8"/>
  <c r="F75" i="8"/>
  <c r="F74" i="8"/>
  <c r="F73" i="8"/>
  <c r="F72" i="8"/>
  <c r="F70" i="8"/>
  <c r="F69" i="8"/>
  <c r="F66" i="8"/>
  <c r="F65" i="8"/>
  <c r="F64" i="8"/>
  <c r="F63" i="8"/>
  <c r="F61" i="8"/>
  <c r="F60" i="8"/>
  <c r="F59" i="8"/>
  <c r="F58" i="8"/>
  <c r="F56" i="8"/>
  <c r="F55" i="8"/>
  <c r="F53" i="8"/>
  <c r="F52" i="8"/>
  <c r="F51" i="8"/>
  <c r="F50" i="8"/>
  <c r="F49" i="8"/>
  <c r="F48" i="8"/>
  <c r="F45" i="8"/>
  <c r="F46" i="8"/>
  <c r="F44" i="8"/>
  <c r="F43" i="8"/>
  <c r="F41" i="8"/>
  <c r="F42" i="8"/>
  <c r="F33" i="8"/>
  <c r="F39" i="8"/>
  <c r="F38" i="8"/>
  <c r="F37" i="8"/>
  <c r="F36" i="8"/>
  <c r="F32" i="8"/>
  <c r="F31" i="8"/>
  <c r="F27" i="8"/>
  <c r="F26" i="8"/>
  <c r="F25" i="8"/>
  <c r="F24" i="8"/>
  <c r="F22" i="8"/>
  <c r="F21" i="8"/>
  <c r="F19" i="8"/>
  <c r="C50" i="4"/>
  <c r="C11" i="5"/>
  <c r="I51" i="14"/>
  <c r="I52" i="14"/>
  <c r="I20" i="14"/>
  <c r="I21" i="14"/>
  <c r="I22" i="14"/>
  <c r="L22" i="9"/>
  <c r="L23" i="9"/>
  <c r="C49" i="11"/>
  <c r="C23" i="4"/>
  <c r="F23" i="4" s="1"/>
  <c r="F17" i="4" s="1"/>
  <c r="F31" i="4"/>
  <c r="C9" i="6"/>
  <c r="I9" i="6"/>
  <c r="I9" i="7"/>
  <c r="J9" i="8"/>
  <c r="C9" i="8"/>
  <c r="J9" i="9"/>
  <c r="C9" i="9"/>
  <c r="C11" i="9"/>
  <c r="C11" i="6"/>
  <c r="C46" i="4"/>
  <c r="C42" i="4"/>
  <c r="C40" i="4"/>
  <c r="C38" i="4"/>
  <c r="C37" i="4"/>
  <c r="C28" i="4"/>
  <c r="C24" i="4"/>
  <c r="P52" i="4"/>
  <c r="P51" i="4"/>
  <c r="P48" i="4"/>
  <c r="P46" i="4"/>
  <c r="P45" i="4"/>
  <c r="P44" i="4"/>
  <c r="P43" i="4"/>
  <c r="P42" i="4"/>
  <c r="P41" i="4"/>
  <c r="P40" i="4"/>
  <c r="P39" i="4"/>
  <c r="P38" i="4"/>
  <c r="P37" i="4"/>
  <c r="P36" i="4"/>
  <c r="P35" i="4"/>
  <c r="P34" i="4"/>
  <c r="P33" i="4"/>
  <c r="P32" i="4"/>
  <c r="O31" i="4"/>
  <c r="O17" i="4"/>
  <c r="N31" i="4"/>
  <c r="M31" i="4"/>
  <c r="L31" i="4"/>
  <c r="K31" i="4"/>
  <c r="J31" i="4"/>
  <c r="I31" i="4"/>
  <c r="H31" i="4"/>
  <c r="G31" i="4"/>
  <c r="E31" i="4"/>
  <c r="D31" i="4"/>
  <c r="P30" i="4"/>
  <c r="P29" i="4"/>
  <c r="P28" i="4"/>
  <c r="P27" i="4"/>
  <c r="P26" i="4"/>
  <c r="P25" i="4"/>
  <c r="P24" i="4"/>
  <c r="P22" i="4"/>
  <c r="P21" i="4"/>
  <c r="P20" i="4"/>
  <c r="D17" i="4"/>
  <c r="C40" i="11"/>
  <c r="C39" i="11"/>
  <c r="C46" i="11"/>
  <c r="C43" i="11"/>
  <c r="C24" i="11"/>
  <c r="C23" i="11"/>
  <c r="C36" i="11"/>
  <c r="C41" i="11"/>
  <c r="C13" i="8"/>
  <c r="C12" i="8"/>
  <c r="C11" i="7"/>
  <c r="C35" i="11"/>
  <c r="C31" i="4"/>
  <c r="E23" i="4"/>
  <c r="K23" i="4"/>
  <c r="K17" i="4" s="1"/>
  <c r="J23" i="4"/>
  <c r="H23" i="4"/>
  <c r="H17" i="4" s="1"/>
  <c r="M23" i="4"/>
  <c r="O50" i="4"/>
  <c r="H50" i="4"/>
  <c r="J50" i="4"/>
  <c r="P50" i="4" s="1"/>
  <c r="L50" i="4"/>
  <c r="N50" i="4"/>
  <c r="D16" i="5"/>
  <c r="C31" i="11"/>
  <c r="P31" i="4"/>
  <c r="M50" i="4"/>
  <c r="I50" i="4"/>
  <c r="P19" i="4"/>
  <c r="F50" i="4"/>
  <c r="K50" i="4"/>
  <c r="G50" i="4"/>
  <c r="J47" i="4"/>
  <c r="J17" i="4"/>
  <c r="N47" i="4"/>
  <c r="K47" i="4"/>
  <c r="C47" i="14"/>
  <c r="D47" i="14" s="1"/>
  <c r="E47" i="4"/>
  <c r="P47" i="4" s="1"/>
  <c r="C47" i="4"/>
  <c r="I47" i="4"/>
  <c r="F47" i="4"/>
  <c r="H47" i="4"/>
  <c r="L47" i="4"/>
  <c r="G47" i="4"/>
  <c r="M47" i="4"/>
  <c r="M17" i="4"/>
  <c r="D19" i="14"/>
  <c r="C19" i="14" s="1"/>
  <c r="I19" i="14" s="1"/>
  <c r="F18" i="14"/>
  <c r="E17" i="4"/>
  <c r="G18" i="4"/>
  <c r="P18" i="4"/>
  <c r="I18" i="14"/>
  <c r="C16" i="4" l="1"/>
  <c r="C16" i="14"/>
  <c r="D16" i="14"/>
  <c r="D14" i="14" s="1"/>
  <c r="E16" i="14"/>
  <c r="E14" i="14" s="1"/>
  <c r="C16" i="11"/>
  <c r="G16" i="14"/>
  <c r="F16" i="14"/>
  <c r="F14" i="14" s="1"/>
  <c r="E47" i="14"/>
  <c r="F47" i="14" s="1"/>
  <c r="F17" i="14" s="1"/>
  <c r="D17" i="14"/>
  <c r="D50" i="14"/>
  <c r="C24" i="6"/>
  <c r="C19" i="11"/>
  <c r="G17" i="4"/>
  <c r="J27" i="9"/>
  <c r="G15" i="14" s="1"/>
  <c r="I23" i="4"/>
  <c r="I17" i="4" s="1"/>
  <c r="L23" i="4"/>
  <c r="L17" i="4" s="1"/>
  <c r="C17" i="4"/>
  <c r="C17" i="11" s="1"/>
  <c r="N23" i="4"/>
  <c r="N17" i="4" s="1"/>
  <c r="G23" i="4"/>
  <c r="P23" i="4" s="1"/>
  <c r="L20" i="9"/>
  <c r="I49" i="4"/>
  <c r="J49" i="4"/>
  <c r="K49" i="4"/>
  <c r="L49" i="4"/>
  <c r="M49" i="4"/>
  <c r="C15" i="11"/>
  <c r="C23" i="14" l="1"/>
  <c r="P17" i="4"/>
  <c r="C15" i="4"/>
  <c r="C14" i="4" s="1"/>
  <c r="E50" i="14"/>
  <c r="C14" i="14"/>
  <c r="I16" i="14"/>
  <c r="J36" i="9"/>
  <c r="L16" i="4"/>
  <c r="M16" i="4"/>
  <c r="K16" i="4"/>
  <c r="I16" i="4"/>
  <c r="F16" i="4"/>
  <c r="N16" i="4"/>
  <c r="E16" i="4"/>
  <c r="E14" i="4" s="1"/>
  <c r="E53" i="4" s="1"/>
  <c r="O16" i="4"/>
  <c r="H16" i="4"/>
  <c r="D16" i="4"/>
  <c r="J16" i="4"/>
  <c r="G16" i="4"/>
  <c r="N49" i="4"/>
  <c r="C25" i="6"/>
  <c r="P49" i="4"/>
  <c r="K15" i="4"/>
  <c r="K14" i="4" s="1"/>
  <c r="K53" i="4" s="1"/>
  <c r="L15" i="4"/>
  <c r="L14" i="4" s="1"/>
  <c r="L53" i="4" s="1"/>
  <c r="G14" i="14"/>
  <c r="I14" i="14" s="1"/>
  <c r="I15" i="14"/>
  <c r="E23" i="14"/>
  <c r="C17" i="14"/>
  <c r="N15" i="4" l="1"/>
  <c r="N14" i="4" s="1"/>
  <c r="N53" i="4" s="1"/>
  <c r="H15" i="4"/>
  <c r="H14" i="4" s="1"/>
  <c r="H53" i="4" s="1"/>
  <c r="I15" i="4"/>
  <c r="I14" i="4" s="1"/>
  <c r="I53" i="4" s="1"/>
  <c r="C49" i="4"/>
  <c r="C48" i="11" s="1"/>
  <c r="C49" i="14"/>
  <c r="D14" i="4"/>
  <c r="D53" i="4" s="1"/>
  <c r="P16" i="4"/>
  <c r="J15" i="4"/>
  <c r="J14" i="4" s="1"/>
  <c r="J53" i="4" s="1"/>
  <c r="O15" i="4"/>
  <c r="O14" i="4" s="1"/>
  <c r="O53" i="4" s="1"/>
  <c r="G15" i="4"/>
  <c r="G14" i="4" s="1"/>
  <c r="G53" i="4" s="1"/>
  <c r="F15" i="4"/>
  <c r="P15" i="4" s="1"/>
  <c r="P53" i="4" s="1"/>
  <c r="M15" i="4"/>
  <c r="M14" i="4" s="1"/>
  <c r="M53" i="4" s="1"/>
  <c r="F50" i="14"/>
  <c r="F14" i="4"/>
  <c r="C14" i="11"/>
  <c r="C53" i="4"/>
  <c r="C53" i="14"/>
  <c r="C16" i="1" s="1"/>
  <c r="G23" i="14"/>
  <c r="E17" i="14"/>
  <c r="G50" i="14" l="1"/>
  <c r="I50" i="14" s="1"/>
  <c r="D49" i="14"/>
  <c r="C50" i="11"/>
  <c r="C52" i="11"/>
  <c r="F53" i="4"/>
  <c r="P14" i="4"/>
  <c r="G17" i="14"/>
  <c r="I23" i="14"/>
  <c r="I17" i="14" l="1"/>
  <c r="E49" i="14"/>
  <c r="D53" i="14"/>
  <c r="C17" i="1" s="1"/>
  <c r="F49" i="14" l="1"/>
  <c r="E53" i="14"/>
  <c r="C19" i="1" s="1"/>
  <c r="G49" i="14" l="1"/>
  <c r="F53" i="14"/>
  <c r="C20" i="1" s="1"/>
  <c r="G53" i="14" l="1"/>
  <c r="C23" i="1" s="1"/>
  <c r="C25" i="1" s="1"/>
  <c r="C10" i="1" s="1"/>
  <c r="I49" i="14"/>
  <c r="I53" i="14" s="1"/>
  <c r="C10" i="9" l="1"/>
  <c r="C12" i="9" s="1"/>
  <c r="C10" i="5"/>
  <c r="C12" i="5" s="1"/>
  <c r="C10" i="7"/>
  <c r="C12" i="7" s="1"/>
  <c r="C10" i="6"/>
  <c r="C12" i="6" s="1"/>
  <c r="C12" i="1"/>
  <c r="C11" i="8"/>
  <c r="Q53" i="4"/>
</calcChain>
</file>

<file path=xl/sharedStrings.xml><?xml version="1.0" encoding="utf-8"?>
<sst xmlns="http://schemas.openxmlformats.org/spreadsheetml/2006/main" count="817" uniqueCount="335">
  <si>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</si>
  <si>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</si>
  <si>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</si>
  <si>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</si>
  <si>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</si>
  <si>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</si>
  <si>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</si>
  <si>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</si>
  <si>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</si>
  <si>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</si>
  <si>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</si>
  <si>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</si>
  <si>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</si>
  <si>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</si>
  <si>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</si>
  <si>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</si>
  <si>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</si>
  <si>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</si>
  <si>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</si>
  <si>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</si>
  <si>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</si>
  <si>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</si>
  <si>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</si>
  <si>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</si>
  <si>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</si>
  <si>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</si>
  <si>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</si>
  <si>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</si>
  <si>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</si>
  <si>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</si>
  <si>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</si>
  <si>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</si>
  <si>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</si>
  <si>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</si>
  <si>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</si>
  <si>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</si>
  <si>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</si>
  <si>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</si>
  <si>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</si>
  <si>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</si>
  <si>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UNITARIO</t>
  </si>
  <si>
    <t>PROGRAMACION DE CONVENIOS Y CONTRATOS</t>
  </si>
  <si>
    <t>INCIA (M/D)</t>
  </si>
  <si>
    <t>OBLIGACIONES CONTRAPARTE</t>
  </si>
  <si>
    <t>OBLIGACIONES CORPOGUAJIRA</t>
  </si>
  <si>
    <t>A.- CONVENIOS</t>
  </si>
  <si>
    <t>B.- CONTRATOS</t>
  </si>
  <si>
    <t>POA-05</t>
  </si>
  <si>
    <t>REQUERIMIENTO DE INSUMOS</t>
  </si>
  <si>
    <t>POA-06</t>
  </si>
  <si>
    <t>No.</t>
  </si>
  <si>
    <t>INDICADORES (PAT)</t>
  </si>
  <si>
    <t>METAS</t>
  </si>
  <si>
    <t>CRONOGRAMA DE DESEMBOLSO</t>
  </si>
  <si>
    <t>INICIAL</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</si>
  <si>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</si>
  <si>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</si>
  <si>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</si>
  <si>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</si>
  <si>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</si>
  <si>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</si>
  <si>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</si>
  <si>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</si>
  <si>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</si>
  <si>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</si>
  <si>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</si>
  <si>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</si>
  <si>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</si>
  <si>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</si>
  <si>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</si>
  <si>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</si>
  <si>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</si>
  <si>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</si>
  <si>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</si>
  <si>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</si>
  <si>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</si>
  <si>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</si>
  <si>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</si>
  <si>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</si>
  <si>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</si>
  <si>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</si>
  <si>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</si>
  <si>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</si>
  <si>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</si>
  <si>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</si>
  <si>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</si>
  <si>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</si>
  <si>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</si>
  <si>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</si>
  <si>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</si>
  <si>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</si>
  <si>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</si>
  <si>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</si>
  <si>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</si>
  <si>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</si>
  <si>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</si>
  <si>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</si>
  <si>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</si>
  <si>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</si>
  <si>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</si>
  <si>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</si>
  <si>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</si>
  <si>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</si>
  <si>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</si>
  <si>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</si>
  <si>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</si>
  <si>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</si>
  <si>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</si>
  <si>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</si>
  <si>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</si>
  <si>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</si>
  <si>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</si>
  <si>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</si>
  <si>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</si>
  <si>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</si>
  <si>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</si>
  <si>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</si>
  <si>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</si>
  <si>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</si>
  <si>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</si>
  <si>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PROGRAMACION DE METAS FINANCIERAS -R.A ($ )</t>
  </si>
  <si>
    <t>2.3</t>
  </si>
  <si>
    <t>2.4</t>
  </si>
  <si>
    <t>2.5</t>
  </si>
  <si>
    <t>2.6</t>
  </si>
  <si>
    <t>2.7</t>
  </si>
  <si>
    <t>2.8</t>
  </si>
  <si>
    <t>2.9</t>
  </si>
  <si>
    <t>2.10</t>
  </si>
  <si>
    <t>2.11</t>
  </si>
  <si>
    <t>2.12</t>
  </si>
  <si>
    <t>2.13</t>
  </si>
  <si>
    <t>2.14</t>
  </si>
  <si>
    <t>2.15</t>
  </si>
  <si>
    <t>OTROS GASTOS GENERALES</t>
  </si>
  <si>
    <t>2.16</t>
  </si>
  <si>
    <t>AL INTERIOR DEL DEPARTAMENTO</t>
  </si>
  <si>
    <t>APROPIACIÓN INICIAL</t>
  </si>
  <si>
    <t>DURACION (MESES)</t>
  </si>
  <si>
    <t>Servicios Personales</t>
  </si>
  <si>
    <t>Gastos Generales</t>
  </si>
  <si>
    <t>IMPRESOS Y PUBLIC.</t>
  </si>
  <si>
    <t>MATERIALES Y SUMINIS.</t>
  </si>
  <si>
    <t>ACTIVIDADES</t>
  </si>
  <si>
    <t>ACTIV 1</t>
  </si>
  <si>
    <t>ACTIV 2</t>
  </si>
  <si>
    <t>ACTIV 3</t>
  </si>
  <si>
    <t>ACTIV 4</t>
  </si>
  <si>
    <t>ACTIV 5</t>
  </si>
  <si>
    <t>ACTIV 6</t>
  </si>
  <si>
    <t xml:space="preserve">APORTE ADICIÓN: </t>
  </si>
  <si>
    <t xml:space="preserve">APORTE PREUPUESTO NACIONAL: </t>
  </si>
  <si>
    <t xml:space="preserve">RECURSOS ADMINISTRADOS: </t>
  </si>
  <si>
    <t>APORTE DE LA NACIÓN:</t>
  </si>
  <si>
    <t xml:space="preserve">NOMBRE DEL PROYECTO: </t>
  </si>
  <si>
    <t>PRESUPUESTO</t>
  </si>
  <si>
    <t>Impuestos - Tasas y Multas</t>
  </si>
  <si>
    <t>Comunicaciones y Transporte</t>
  </si>
  <si>
    <t>Al Interior del Departamento</t>
  </si>
  <si>
    <t>Con el objeto de dar cumplimiento a estos compromisos estrictamente necesitamos en este proyecto la suma presente.</t>
  </si>
  <si>
    <t>CODIGOS CUBBS</t>
  </si>
  <si>
    <t>CODIGO CUBBS</t>
  </si>
  <si>
    <t>Municipios del Departamento de La Guajira.</t>
  </si>
  <si>
    <t>Número de parámetros acreditados en el laboratorio
Ambiental ante el IDEAM</t>
  </si>
  <si>
    <t>JAIKER GÓMEZ SIERRA</t>
  </si>
  <si>
    <t>LIANIS CHARRY MOLINA</t>
  </si>
  <si>
    <t>MANUEL PINTO BRITO</t>
  </si>
  <si>
    <t>MAYRA MOSCOTE PANA</t>
  </si>
  <si>
    <t>N.A.</t>
  </si>
  <si>
    <t>Profesional Universitario</t>
  </si>
  <si>
    <t>Profesional Especializado</t>
  </si>
  <si>
    <t>Tecnico Operativo</t>
  </si>
  <si>
    <t>Responder directamente por el cumplimiento de cada una de las actividades que realice el laboratorio, que sean definidas por el Sistema de Gestión y las propias asignadas por la misma Corporación; programar, asignar y revisar las actividades del personal. Trasladar las necesidades a la Subdirección de Calidad Ambiental y responder por el inventario de reactivos, equipos y repuestos. Definir las necesidades de mantenimiento y reparación de las instalaciones, Conocer todos los procesos, procedimientos y regulaciones técnicas del laboratorio. Coordinar y gestionar todos los recursos (personal, equipo, suministros) para asegurar que la calidad y los resultados sean confiables. Evalúar al personal del laboratorio. Controlar los registros y documentos de los ensayos realizados.</t>
  </si>
  <si>
    <t xml:space="preserve">Asegurar que el sistema de gestión de calidad es establecido, implementado y mantenido de acuerdo a las normas ISO 17025:2005. Coordinar las actividades de acreditación. Dirigir el mantenimiento y distribución del manual de calidad y otros documentos asociados. Capacitar a toda persona que trabaje en el laboratorio. Monitorear el sistema de gestión de calidad. Reportar el desempeño de gestión de calidad al Gerente para la revisión, con el objeto de realizar mejoras. Supervisar los programas de pruebas interlaboratorios. </t>
  </si>
  <si>
    <t>Hacerse cargo de los análisis durante todo el año, incluidas las vacaciones, permisos, licencias y/o cambios de personal. Atender todo el volumen de muestras que procese el laboratorio y encargarse de todos los parámetros que se realizan en el laboratorio. Responsabilizarse de reportar las necesidades de materiales y reactivos y las necesidades de reparación o sustitución de equipos, o sus repuestos. Registrar y recepcionar, el arribo de muestras. Etiquetar y asigna el código a las muestras. Identificar y documentar inconformidades en la Solicitud de Acción Correctiva (SAC). Corregir inconformidades actuales y potenciales. Ayudar al programa de mejora continua del sistema de gestión de calidad. Realizar el control de calidad del método y reportar los resultados al Director Técnico para la toma de decisiones, reportar el trabajo diario con resultados y someterlo a revisión para su aprobación, hacer las funciones relacionadas con el muestreo.</t>
  </si>
  <si>
    <t>Supervisar el control de calidad de los analisis microbiologicos e implementar nuevos análisis, remplazar los analistas durante las vacaciones, permisos, licencias y/o cambios de personal. Atender todo el volumen de muestras que procese el laboratorio, en el área Microbiologica, y encargarse de supervisar el cabal desarrollo de todos los parámetros que se realizan en tal área. Hacer el estudio de necesidades de materiales y reactivos y las necesidades de reparación o sustitución de equipos, o sus repuestos. Supervisar el registro y recepcion de muestras.  Hacegurar la cadena de custodia de las muestras desde su toma hasta su eliminación. Identificar y documentar acciones de mejora en el sistema de gestión de calidad. Corregir trabajos de ensayo no conformes. Asesorar al analista responsable, de los ensayos microbiologicos, en el control de calidad del método y presentar informes al Director Técnico para la toma de decisiones, supervisar el trabajo diario y sus resultados antes de su aprobación y Supervisar las funciones relacionadas con el muestreo.</t>
  </si>
  <si>
    <t>Laboratorio Ambiental</t>
  </si>
  <si>
    <t>Acido sulfurico</t>
  </si>
  <si>
    <t>Litro</t>
  </si>
  <si>
    <t>Gramos</t>
  </si>
  <si>
    <t>Unidad</t>
  </si>
  <si>
    <t>Etanol Absoluto</t>
  </si>
  <si>
    <t>Guantes de nitrilo talla S, M y L en Cajax100 pares</t>
  </si>
  <si>
    <t>Caja</t>
  </si>
  <si>
    <t>KIT para analisis de DQO en el rango de 0 a 40 mg/Lx25 test</t>
  </si>
  <si>
    <t>KIT para analisis de fosfato en el rango de 0,02 a 2,5 mg/L</t>
  </si>
  <si>
    <t>KIT para analisis de fosfato en el rango de 1,6 a 5 mg/L</t>
  </si>
  <si>
    <t>pH: 10.0 x 1L con certificado trazable NIST, con un año mínimo de vencimiento</t>
  </si>
  <si>
    <t>pH: 4.0 x 1L con certificado trazable NIST, con un año mínimo de vencimiento</t>
  </si>
  <si>
    <t>pH: 7.0 x 1L con certificado trazable NIST, con un año mínimo de vencimiento</t>
  </si>
  <si>
    <t>CajaX100</t>
  </si>
  <si>
    <t>VALOR 
TOTAL</t>
  </si>
  <si>
    <t>Brindar capacitación en los temas relacionados</t>
  </si>
  <si>
    <t>Aportes económicos y disponibilidad de equipos, materiales e instalaciones para realización de practicas demostrativas</t>
  </si>
  <si>
    <t>Jaiker Gómez</t>
  </si>
  <si>
    <t>Mantenimiento general y calibración de equipos</t>
  </si>
  <si>
    <t>Participación en pruebas de desempeño IDEAM 2012</t>
  </si>
  <si>
    <t>Mantenimiento y/o calibración de los equipos contratados</t>
  </si>
  <si>
    <t>Enviar muestras y evaluar desempeño del laboratorio</t>
  </si>
  <si>
    <t>Mantenimiento General</t>
  </si>
  <si>
    <t>Servicios públicos</t>
  </si>
  <si>
    <t>Arrendamientos</t>
  </si>
  <si>
    <t>Viáticos</t>
  </si>
  <si>
    <t>Impresos y publicaciones.</t>
  </si>
  <si>
    <t>Comunicación y transporte</t>
  </si>
  <si>
    <t>Seguros</t>
  </si>
  <si>
    <t>Impuestos, tasas y multas</t>
  </si>
  <si>
    <t>Combustibles y peajes</t>
  </si>
  <si>
    <t>Bienestar social</t>
  </si>
  <si>
    <t>Capacitación</t>
  </si>
  <si>
    <t>Imprevistos</t>
  </si>
  <si>
    <t>Vigilancia</t>
  </si>
  <si>
    <t>Dotación</t>
  </si>
  <si>
    <t>Contratos</t>
  </si>
  <si>
    <t>Convenios</t>
  </si>
  <si>
    <t>Electrodo o sensor de oxigeno galvanico con recipiente de calibración, enchufe impermeable y longitud del cable de 1,5 m (Incluyr compensación de temperatura) para multiparametro WTW 350i</t>
  </si>
  <si>
    <t>1.60.3</t>
  </si>
  <si>
    <t>1.43.1</t>
  </si>
  <si>
    <t>1.45.1</t>
  </si>
  <si>
    <t>1.43.9</t>
  </si>
  <si>
    <t>1.45</t>
  </si>
  <si>
    <t>1.43.9.18</t>
  </si>
  <si>
    <t>1.43.9.26</t>
  </si>
  <si>
    <t>1.43.9.56</t>
  </si>
  <si>
    <t>1.56.2.11</t>
  </si>
  <si>
    <t>1.45.5</t>
  </si>
  <si>
    <t>Detergente Tego garrafax5L</t>
  </si>
  <si>
    <t>Filtro MICROFIBRA DE VIDRIO gado GF/F, porosidad fina, velocidad de flujo media, retención de particula 0,7 µm, diametro 4,7 cm</t>
  </si>
  <si>
    <t>Electrodo o sensor de conductividad, incluye solución de limpieza y tres membranas de recambio, cable de 3 m, para multiparametro WTW 350i</t>
  </si>
  <si>
    <t>KIT para analisis de DQO en el rango de 20 a 150 mg/Lx25test</t>
  </si>
  <si>
    <t>KIT para analisis de DQO en el rango de 100 a 1500 mg/Lx25test</t>
  </si>
  <si>
    <t>Alumina, grado reactivo, purificación de fase estacionaria.</t>
  </si>
  <si>
    <t>Kilo</t>
  </si>
  <si>
    <t>Embudo de separación Tipo A de 2000 ml</t>
  </si>
  <si>
    <t>Estándares d10-fluoreno estándar interno.</t>
  </si>
  <si>
    <t>Mezcla de estándares de organofosforados (27 compuestos) ref. M- 622 SET.</t>
  </si>
  <si>
    <t xml:space="preserve">Mezcla de estándares interno para HPAs ref. z – 014J – PAK. </t>
  </si>
  <si>
    <t xml:space="preserve">Mezcla de hidrocarburos PHAs (18 compuestos) ref. Z - 014G – FL. </t>
  </si>
  <si>
    <t>Mezclas de estándares de plaguicidas organoclorados (20 compuestos)  ref. Z – 014C – R -  PAK.</t>
  </si>
  <si>
    <t>Viales comunes para muestras rosca azul Ref: 5182 - 0553 por paq de 100.</t>
  </si>
  <si>
    <t>Cilindro de gas Helio grado 5</t>
  </si>
  <si>
    <t>CODIGO:</t>
  </si>
  <si>
    <t>VERSIÓN:</t>
  </si>
  <si>
    <t>VIGENCIA</t>
  </si>
  <si>
    <t>SECCIÓN:</t>
  </si>
  <si>
    <t>PÁGINA: 1 de 1</t>
  </si>
  <si>
    <t>ELABORÓ
EQUIPO DE PLANEACIÓN</t>
  </si>
  <si>
    <r>
      <t xml:space="preserve">REVISÓ
</t>
    </r>
    <r>
      <rPr>
        <b/>
        <sz val="10"/>
        <rFont val="Arial Narrow"/>
        <family val="2"/>
      </rPr>
      <t>LUIS MANUEL MEDINA TORO</t>
    </r>
    <r>
      <rPr>
        <sz val="10"/>
        <rFont val="Arial Narrow"/>
        <family val="2"/>
      </rPr>
      <t xml:space="preserve">
REPRESENTANTE DE LA DIRECCIÓN</t>
    </r>
  </si>
  <si>
    <r>
      <t xml:space="preserve">APROBÓ
</t>
    </r>
    <r>
      <rPr>
        <b/>
        <sz val="10"/>
        <rFont val="Arial Narrow"/>
        <family val="2"/>
      </rPr>
      <t>ARCESIO ROMERO PEREZ</t>
    </r>
    <r>
      <rPr>
        <sz val="10"/>
        <rFont val="Arial Narrow"/>
        <family val="2"/>
      </rPr>
      <t xml:space="preserve">
DIRECTOR GENERAL</t>
    </r>
  </si>
  <si>
    <t>FEBR</t>
  </si>
  <si>
    <t>SUBDIRECTOR DE CALIDAD AMBIENTAL</t>
  </si>
  <si>
    <t>PROFESIONAL ESPECIALIZADO DEL LABORATORIO (J. Gómez)</t>
  </si>
  <si>
    <t>Sondas para medidor multiparametros portatil (pH, Temperatura, Oxigeno disuelto y Conductividad. Resistente al agua</t>
  </si>
  <si>
    <t>Convenio (INVEMAR) para el monitoreo de la REDCAM y apoyo para preparación y analisis de muestras por cromatografia de gases y detección selectiva de masas</t>
  </si>
  <si>
    <t>Acetona   para trazas x 1L</t>
  </si>
  <si>
    <t>Hexano para analisis de trazas</t>
  </si>
  <si>
    <t>Mezcla de estándares  de PBC ´s (103 y 198)</t>
  </si>
  <si>
    <t>Mezclas de estándares de TCM (Tetra cloro metil xileno)</t>
  </si>
  <si>
    <t>EVALUACIÓN AVANCE TRIMESTRE No</t>
  </si>
  <si>
    <t>Trapero industrial con repuestos</t>
  </si>
  <si>
    <t>Transferpipeta "S" Vol Variable p.plast. Macro 1-10 ml</t>
  </si>
  <si>
    <t>Toallas adsorventes</t>
  </si>
  <si>
    <t>Solución de cloruro de potación de 1,41 mS/cm, con certificado trazable NIST y con un año mínimo de vencimiento, Fraco x 500ml</t>
  </si>
  <si>
    <t>Solución de cloruro de potación de 0,14 mS/cm, con certificado trazable NIST y con un año mínimo de vencimiento, Fraco x 500ml</t>
  </si>
  <si>
    <t>Solución bactericida x 5Litros (Para lavado de manos)</t>
  </si>
  <si>
    <t>Rollo de cinta de enmascarar (Dimensiones 12mmx25m)</t>
  </si>
  <si>
    <t>Reactivo Diagnostico.Tecnologia de sustrato definido enzimático. Para detección de coliformes totales y E. coli en  100 ml de muestra, Simultaneamente de todo tipo de muestras de agua.  Aprobado por la EPA, AOAC, Estándar metodos, decreto de calidad de agua 1575/2007.</t>
  </si>
  <si>
    <t>Puntas no esteriles a 1 a 10 ml, PP, paq X 100 und sueltas</t>
  </si>
  <si>
    <t>Pseudomonas aureginosa ATCC 10145</t>
  </si>
  <si>
    <t>Probeta X 1000 ml, de vidrio clase A</t>
  </si>
  <si>
    <t>Mechero de Alcohol</t>
  </si>
  <si>
    <t>KIT para analisis de nitrito en el rango de 0, 01 a 0,5 mg/L</t>
  </si>
  <si>
    <t>Gafas protectoras Ultravioleta</t>
  </si>
  <si>
    <t>Frasco de borosilicato tapa rosca azul de 150 ml</t>
  </si>
  <si>
    <t>Escharichia coli ATCC 25922</t>
  </si>
  <si>
    <t>Equipo Sellador Modelo 2x ó  2000 en 15 seg.  Sella Bolsas.  Para automatizar el manejo de muestras para el recuento de microorganismos indicador requerimientos electricos: 115V; 60 hz,  Dimensiones: (30 x 39 x 27 cm) Catalogo numero: AQUA-WQTS2X-115.</t>
  </si>
  <si>
    <t>Comparador de Color</t>
  </si>
  <si>
    <t>Cloruro de amonio (Reactivo grado analitico en frasco x 500g)</t>
  </si>
  <si>
    <t>Cinta de control de esterilización</t>
  </si>
  <si>
    <t>Cabina de observación ultravioleta (Con visor ergonomico UV incorporado con cortina de acceso. Cabina en aluminio y espacio para adaptar Lampara UV</t>
  </si>
  <si>
    <t xml:space="preserve">Bolsas  - para cuantificación de coliformes totales y E.coli en Aguas. Recuento,  hasta 2419 en siembra directa. </t>
  </si>
  <si>
    <t>Bolsa sello pack (Cierre hermetico), capacidad  1 Kg y calibre 2 micras. Material: Polietileno de baja densidad transparente</t>
  </si>
  <si>
    <t>Bateria alcalinas AAA, Recargables</t>
  </si>
  <si>
    <t>Balanza Analítica 220G/0,0001mg (Incluye calibración externa por laboratorio acreditado en masa, protocolo según directrices GLP, cabina corta aires y certificado ISO9001) sensibilidad de 0,1mg. Linealidad ± 0,2mg, Plato de Ø 80mm</t>
  </si>
  <si>
    <t>Aire acondicionado tipo Mini Split de 12000 BTU (Incluye instalación)</t>
  </si>
  <si>
    <t>Bolsas</t>
  </si>
  <si>
    <t>Frasco</t>
  </si>
  <si>
    <t>Garrafa</t>
  </si>
  <si>
    <t>Cajas</t>
  </si>
  <si>
    <t>Cepa</t>
  </si>
  <si>
    <t>PLAN OPERATIVO ANUAL DE INVERSIONES - POAI - 2013</t>
  </si>
  <si>
    <t>MONITOREO DE LA CALIDAD DEL RECURSO HÍDRICO</t>
  </si>
  <si>
    <t>0530-0904-2</t>
  </si>
  <si>
    <t>Realizar monitoreo del recurso hídrico relacionado en los tramites y proyectos a los que se otorguen licencias, permisos y/o concesiones ambientales.</t>
  </si>
  <si>
    <t>Determinar la calidad del agua y el estado de contaminación de cuerpos de agua de interés ecológico y ambiental.</t>
  </si>
  <si>
    <t>Realizar monitoreo a corrientes hídricas abastecedoras de acueductos.</t>
  </si>
  <si>
    <t>Sostenibilidad y ampliación de la acreditación del laboratorio.</t>
  </si>
  <si>
    <t>Determinar carga contaminante para cobro de tasas retributivas</t>
  </si>
  <si>
    <t>PROFESIONAL ESPECIALIZADO DEL LABORATORIO</t>
  </si>
  <si>
    <t>Cumplimiento promedio de metas de reducción de carga contaminante, en aplicación de la tasa retributiva, en las cuencas o tramos de cuencas de la jurisdicción de la Corporación (SST y DBO). %</t>
  </si>
  <si>
    <t>Monitoreos realizados a cuerpos de agua relacionados en proyectos con licencia, permiso y/o concesiones otorgadas/Total de proyectos con licencia o permiso y/o concesiones otorgadas. %</t>
  </si>
  <si>
    <t>Fuentes puntuales de vertimiento de aguas residuales (domesticas y de los sectores productivos) con cobro de la tasa retributiva. #</t>
  </si>
  <si>
    <t>Numero de cuerpos de agua de interés ecológico ambiental con monitoreo de la calidad del agua y estado de contaminación. #</t>
  </si>
  <si>
    <t>Numero de corrientes abastecedoras de acueductos de centros poblados con monitoreo de calidad del agua</t>
  </si>
  <si>
    <t>Índice promedio de calidad del recurso hídrico de las cuencas principales del departamento (Ranchería, Tapias, Cesar, Carraipía – Paraguachón, Camarones – Tomarrazon, Jerez, Cañas,  Ancho, Palomino</t>
  </si>
  <si>
    <t xml:space="preserve">Corriente principal de cuencas hidrográficas con determinación de línea base por presencia de cabon,  hidrocarburos y/o plaguicidas </t>
  </si>
  <si>
    <t>Prestar servicios y asesorias profesionales en el control estadistico del proceso y sistema de gestión de la calidad bajo la norma ISO-IEC 17025:2005, así como las demás actividades inerentes al ejercicio para lograr la sostenibilidad y ampliación de la acreditación del laboratorio ante el IDEAM</t>
  </si>
  <si>
    <t>Sostenibilidad y ampliación de la acreditación ante el IDEAM</t>
  </si>
  <si>
    <t>Agar BHI</t>
  </si>
  <si>
    <t>Agar BILIS ESCULINA</t>
  </si>
  <si>
    <t xml:space="preserve">Agar Chromocult </t>
  </si>
  <si>
    <t>Agar EMB</t>
  </si>
  <si>
    <t>CEPA : Pseudomonas aeruginosa</t>
  </si>
  <si>
    <t>CEPA:  Citrobacter  freundii</t>
  </si>
  <si>
    <t>CEPA: Enterococcus  faecalis o faecium</t>
  </si>
  <si>
    <t>CEPA: Escherichia coli,</t>
  </si>
  <si>
    <t>Electrodo epoxico con electrolito gelificado con sonda integrada de temperatura y de 1 m de longitud, (Sonda para medición de pH  tipo Sentix 41 acoplable a multiparametro WTW 350i)</t>
  </si>
  <si>
    <t>Espatulas DRIGLASKY de vidrio</t>
  </si>
  <si>
    <t>Estándar d12 – Benzo(a)pireno (Estándar interno).</t>
  </si>
  <si>
    <t>Filtros de Membranas esteriles de nitrato de celulosa, con poros de 0,45 micometros y diametro de 47 mm con cuadriculas. (Caja/100)</t>
  </si>
  <si>
    <t>Frascos de vidrio tapa rosca de 10 ml</t>
  </si>
  <si>
    <t>Hisopos Caja x 100 unidades</t>
  </si>
  <si>
    <t>Tapabocas con elastico(caja x 50)</t>
  </si>
  <si>
    <t>Tubos de ensayo tapa rosca grandes capacidad 20 ml</t>
  </si>
  <si>
    <t>Tubos de ensayo taparosca</t>
  </si>
  <si>
    <t xml:space="preserve">Caja </t>
  </si>
  <si>
    <t>Bioindicador de Esterilización del Autoclave (Cajax100)</t>
  </si>
  <si>
    <t>Detergente extran neutro (GarrafaX5L)</t>
  </si>
  <si>
    <t>Jabon antibacterial (GarrafaX5L)</t>
  </si>
  <si>
    <t>Refrigerador con puerta de doble vidrio, enfriamiento aire forzado, rango de 2 a 7°C. Motor de 1 HP. Capacidad 20 pie3. Precisión de temperatura: +/- 0,5ºC, Estabilidad de temperatura: +/-: 1ºC, Uniformidad de temperatura +/- 2ºC y Alarmas de Alta y baja temperatura. (Incluye calibración externa por laboratorio acreditado en temperatura, parrillas e Iluminación fluorescente interna)</t>
  </si>
  <si>
    <t>ENRIQUE RAFAEL QUINTERO</t>
  </si>
  <si>
    <t>Responder directamente por el cumplimiento de cada una de las actividades de seguimiento a los permisos, concesiones, licencias y tramites donde se inolucre el recurso hidrico superficial.</t>
  </si>
  <si>
    <t>Realizar auditoria de seguimiento</t>
  </si>
  <si>
    <t>Pago de recurso comprometidos</t>
  </si>
  <si>
    <t>Compra de Materiales y Equipos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</si>
</sst>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_ &quot;$&quot;\ * #,##0.00_ ;_ &quot;$&quot;\ * \-#,##0.00_ ;_ &quot;$&quot;\ * &quot;-&quot;??_ ;_ @_ "/>
    <numFmt numFmtId="166" formatCode="_ * #,##0.00_ ;_ * \-#,##0.00_ ;_ * &quot;-&quot;??_ ;_ @_ "/>
    <numFmt numFmtId="167" formatCode="&quot;$&quot;\ #,##0"/>
    <numFmt numFmtId="168" formatCode="#,##0.000000_);\(#,##0.000000\)"/>
    <numFmt numFmtId="169" formatCode="#,##0.0"/>
    <numFmt numFmtId="170" formatCode="&quot;$&quot;\ #,##0.00"/>
  </numFmts>
  <fonts count="39" x14ac:knownFonts="1">
    <font>
      <sz val="10"/>
      <name val="Arial"/>
    </font>
    <font>
      <sz val="10"/>
      <name val="Arial"/>
      <family val="2"/>
    </font>
    <font>
      <b/>
      <sz val="9"/>
      <name val="Arial"/>
      <family val="2"/>
    </font>
    <font>
      <sz val="9"/>
      <name val="Arial"/>
      <family val="2"/>
    </font>
    <font>
      <sz val="10"/>
      <name val="Tahoma"/>
      <family val="2"/>
    </font>
    <font>
      <b/>
      <sz val="9"/>
      <name val="Tahoma"/>
      <family val="2"/>
    </font>
    <font>
      <sz val="9"/>
      <name val="Tahoma"/>
      <family val="2"/>
    </font>
    <font>
      <sz val="11"/>
      <name val="Tahoma"/>
      <family val="2"/>
    </font>
    <font>
      <i/>
      <sz val="11"/>
      <name val="Tahoma"/>
      <family val="2"/>
    </font>
    <font>
      <sz val="14"/>
      <name val="Tahoma"/>
      <family val="2"/>
    </font>
    <font>
      <sz val="10"/>
      <name val="Verdana"/>
      <family val="2"/>
    </font>
    <font>
      <b/>
      <sz val="9"/>
      <name val="Verdana"/>
      <family val="2"/>
    </font>
    <font>
      <sz val="9"/>
      <name val="Verdana"/>
      <family val="2"/>
    </font>
    <font>
      <b/>
      <sz val="7"/>
      <name val="Verdana"/>
      <family val="2"/>
    </font>
    <font>
      <b/>
      <sz val="8"/>
      <name val="Tahoma"/>
      <family val="2"/>
    </font>
    <font>
      <sz val="8"/>
      <name val="Tahoma"/>
      <family val="2"/>
    </font>
    <font>
      <sz val="10"/>
      <name val="Arial"/>
      <family val="2"/>
    </font>
    <font>
      <sz val="8"/>
      <name val="Arial"/>
      <family val="2"/>
    </font>
    <font>
      <b/>
      <sz val="10"/>
      <name val="Arial"/>
      <family val="2"/>
    </font>
    <font>
      <b/>
      <sz val="10"/>
      <name val="Tahoma"/>
      <family val="2"/>
    </font>
    <font>
      <sz val="11"/>
      <name val="Calibri"/>
      <family val="2"/>
    </font>
    <font>
      <sz val="9"/>
      <name val="Calibri"/>
      <family val="2"/>
    </font>
    <font>
      <sz val="8"/>
      <color indexed="10"/>
      <name val="Tahoma"/>
      <family val="2"/>
    </font>
    <font>
      <b/>
      <sz val="8"/>
      <name val="Verdana"/>
      <family val="2"/>
    </font>
    <font>
      <sz val="10"/>
      <name val="Arial Narrow"/>
      <family val="2"/>
    </font>
    <font>
      <b/>
      <sz val="10"/>
      <name val="Arial Narrow"/>
      <family val="2"/>
    </font>
    <font>
      <sz val="9"/>
      <name val="Arial Narrow"/>
      <family val="2"/>
    </font>
    <font>
      <sz val="11"/>
      <name val="Arial Narrow"/>
      <family val="2"/>
    </font>
    <font>
      <b/>
      <sz val="11"/>
      <name val="Arial Narrow"/>
      <family val="2"/>
    </font>
    <font>
      <sz val="8"/>
      <name val="Arial Narrow"/>
      <family val="2"/>
    </font>
    <font>
      <i/>
      <sz val="11"/>
      <name val="Arial Narrow"/>
      <family val="2"/>
    </font>
    <font>
      <b/>
      <sz val="9"/>
      <name val="Arial Narrow"/>
      <family val="2"/>
    </font>
    <font>
      <b/>
      <sz val="7"/>
      <name val="Arial Narrow"/>
      <family val="2"/>
    </font>
    <font>
      <sz val="8"/>
      <color indexed="10"/>
      <name val="Arial Narrow"/>
      <family val="2"/>
    </font>
    <font>
      <b/>
      <sz val="8"/>
      <name val="Arial Narrow"/>
      <family val="2"/>
    </font>
    <font>
      <b/>
      <i/>
      <sz val="11"/>
      <name val="Arial Narrow"/>
      <family val="2"/>
    </font>
    <font>
      <sz val="7"/>
      <name val="Arial Narrow"/>
      <family val="2"/>
    </font>
    <font>
      <sz val="10"/>
      <name val="Arial"/>
    </font>
    <font>
      <sz val="11"/>
      <color theme="1"/>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38" fillId="0" borderId="0"/>
  </cellStyleXfs>
  <cellXfs count="404">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xf numFmtId="0" fontId="6" fillId="0" borderId="0" xfId="0" applyFont="1"/>
    <xf numFmtId="0" fontId="7" fillId="0" borderId="0" xfId="0" applyFont="1"/>
    <xf numFmtId="0" fontId="7" fillId="0" borderId="0" xfId="0" applyFont="1" applyAlignment="1"/>
    <xf numFmtId="0" fontId="5" fillId="0" borderId="0" xfId="0" applyFont="1"/>
    <xf numFmtId="0" fontId="6" fillId="0" borderId="0" xfId="0" applyFont="1" applyAlignment="1">
      <alignment horizontal="center" vertical="center"/>
    </xf>
    <xf numFmtId="0" fontId="8" fillId="0" borderId="0" xfId="0" applyFont="1" applyAlignment="1">
      <alignment horizontal="left" vertical="justify"/>
    </xf>
    <xf numFmtId="0" fontId="6" fillId="0" borderId="0" xfId="0" applyFont="1" applyAlignment="1"/>
    <xf numFmtId="0" fontId="3" fillId="0" borderId="0" xfId="0" applyFont="1" applyBorder="1" applyAlignment="1">
      <alignment vertical="top" wrapText="1"/>
    </xf>
    <xf numFmtId="0" fontId="9" fillId="0" borderId="0" xfId="0" applyFont="1"/>
    <xf numFmtId="0" fontId="10" fillId="0" borderId="0" xfId="0" applyFont="1"/>
    <xf numFmtId="0" fontId="3" fillId="0" borderId="1" xfId="0" applyFont="1" applyBorder="1" applyAlignment="1">
      <alignment horizontal="left" vertical="top" wrapText="1"/>
    </xf>
    <xf numFmtId="0" fontId="6" fillId="0" borderId="0" xfId="0" applyFont="1" applyAlignment="1">
      <alignment horizontal="left"/>
    </xf>
    <xf numFmtId="3" fontId="6" fillId="0" borderId="0" xfId="0" applyNumberFormat="1" applyFont="1"/>
    <xf numFmtId="0" fontId="15" fillId="0" borderId="0" xfId="0" applyFont="1"/>
    <xf numFmtId="0" fontId="15" fillId="0" borderId="0" xfId="0" applyFont="1" applyAlignment="1">
      <alignment horizontal="centerContinuous"/>
    </xf>
    <xf numFmtId="3" fontId="15" fillId="0" borderId="0" xfId="0" quotePrefix="1" applyNumberFormat="1" applyFont="1" applyAlignment="1">
      <alignment horizontal="left"/>
    </xf>
    <xf numFmtId="3" fontId="15" fillId="0" borderId="0" xfId="0" applyNumberFormat="1" applyFont="1"/>
    <xf numFmtId="3" fontId="15" fillId="0" borderId="0" xfId="0" applyNumberFormat="1" applyFont="1" applyAlignment="1">
      <alignment horizontal="center"/>
    </xf>
    <xf numFmtId="3" fontId="14" fillId="0" borderId="0" xfId="0" applyNumberFormat="1" applyFont="1"/>
    <xf numFmtId="3" fontId="15" fillId="0" borderId="1" xfId="0" applyNumberFormat="1" applyFont="1" applyBorder="1"/>
    <xf numFmtId="3" fontId="14" fillId="0" borderId="1" xfId="0" applyNumberFormat="1" applyFont="1" applyBorder="1" applyAlignment="1">
      <alignment horizontal="center"/>
    </xf>
    <xf numFmtId="3" fontId="14" fillId="0" borderId="1" xfId="0" applyNumberFormat="1" applyFont="1" applyBorder="1"/>
    <xf numFmtId="3" fontId="14" fillId="2" borderId="1" xfId="0" applyNumberFormat="1" applyFont="1" applyFill="1" applyBorder="1" applyAlignment="1">
      <alignment horizontal="right"/>
    </xf>
    <xf numFmtId="3" fontId="14" fillId="0" borderId="1" xfId="0" applyNumberFormat="1" applyFont="1" applyBorder="1" applyAlignment="1">
      <alignment horizontal="right"/>
    </xf>
    <xf numFmtId="3" fontId="15" fillId="2" borderId="1" xfId="0" applyNumberFormat="1" applyFont="1" applyFill="1" applyBorder="1" applyAlignment="1">
      <alignment horizontal="right"/>
    </xf>
    <xf numFmtId="3" fontId="15" fillId="0" borderId="1" xfId="0" applyNumberFormat="1" applyFont="1" applyBorder="1" applyAlignment="1">
      <alignment horizontal="right"/>
    </xf>
    <xf numFmtId="3" fontId="15" fillId="0" borderId="1" xfId="0" applyNumberFormat="1" applyFont="1" applyBorder="1" applyAlignment="1">
      <alignment wrapText="1"/>
    </xf>
    <xf numFmtId="3" fontId="14" fillId="0" borderId="2" xfId="0" applyNumberFormat="1" applyFont="1" applyBorder="1"/>
    <xf numFmtId="3" fontId="15" fillId="0" borderId="2" xfId="0" applyNumberFormat="1" applyFont="1" applyBorder="1"/>
    <xf numFmtId="3" fontId="14" fillId="0" borderId="2" xfId="0" applyNumberFormat="1" applyFont="1" applyBorder="1" applyAlignment="1">
      <alignment horizontal="right"/>
    </xf>
    <xf numFmtId="3" fontId="14" fillId="3" borderId="3" xfId="0" applyNumberFormat="1" applyFont="1" applyFill="1" applyBorder="1" applyAlignment="1">
      <alignment horizontal="center"/>
    </xf>
    <xf numFmtId="0" fontId="15" fillId="0" borderId="1" xfId="0" applyFont="1" applyBorder="1"/>
    <xf numFmtId="0" fontId="15" fillId="0" borderId="2" xfId="0" applyFont="1" applyBorder="1"/>
    <xf numFmtId="3" fontId="14" fillId="2" borderId="1" xfId="0" applyNumberFormat="1" applyFont="1" applyFill="1" applyBorder="1"/>
    <xf numFmtId="0" fontId="17" fillId="0" borderId="0" xfId="0" applyFont="1"/>
    <xf numFmtId="0" fontId="6" fillId="0" borderId="0" xfId="0" applyFont="1" applyAlignment="1">
      <alignment horizontal="center"/>
    </xf>
    <xf numFmtId="0" fontId="17" fillId="0" borderId="0" xfId="0" applyFont="1" applyAlignment="1" applyProtection="1">
      <alignment horizontal="left"/>
    </xf>
    <xf numFmtId="37" fontId="17" fillId="0" borderId="0" xfId="0" applyNumberFormat="1" applyFont="1" applyProtection="1"/>
    <xf numFmtId="0" fontId="17" fillId="0" borderId="0" xfId="0" applyFont="1" applyProtection="1"/>
    <xf numFmtId="168" fontId="17" fillId="0" borderId="0" xfId="0" applyNumberFormat="1" applyFont="1" applyProtection="1"/>
    <xf numFmtId="0" fontId="17" fillId="0" borderId="0" xfId="0" applyFont="1" applyAlignment="1" applyProtection="1">
      <alignment horizontal="center"/>
    </xf>
    <xf numFmtId="37" fontId="15" fillId="0" borderId="0" xfId="0" applyNumberFormat="1" applyFont="1"/>
    <xf numFmtId="3" fontId="22" fillId="0" borderId="1" xfId="0" applyNumberFormat="1" applyFont="1" applyBorder="1" applyAlignment="1">
      <alignment horizontal="right"/>
    </xf>
    <xf numFmtId="3" fontId="22" fillId="0" borderId="1" xfId="0" applyNumberFormat="1" applyFont="1" applyFill="1" applyBorder="1" applyAlignment="1">
      <alignment horizontal="right"/>
    </xf>
    <xf numFmtId="0" fontId="4" fillId="0" borderId="0" xfId="0" applyFont="1" applyAlignment="1">
      <alignment horizontal="justify" vertical="center" wrapText="1"/>
    </xf>
    <xf numFmtId="0" fontId="6" fillId="0" borderId="0" xfId="0" applyFont="1" applyAlignment="1">
      <alignment horizontal="justify" vertical="center" wrapText="1"/>
    </xf>
    <xf numFmtId="16" fontId="3" fillId="0" borderId="1" xfId="0" applyNumberFormat="1" applyFont="1" applyBorder="1" applyAlignment="1">
      <alignment horizontal="left" vertical="top" wrapText="1"/>
    </xf>
    <xf numFmtId="1" fontId="3" fillId="0" borderId="1"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16" fillId="0" borderId="0" xfId="0" applyFont="1"/>
    <xf numFmtId="0" fontId="16" fillId="0" borderId="0" xfId="0" applyFont="1" applyBorder="1"/>
    <xf numFmtId="0" fontId="18" fillId="0" borderId="1" xfId="0" applyFont="1" applyBorder="1"/>
    <xf numFmtId="3" fontId="5" fillId="0" borderId="0" xfId="0" applyNumberFormat="1" applyFont="1" applyFill="1"/>
    <xf numFmtId="3" fontId="14" fillId="0" borderId="0" xfId="0" applyNumberFormat="1" applyFont="1" applyAlignment="1"/>
    <xf numFmtId="0" fontId="18" fillId="0" borderId="0" xfId="0" applyFont="1" applyAlignment="1"/>
    <xf numFmtId="0" fontId="4"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4" fillId="0" borderId="0" xfId="0" applyFont="1" applyAlignment="1"/>
    <xf numFmtId="0" fontId="24" fillId="0" borderId="0" xfId="0" applyFont="1"/>
    <xf numFmtId="0" fontId="24" fillId="0" borderId="2" xfId="0" applyFont="1" applyBorder="1" applyAlignment="1">
      <alignment horizontal="center" vertical="center" wrapText="1"/>
    </xf>
    <xf numFmtId="0" fontId="24"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justify" vertical="top" wrapText="1"/>
    </xf>
    <xf numFmtId="0" fontId="27" fillId="0" borderId="0" xfId="0" applyFont="1" applyAlignment="1">
      <alignment horizontal="left" vertical="top"/>
    </xf>
    <xf numFmtId="0" fontId="27" fillId="0" borderId="0" xfId="0" applyFont="1" applyAlignment="1"/>
    <xf numFmtId="0" fontId="27" fillId="0" borderId="0" xfId="0" applyFont="1"/>
    <xf numFmtId="167" fontId="28" fillId="0" borderId="0" xfId="0" applyNumberFormat="1" applyFont="1" applyAlignment="1">
      <alignment horizontal="right" vertical="justify"/>
    </xf>
    <xf numFmtId="164" fontId="28" fillId="0" borderId="0" xfId="0" applyNumberFormat="1" applyFont="1" applyAlignment="1">
      <alignment vertical="justify"/>
    </xf>
    <xf numFmtId="165" fontId="28" fillId="0" borderId="0" xfId="2" applyFont="1" applyAlignment="1">
      <alignment horizontal="right" vertical="justify"/>
    </xf>
    <xf numFmtId="166" fontId="28" fillId="0" borderId="0" xfId="1" applyFont="1" applyAlignment="1">
      <alignment vertical="justify"/>
    </xf>
    <xf numFmtId="165" fontId="28" fillId="0" borderId="0" xfId="2" applyFont="1" applyAlignment="1">
      <alignment vertical="justify"/>
    </xf>
    <xf numFmtId="0" fontId="0" fillId="0" borderId="0" xfId="0" applyBorder="1" applyAlignment="1">
      <alignment horizontal="center"/>
    </xf>
    <xf numFmtId="0" fontId="23" fillId="0" borderId="0" xfId="0" applyFont="1" applyAlignment="1">
      <alignment wrapText="1"/>
    </xf>
    <xf numFmtId="0" fontId="28" fillId="0" borderId="0" xfId="0" applyFont="1" applyAlignment="1">
      <alignment wrapText="1"/>
    </xf>
    <xf numFmtId="0" fontId="30" fillId="0" borderId="0" xfId="0" applyFont="1" applyAlignment="1">
      <alignment horizontal="left" vertical="justify"/>
    </xf>
    <xf numFmtId="0" fontId="31" fillId="0" borderId="0" xfId="0" applyFont="1"/>
    <xf numFmtId="0" fontId="31" fillId="0" borderId="0" xfId="0" applyFont="1" applyAlignment="1">
      <alignment horizontal="right"/>
    </xf>
    <xf numFmtId="166" fontId="3" fillId="0" borderId="1" xfId="1" applyFont="1" applyBorder="1" applyAlignment="1">
      <alignment horizontal="right" vertical="top" wrapText="1"/>
    </xf>
    <xf numFmtId="166" fontId="2" fillId="0" borderId="1" xfId="1" applyFont="1" applyBorder="1" applyAlignment="1">
      <alignment horizontal="right" vertical="top" wrapText="1"/>
    </xf>
    <xf numFmtId="166" fontId="3" fillId="0" borderId="1" xfId="1" applyFont="1" applyBorder="1" applyAlignment="1">
      <alignment vertical="top" wrapText="1"/>
    </xf>
    <xf numFmtId="166" fontId="2" fillId="0" borderId="1" xfId="1" applyFont="1" applyBorder="1" applyAlignment="1">
      <alignment vertical="top" wrapText="1"/>
    </xf>
    <xf numFmtId="166" fontId="18" fillId="0" borderId="1" xfId="1" applyFont="1" applyBorder="1"/>
    <xf numFmtId="0" fontId="4" fillId="0" borderId="0" xfId="0" applyFont="1" applyBorder="1"/>
    <xf numFmtId="0" fontId="9" fillId="0" borderId="0" xfId="0" applyFont="1" applyBorder="1" applyAlignment="1"/>
    <xf numFmtId="0" fontId="4" fillId="0" borderId="0" xfId="0" applyFont="1" applyBorder="1" applyAlignment="1"/>
    <xf numFmtId="0" fontId="31" fillId="3" borderId="4" xfId="0" applyFont="1" applyFill="1" applyBorder="1" applyAlignment="1">
      <alignment horizontal="center" vertical="center" wrapText="1"/>
    </xf>
    <xf numFmtId="0" fontId="26" fillId="0" borderId="1" xfId="0" applyFont="1" applyBorder="1" applyAlignment="1">
      <alignment horizontal="center" vertical="top" wrapText="1"/>
    </xf>
    <xf numFmtId="0" fontId="26" fillId="0" borderId="1" xfId="0" applyFont="1" applyBorder="1" applyAlignment="1">
      <alignment horizontal="left" vertical="top" wrapText="1"/>
    </xf>
    <xf numFmtId="3" fontId="26" fillId="0" borderId="1" xfId="0" applyNumberFormat="1" applyFont="1" applyBorder="1" applyAlignment="1">
      <alignment horizontal="right" vertical="top" wrapText="1"/>
    </xf>
    <xf numFmtId="0" fontId="26" fillId="0" borderId="1" xfId="0" applyFont="1" applyBorder="1" applyAlignment="1">
      <alignment vertical="top" wrapText="1"/>
    </xf>
    <xf numFmtId="0" fontId="31" fillId="0" borderId="1" xfId="0" applyFont="1" applyBorder="1" applyAlignment="1">
      <alignment vertical="top" wrapText="1"/>
    </xf>
    <xf numFmtId="3" fontId="31" fillId="0" borderId="1" xfId="0" applyNumberFormat="1" applyFont="1" applyBorder="1" applyAlignment="1">
      <alignment horizontal="right" vertical="top" wrapText="1"/>
    </xf>
    <xf numFmtId="0" fontId="26" fillId="0" borderId="0" xfId="0" applyFont="1"/>
    <xf numFmtId="0" fontId="31" fillId="0" borderId="0" xfId="0" applyFont="1" applyAlignment="1"/>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wrapText="1"/>
    </xf>
    <xf numFmtId="3" fontId="31" fillId="3" borderId="5" xfId="0" applyNumberFormat="1" applyFont="1" applyFill="1" applyBorder="1" applyAlignment="1">
      <alignment horizontal="center" vertical="center" wrapText="1"/>
    </xf>
    <xf numFmtId="3" fontId="31" fillId="3" borderId="6" xfId="0" applyNumberFormat="1" applyFont="1" applyFill="1" applyBorder="1" applyAlignment="1">
      <alignment horizontal="center" vertical="center" wrapText="1"/>
    </xf>
    <xf numFmtId="0" fontId="26" fillId="0" borderId="0" xfId="0" applyFont="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3" fontId="26" fillId="0" borderId="2" xfId="0" applyNumberFormat="1" applyFont="1" applyBorder="1" applyAlignment="1">
      <alignment horizontal="right" vertical="center" wrapText="1"/>
    </xf>
    <xf numFmtId="3" fontId="26" fillId="0" borderId="2" xfId="0" applyNumberFormat="1" applyFont="1" applyBorder="1" applyAlignment="1">
      <alignment horizontal="center" vertical="center" wrapText="1"/>
    </xf>
    <xf numFmtId="3" fontId="26" fillId="0" borderId="1" xfId="0" applyNumberFormat="1" applyFont="1" applyBorder="1" applyAlignment="1">
      <alignment horizontal="right" vertical="center" wrapText="1"/>
    </xf>
    <xf numFmtId="1" fontId="24" fillId="0" borderId="1" xfId="0" applyNumberFormat="1" applyFont="1" applyBorder="1" applyAlignment="1">
      <alignment horizontal="center" vertical="center"/>
    </xf>
    <xf numFmtId="0" fontId="26" fillId="0" borderId="1" xfId="0" applyFont="1" applyBorder="1" applyAlignment="1">
      <alignment horizontal="left" vertical="center" wrapText="1"/>
    </xf>
    <xf numFmtId="3" fontId="26" fillId="0" borderId="1" xfId="0" applyNumberFormat="1" applyFont="1" applyBorder="1" applyAlignment="1">
      <alignment horizontal="center" vertical="center" wrapText="1"/>
    </xf>
    <xf numFmtId="0" fontId="31" fillId="0" borderId="0" xfId="0" applyFont="1" applyAlignment="1">
      <alignment vertical="top" wrapText="1"/>
    </xf>
    <xf numFmtId="3" fontId="31" fillId="0" borderId="0" xfId="0" applyNumberFormat="1" applyFont="1" applyAlignment="1">
      <alignment horizontal="right" vertical="top" wrapText="1"/>
    </xf>
    <xf numFmtId="0" fontId="32" fillId="3" borderId="4" xfId="0" applyFont="1" applyFill="1" applyBorder="1" applyAlignment="1">
      <alignment horizontal="center" vertical="center" wrapText="1"/>
    </xf>
    <xf numFmtId="0" fontId="26" fillId="0" borderId="0" xfId="0" applyFont="1" applyAlignment="1">
      <alignment vertical="top" wrapText="1"/>
    </xf>
    <xf numFmtId="166" fontId="31" fillId="0" borderId="1" xfId="1" applyFont="1" applyBorder="1" applyAlignment="1">
      <alignment vertical="top" wrapText="1"/>
    </xf>
    <xf numFmtId="0" fontId="31" fillId="3" borderId="3" xfId="0" applyFont="1" applyFill="1" applyBorder="1" applyAlignment="1">
      <alignment horizontal="left" vertical="center" wrapText="1"/>
    </xf>
    <xf numFmtId="0" fontId="31" fillId="3" borderId="6" xfId="0" applyFont="1" applyFill="1" applyBorder="1" applyAlignment="1">
      <alignment horizontal="center" vertical="top" wrapText="1"/>
    </xf>
    <xf numFmtId="0" fontId="31" fillId="0" borderId="2" xfId="0" applyFont="1" applyBorder="1" applyAlignment="1">
      <alignment horizontal="left" vertical="center" wrapText="1"/>
    </xf>
    <xf numFmtId="3" fontId="31" fillId="0" borderId="2" xfId="0" applyNumberFormat="1" applyFont="1" applyBorder="1" applyAlignment="1">
      <alignment horizontal="right" vertical="top" wrapText="1"/>
    </xf>
    <xf numFmtId="3" fontId="29" fillId="0" borderId="1" xfId="0" applyNumberFormat="1" applyFont="1" applyFill="1" applyBorder="1" applyAlignment="1">
      <alignment horizontal="right"/>
    </xf>
    <xf numFmtId="3" fontId="33" fillId="0" borderId="1" xfId="0" applyNumberFormat="1" applyFont="1" applyFill="1" applyBorder="1" applyAlignment="1">
      <alignment horizontal="right"/>
    </xf>
    <xf numFmtId="0" fontId="35" fillId="0" borderId="0" xfId="0" applyFont="1" applyAlignment="1">
      <alignment horizontal="left" vertical="justify"/>
    </xf>
    <xf numFmtId="3" fontId="29" fillId="0" borderId="0" xfId="0" applyNumberFormat="1" applyFont="1" applyAlignment="1">
      <alignment horizontal="centerContinuous"/>
    </xf>
    <xf numFmtId="3" fontId="34" fillId="0" borderId="0" xfId="0" applyNumberFormat="1" applyFont="1" applyAlignment="1"/>
    <xf numFmtId="3" fontId="29" fillId="0" borderId="0" xfId="0" quotePrefix="1" applyNumberFormat="1" applyFont="1" applyAlignment="1">
      <alignment horizontal="left"/>
    </xf>
    <xf numFmtId="3" fontId="29" fillId="0" borderId="0" xfId="0" applyNumberFormat="1" applyFont="1"/>
    <xf numFmtId="3" fontId="29" fillId="0" borderId="0" xfId="0" applyNumberFormat="1" applyFont="1" applyAlignment="1">
      <alignment horizontal="center"/>
    </xf>
    <xf numFmtId="3" fontId="34" fillId="0" borderId="0" xfId="0" applyNumberFormat="1" applyFont="1"/>
    <xf numFmtId="3" fontId="34" fillId="3" borderId="3" xfId="0" applyNumberFormat="1" applyFont="1" applyFill="1" applyBorder="1" applyAlignment="1">
      <alignment horizontal="center"/>
    </xf>
    <xf numFmtId="3" fontId="34" fillId="3" borderId="5" xfId="0" applyNumberFormat="1" applyFont="1" applyFill="1" applyBorder="1" applyAlignment="1">
      <alignment horizontal="center"/>
    </xf>
    <xf numFmtId="3" fontId="34" fillId="3" borderId="6" xfId="0" applyNumberFormat="1" applyFont="1" applyFill="1" applyBorder="1" applyAlignment="1">
      <alignment horizontal="center"/>
    </xf>
    <xf numFmtId="3" fontId="34" fillId="0" borderId="2" xfId="0" applyNumberFormat="1" applyFont="1" applyBorder="1"/>
    <xf numFmtId="166" fontId="34" fillId="2" borderId="2" xfId="1" applyFont="1" applyFill="1" applyBorder="1" applyAlignment="1">
      <alignment horizontal="right"/>
    </xf>
    <xf numFmtId="166" fontId="34" fillId="0" borderId="1" xfId="1" applyFont="1" applyBorder="1" applyAlignment="1">
      <alignment horizontal="right"/>
    </xf>
    <xf numFmtId="3" fontId="29" fillId="0" borderId="1" xfId="0" applyNumberFormat="1" applyFont="1" applyBorder="1"/>
    <xf numFmtId="166" fontId="29" fillId="2" borderId="1" xfId="1" applyFont="1" applyFill="1" applyBorder="1" applyAlignment="1">
      <alignment horizontal="right"/>
    </xf>
    <xf numFmtId="166" fontId="29" fillId="0" borderId="1" xfId="1" applyFont="1" applyBorder="1" applyAlignment="1">
      <alignment horizontal="right"/>
    </xf>
    <xf numFmtId="3" fontId="34" fillId="0" borderId="1" xfId="0" applyNumberFormat="1" applyFont="1" applyBorder="1"/>
    <xf numFmtId="166" fontId="34" fillId="2" borderId="1" xfId="1" applyFont="1" applyFill="1" applyBorder="1" applyAlignment="1">
      <alignment horizontal="right"/>
    </xf>
    <xf numFmtId="166" fontId="29" fillId="0" borderId="1" xfId="1" applyFont="1" applyFill="1" applyBorder="1" applyAlignment="1">
      <alignment horizontal="right"/>
    </xf>
    <xf numFmtId="166" fontId="29" fillId="0" borderId="1" xfId="1" quotePrefix="1" applyFont="1" applyBorder="1" applyAlignment="1">
      <alignment horizontal="right"/>
    </xf>
    <xf numFmtId="3" fontId="34" fillId="2" borderId="1" xfId="0" applyNumberFormat="1" applyFont="1" applyFill="1" applyBorder="1"/>
    <xf numFmtId="16" fontId="26" fillId="0" borderId="1" xfId="0" applyNumberFormat="1" applyFont="1" applyBorder="1" applyAlignment="1">
      <alignment horizontal="center" vertical="center" wrapText="1"/>
    </xf>
    <xf numFmtId="166" fontId="15" fillId="0" borderId="0" xfId="0" applyNumberFormat="1" applyFont="1"/>
    <xf numFmtId="0" fontId="28" fillId="0" borderId="0" xfId="0" applyFont="1" applyAlignment="1">
      <alignment horizontal="left" vertical="top"/>
    </xf>
    <xf numFmtId="3" fontId="29" fillId="0" borderId="2" xfId="0" applyNumberFormat="1" applyFont="1" applyBorder="1" applyAlignment="1">
      <alignment horizontal="justify" vertical="top"/>
    </xf>
    <xf numFmtId="3" fontId="29" fillId="0" borderId="1" xfId="0" applyNumberFormat="1" applyFont="1" applyBorder="1" applyAlignment="1">
      <alignment horizontal="justify" vertical="top"/>
    </xf>
    <xf numFmtId="3" fontId="36" fillId="0" borderId="1" xfId="0" applyNumberFormat="1" applyFont="1" applyBorder="1" applyAlignment="1">
      <alignment horizontal="justify" vertical="top" wrapText="1"/>
    </xf>
    <xf numFmtId="3" fontId="29" fillId="0" borderId="1" xfId="0" applyNumberFormat="1" applyFont="1" applyBorder="1" applyAlignment="1">
      <alignment horizontal="justify" vertical="top" wrapText="1"/>
    </xf>
    <xf numFmtId="0" fontId="26" fillId="0" borderId="1" xfId="0" applyFont="1" applyBorder="1" applyAlignment="1">
      <alignment horizontal="center" vertical="center"/>
    </xf>
    <xf numFmtId="0" fontId="6" fillId="0" borderId="0" xfId="0" applyFont="1" applyBorder="1" applyAlignment="1">
      <alignment horizontal="justify" vertical="center" wrapText="1"/>
    </xf>
    <xf numFmtId="0" fontId="6" fillId="0" borderId="0" xfId="0" applyFont="1" applyBorder="1" applyAlignment="1">
      <alignment horizontal="center" vertical="center"/>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6" fillId="0" borderId="7" xfId="0" applyFont="1" applyBorder="1" applyAlignment="1">
      <alignment horizontal="center"/>
    </xf>
    <xf numFmtId="0" fontId="2" fillId="0" borderId="0" xfId="0" applyFont="1" applyBorder="1" applyAlignment="1"/>
    <xf numFmtId="165" fontId="31" fillId="0" borderId="0" xfId="2" applyFont="1" applyAlignment="1">
      <alignment horizontal="right" vertical="justify"/>
    </xf>
    <xf numFmtId="167" fontId="31" fillId="0" borderId="0" xfId="0" applyNumberFormat="1" applyFont="1" applyAlignment="1">
      <alignment vertical="justify"/>
    </xf>
    <xf numFmtId="165" fontId="31" fillId="0" borderId="0" xfId="2" applyFont="1" applyAlignment="1">
      <alignment vertical="justify"/>
    </xf>
    <xf numFmtId="0" fontId="31" fillId="0" borderId="0" xfId="0" applyFont="1" applyAlignment="1">
      <alignment vertical="justify"/>
    </xf>
    <xf numFmtId="165" fontId="31" fillId="0" borderId="0" xfId="0" applyNumberFormat="1" applyFont="1" applyAlignment="1">
      <alignment vertical="justify"/>
    </xf>
    <xf numFmtId="0" fontId="31" fillId="0" borderId="0" xfId="0" applyFont="1" applyBorder="1" applyAlignment="1">
      <alignment horizontal="left"/>
    </xf>
    <xf numFmtId="166" fontId="6" fillId="0" borderId="0" xfId="0" applyNumberFormat="1" applyFont="1"/>
    <xf numFmtId="3" fontId="5" fillId="0" borderId="0" xfId="0" applyNumberFormat="1" applyFont="1"/>
    <xf numFmtId="166" fontId="5" fillId="0" borderId="0" xfId="1" applyFont="1"/>
    <xf numFmtId="0" fontId="5" fillId="0" borderId="0" xfId="0" applyFont="1" applyAlignment="1">
      <alignment horizontal="center"/>
    </xf>
    <xf numFmtId="4" fontId="6" fillId="0" borderId="0" xfId="0" applyNumberFormat="1" applyFont="1"/>
    <xf numFmtId="166" fontId="31" fillId="0" borderId="0" xfId="1" applyFont="1" applyAlignment="1">
      <alignment horizontal="left"/>
    </xf>
    <xf numFmtId="166" fontId="31" fillId="0" borderId="0" xfId="0" applyNumberFormat="1" applyFont="1" applyAlignment="1">
      <alignment horizontal="left"/>
    </xf>
    <xf numFmtId="0" fontId="13" fillId="3" borderId="8" xfId="0" applyFont="1" applyFill="1" applyBorder="1" applyAlignment="1">
      <alignment horizontal="center" vertical="center" wrapText="1"/>
    </xf>
    <xf numFmtId="0" fontId="24" fillId="0" borderId="1" xfId="0" applyFont="1" applyBorder="1" applyAlignment="1">
      <alignment vertical="center"/>
    </xf>
    <xf numFmtId="0" fontId="26" fillId="0" borderId="1" xfId="0" applyFont="1" applyBorder="1" applyAlignment="1">
      <alignment vertical="center" wrapText="1"/>
    </xf>
    <xf numFmtId="166" fontId="26" fillId="0" borderId="1" xfId="1" applyFont="1" applyBorder="1" applyAlignment="1">
      <alignment vertical="center" wrapText="1"/>
    </xf>
    <xf numFmtId="17" fontId="26" fillId="0" borderId="1" xfId="0" applyNumberFormat="1" applyFont="1" applyBorder="1" applyAlignment="1">
      <alignment vertical="center" wrapText="1"/>
    </xf>
    <xf numFmtId="0" fontId="26" fillId="0" borderId="1" xfId="0" applyFont="1" applyFill="1" applyBorder="1" applyAlignment="1">
      <alignment vertical="center" wrapText="1"/>
    </xf>
    <xf numFmtId="0" fontId="28" fillId="0" borderId="7" xfId="0" applyFont="1" applyBorder="1" applyAlignment="1">
      <alignment wrapText="1"/>
    </xf>
    <xf numFmtId="0" fontId="6" fillId="0" borderId="9" xfId="0" applyFont="1" applyFill="1" applyBorder="1" applyAlignment="1">
      <alignment horizontal="justify" vertical="center" wrapText="1"/>
    </xf>
    <xf numFmtId="0" fontId="6" fillId="0" borderId="9" xfId="0" applyFont="1" applyBorder="1" applyAlignment="1">
      <alignment horizontal="justify" vertical="center" wrapText="1"/>
    </xf>
    <xf numFmtId="0" fontId="6" fillId="0" borderId="10"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3" fontId="6" fillId="0" borderId="1" xfId="0" applyNumberFormat="1" applyFont="1" applyBorder="1" applyAlignment="1">
      <alignment vertical="center" wrapText="1"/>
    </xf>
    <xf numFmtId="17" fontId="6" fillId="0" borderId="1" xfId="0" applyNumberFormat="1" applyFont="1" applyBorder="1" applyAlignment="1">
      <alignment horizontal="left" vertical="center" wrapText="1"/>
    </xf>
    <xf numFmtId="0" fontId="6" fillId="0" borderId="11" xfId="0" applyFont="1" applyBorder="1" applyAlignment="1">
      <alignment horizontal="left" vertical="center" wrapText="1"/>
    </xf>
    <xf numFmtId="49"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31" fillId="0" borderId="0" xfId="0" applyNumberFormat="1" applyFont="1" applyBorder="1" applyAlignment="1">
      <alignment vertical="justify"/>
    </xf>
    <xf numFmtId="1" fontId="28" fillId="0" borderId="0" xfId="0" applyNumberFormat="1" applyFont="1" applyAlignment="1">
      <alignment wrapText="1"/>
    </xf>
    <xf numFmtId="4" fontId="3" fillId="0" borderId="1" xfId="0" applyNumberFormat="1" applyFont="1" applyBorder="1" applyAlignment="1">
      <alignment horizontal="right" vertical="top" wrapText="1"/>
    </xf>
    <xf numFmtId="0" fontId="3" fillId="0" borderId="1" xfId="0" applyFont="1" applyBorder="1" applyAlignment="1">
      <alignment horizontal="justify" vertical="center" wrapText="1"/>
    </xf>
    <xf numFmtId="4" fontId="3" fillId="0" borderId="1" xfId="0" applyNumberFormat="1" applyFont="1" applyBorder="1" applyAlignment="1">
      <alignment vertical="top" wrapText="1"/>
    </xf>
    <xf numFmtId="1" fontId="35" fillId="0" borderId="0" xfId="0" applyNumberFormat="1" applyFont="1" applyAlignment="1">
      <alignment horizontal="left" vertical="justify"/>
    </xf>
    <xf numFmtId="1" fontId="30" fillId="0" borderId="0" xfId="0" applyNumberFormat="1" applyFont="1" applyAlignment="1">
      <alignment horizontal="left" vertical="justify"/>
    </xf>
    <xf numFmtId="0" fontId="26" fillId="0" borderId="1" xfId="0" applyFont="1" applyBorder="1" applyAlignment="1">
      <alignment horizontal="justify" vertical="center" wrapText="1"/>
    </xf>
    <xf numFmtId="166" fontId="26" fillId="4" borderId="1" xfId="1" applyFont="1" applyFill="1" applyBorder="1" applyAlignment="1">
      <alignment horizontal="right" vertical="center" wrapText="1"/>
    </xf>
    <xf numFmtId="166" fontId="26" fillId="0" borderId="1" xfId="1" applyFont="1" applyBorder="1" applyAlignment="1">
      <alignment horizontal="right" vertical="center" wrapText="1"/>
    </xf>
    <xf numFmtId="3" fontId="14" fillId="0" borderId="1" xfId="0" applyNumberFormat="1" applyFont="1" applyFill="1" applyBorder="1" applyAlignment="1">
      <alignment horizontal="right"/>
    </xf>
    <xf numFmtId="0" fontId="15" fillId="0" borderId="2" xfId="0" applyFont="1" applyBorder="1" applyAlignment="1">
      <alignment vertical="center" wrapText="1"/>
    </xf>
    <xf numFmtId="170" fontId="6" fillId="0" borderId="9" xfId="0" applyNumberFormat="1" applyFont="1" applyBorder="1" applyAlignment="1">
      <alignment horizontal="right" vertical="center" wrapText="1"/>
    </xf>
    <xf numFmtId="170" fontId="6" fillId="0" borderId="1" xfId="0" applyNumberFormat="1" applyFont="1" applyBorder="1" applyAlignment="1">
      <alignment horizontal="right" vertical="center" wrapText="1"/>
    </xf>
    <xf numFmtId="0" fontId="26" fillId="0" borderId="9" xfId="0" applyFont="1" applyBorder="1" applyAlignment="1">
      <alignment horizontal="center" vertical="top" wrapText="1"/>
    </xf>
    <xf numFmtId="3" fontId="26" fillId="0" borderId="9" xfId="1" applyNumberFormat="1" applyFont="1" applyBorder="1" applyAlignment="1">
      <alignment vertical="center" wrapText="1"/>
    </xf>
    <xf numFmtId="3" fontId="26" fillId="0" borderId="1" xfId="1" applyNumberFormat="1" applyFont="1" applyBorder="1" applyAlignment="1">
      <alignment vertical="center" wrapText="1"/>
    </xf>
    <xf numFmtId="3" fontId="26" fillId="0" borderId="1" xfId="0" applyNumberFormat="1" applyFont="1" applyBorder="1" applyAlignment="1">
      <alignment vertical="center"/>
    </xf>
    <xf numFmtId="0" fontId="28" fillId="0" borderId="7" xfId="0" applyFont="1" applyBorder="1" applyAlignment="1">
      <alignment vertical="center"/>
    </xf>
    <xf numFmtId="0" fontId="28" fillId="0" borderId="0" xfId="0" applyFont="1" applyAlignment="1">
      <alignment horizontal="left" vertical="center"/>
    </xf>
    <xf numFmtId="1" fontId="28" fillId="0" borderId="0" xfId="0" applyNumberFormat="1" applyFont="1" applyAlignment="1">
      <alignment horizontal="center" vertical="center"/>
    </xf>
    <xf numFmtId="0" fontId="30" fillId="0" borderId="0" xfId="0" applyFont="1" applyAlignment="1">
      <alignment horizontal="left" vertical="center"/>
    </xf>
    <xf numFmtId="0" fontId="27" fillId="0" borderId="0" xfId="0" applyFont="1" applyAlignment="1">
      <alignment horizontal="left" vertical="center"/>
    </xf>
    <xf numFmtId="165" fontId="28" fillId="0" borderId="0" xfId="2" applyFont="1" applyAlignment="1">
      <alignment horizontal="right" vertical="center"/>
    </xf>
    <xf numFmtId="166" fontId="28" fillId="0" borderId="0" xfId="1" applyFont="1" applyAlignment="1">
      <alignment vertical="center"/>
    </xf>
    <xf numFmtId="165" fontId="28" fillId="0" borderId="0" xfId="2" applyFont="1" applyAlignment="1">
      <alignment vertical="center"/>
    </xf>
    <xf numFmtId="0" fontId="27" fillId="0" borderId="0" xfId="0" applyFont="1" applyAlignment="1">
      <alignment vertical="center"/>
    </xf>
    <xf numFmtId="0" fontId="24" fillId="0" borderId="0" xfId="0" applyFont="1" applyAlignment="1">
      <alignment vertical="center"/>
    </xf>
    <xf numFmtId="0" fontId="31" fillId="0" borderId="0" xfId="0" applyFont="1" applyAlignment="1">
      <alignment vertical="center"/>
    </xf>
    <xf numFmtId="0" fontId="31" fillId="0" borderId="0" xfId="0" applyFont="1" applyAlignment="1">
      <alignment horizontal="right" vertical="center"/>
    </xf>
    <xf numFmtId="0" fontId="26" fillId="0" borderId="9" xfId="0" applyFont="1" applyBorder="1" applyAlignment="1">
      <alignment horizontal="left" vertical="center" wrapText="1"/>
    </xf>
    <xf numFmtId="3" fontId="26" fillId="0" borderId="12" xfId="0" applyNumberFormat="1" applyFont="1" applyBorder="1" applyAlignment="1">
      <alignment horizontal="center" vertical="center" wrapText="1"/>
    </xf>
    <xf numFmtId="169" fontId="26" fillId="0" borderId="1" xfId="0" applyNumberFormat="1" applyFont="1" applyBorder="1" applyAlignment="1">
      <alignment horizontal="center" vertical="center" wrapText="1"/>
    </xf>
    <xf numFmtId="3" fontId="26" fillId="0" borderId="1" xfId="1" applyNumberFormat="1" applyFont="1" applyBorder="1" applyAlignment="1">
      <alignment horizontal="right" vertical="center" wrapText="1"/>
    </xf>
    <xf numFmtId="0" fontId="26" fillId="0" borderId="1" xfId="0" applyFont="1" applyFill="1" applyBorder="1" applyAlignment="1">
      <alignment vertical="center"/>
    </xf>
    <xf numFmtId="0" fontId="26" fillId="0" borderId="1" xfId="0" applyFont="1" applyBorder="1" applyAlignment="1">
      <alignment horizontal="justify" vertical="center"/>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3" fontId="31" fillId="0" borderId="1" xfId="0" applyNumberFormat="1" applyFont="1" applyBorder="1" applyAlignment="1">
      <alignment horizontal="right" vertical="center" wrapText="1"/>
    </xf>
    <xf numFmtId="3" fontId="31" fillId="0" borderId="1" xfId="1" applyNumberFormat="1" applyFont="1" applyBorder="1" applyAlignment="1">
      <alignment horizontal="right" vertical="center" wrapText="1"/>
    </xf>
    <xf numFmtId="0" fontId="4" fillId="0" borderId="0" xfId="0" applyFont="1" applyAlignment="1">
      <alignment vertical="center"/>
    </xf>
    <xf numFmtId="3" fontId="19" fillId="0" borderId="0" xfId="0" applyNumberFormat="1" applyFont="1" applyFill="1" applyAlignment="1">
      <alignment vertical="center"/>
    </xf>
    <xf numFmtId="0" fontId="12" fillId="0" borderId="1" xfId="0" applyFont="1" applyBorder="1" applyAlignment="1">
      <alignment vertical="top"/>
    </xf>
    <xf numFmtId="3" fontId="25" fillId="0" borderId="0" xfId="1" applyNumberFormat="1" applyFont="1" applyAlignment="1">
      <alignment horizontal="right" vertical="justify"/>
    </xf>
    <xf numFmtId="3" fontId="25" fillId="0" borderId="0" xfId="0" applyNumberFormat="1" applyFont="1" applyAlignment="1">
      <alignment vertical="justify"/>
    </xf>
    <xf numFmtId="3" fontId="25" fillId="0" borderId="0" xfId="1" applyNumberFormat="1" applyFont="1" applyAlignment="1">
      <alignment vertical="justify"/>
    </xf>
    <xf numFmtId="3" fontId="28" fillId="0" borderId="0" xfId="2" applyNumberFormat="1" applyFont="1" applyAlignment="1">
      <alignment horizontal="right" vertical="justify"/>
    </xf>
    <xf numFmtId="3" fontId="28" fillId="0" borderId="0" xfId="0" applyNumberFormat="1" applyFont="1" applyAlignment="1">
      <alignment vertical="justify"/>
    </xf>
    <xf numFmtId="3" fontId="28" fillId="0" borderId="0" xfId="1" applyNumberFormat="1" applyFont="1" applyAlignment="1">
      <alignment vertical="justify"/>
    </xf>
    <xf numFmtId="166" fontId="28" fillId="0" borderId="0" xfId="0" applyNumberFormat="1" applyFont="1" applyAlignment="1">
      <alignment vertical="justify"/>
    </xf>
    <xf numFmtId="2" fontId="6" fillId="0" borderId="0" xfId="0" applyNumberFormat="1" applyFont="1"/>
    <xf numFmtId="0" fontId="3" fillId="0" borderId="1" xfId="0" applyFont="1" applyBorder="1" applyAlignment="1">
      <alignment horizontal="justify" vertical="top" wrapText="1"/>
    </xf>
    <xf numFmtId="3" fontId="26" fillId="0" borderId="2" xfId="1" applyNumberFormat="1" applyFont="1" applyBorder="1" applyAlignment="1">
      <alignment vertical="center" wrapText="1"/>
    </xf>
    <xf numFmtId="169" fontId="26" fillId="0" borderId="1" xfId="0" applyNumberFormat="1" applyFont="1" applyFill="1" applyBorder="1" applyAlignment="1">
      <alignment horizontal="center" vertical="center" wrapText="1"/>
    </xf>
    <xf numFmtId="3" fontId="26" fillId="0" borderId="1" xfId="1" applyNumberFormat="1" applyFont="1" applyFill="1" applyBorder="1" applyAlignment="1">
      <alignment vertical="center" wrapText="1"/>
    </xf>
    <xf numFmtId="0" fontId="26" fillId="0" borderId="0" xfId="0" applyFont="1" applyAlignment="1">
      <alignment vertical="center"/>
    </xf>
    <xf numFmtId="0" fontId="20" fillId="0" borderId="0" xfId="0" applyFont="1" applyAlignment="1"/>
    <xf numFmtId="0" fontId="20" fillId="0" borderId="0" xfId="0" applyFont="1" applyAlignment="1">
      <alignment vertical="center" wrapText="1"/>
    </xf>
    <xf numFmtId="10" fontId="20" fillId="0" borderId="0" xfId="0" applyNumberFormat="1" applyFont="1" applyAlignment="1"/>
    <xf numFmtId="0" fontId="31" fillId="0" borderId="7" xfId="0" applyFont="1" applyBorder="1" applyAlignment="1">
      <alignment horizontal="left"/>
    </xf>
    <xf numFmtId="0" fontId="3" fillId="0" borderId="1" xfId="0" applyFont="1" applyBorder="1" applyAlignment="1">
      <alignment horizontal="center" vertical="center"/>
    </xf>
    <xf numFmtId="0" fontId="3" fillId="0" borderId="1" xfId="0" applyFont="1" applyFill="1" applyBorder="1" applyAlignment="1">
      <alignment vertical="center" wrapText="1"/>
    </xf>
    <xf numFmtId="3" fontId="3" fillId="0" borderId="1" xfId="0" applyNumberFormat="1" applyFont="1" applyBorder="1" applyAlignment="1">
      <alignment vertical="center"/>
    </xf>
    <xf numFmtId="0" fontId="3"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xf numFmtId="170" fontId="6" fillId="0" borderId="2" xfId="0" applyNumberFormat="1" applyFont="1" applyBorder="1" applyAlignment="1">
      <alignment horizontal="right" vertical="center" wrapText="1"/>
    </xf>
    <xf numFmtId="0" fontId="6" fillId="0" borderId="2" xfId="0" applyFont="1" applyBorder="1" applyAlignment="1">
      <alignment horizontal="justify" vertical="center" wrapText="1"/>
    </xf>
    <xf numFmtId="17"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0" fillId="4" borderId="1" xfId="0" applyFill="1" applyBorder="1" applyAlignment="1" applyProtection="1">
      <alignment vertical="center" wrapText="1"/>
      <protection locked="0"/>
    </xf>
    <xf numFmtId="0" fontId="0" fillId="0" borderId="1" xfId="0" applyBorder="1" applyAlignment="1">
      <alignment wrapText="1"/>
    </xf>
    <xf numFmtId="0" fontId="0" fillId="4" borderId="8" xfId="0" applyFill="1" applyBorder="1" applyAlignment="1" applyProtection="1">
      <alignment vertical="center" wrapText="1"/>
      <protection locked="0"/>
    </xf>
    <xf numFmtId="0" fontId="0" fillId="4" borderId="1" xfId="0" applyFill="1" applyBorder="1" applyAlignment="1" applyProtection="1">
      <alignment vertical="center"/>
      <protection locked="0"/>
    </xf>
    <xf numFmtId="0" fontId="0" fillId="0" borderId="1" xfId="0" applyBorder="1" applyAlignment="1">
      <alignment horizontal="right"/>
    </xf>
    <xf numFmtId="0" fontId="0" fillId="4" borderId="8" xfId="0" applyFill="1" applyBorder="1" applyAlignment="1" applyProtection="1">
      <alignment vertical="center"/>
      <protection locked="0"/>
    </xf>
    <xf numFmtId="0" fontId="0" fillId="4" borderId="1"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0" borderId="11" xfId="0" applyBorder="1" applyAlignment="1">
      <alignment horizontal="center"/>
    </xf>
    <xf numFmtId="0" fontId="0" fillId="4" borderId="13" xfId="0" applyFill="1" applyBorder="1" applyAlignment="1" applyProtection="1">
      <alignment horizontal="center" vertical="center"/>
      <protection locked="0"/>
    </xf>
    <xf numFmtId="0" fontId="0" fillId="0" borderId="1" xfId="0" applyBorder="1" applyAlignment="1">
      <alignment horizontal="center"/>
    </xf>
    <xf numFmtId="0" fontId="37" fillId="4" borderId="1" xfId="0" applyFont="1" applyFill="1" applyBorder="1" applyAlignment="1" applyProtection="1">
      <alignment vertical="center" wrapText="1"/>
      <protection locked="0"/>
    </xf>
    <xf numFmtId="166" fontId="29" fillId="0" borderId="2" xfId="1" applyFont="1" applyBorder="1" applyAlignment="1">
      <alignment horizontal="right"/>
    </xf>
    <xf numFmtId="0" fontId="12" fillId="0" borderId="1" xfId="0" applyFont="1" applyBorder="1" applyAlignment="1">
      <alignment horizontal="center" vertical="top"/>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170" fontId="6" fillId="0" borderId="19" xfId="0" applyNumberFormat="1" applyFont="1" applyBorder="1" applyAlignment="1">
      <alignment horizontal="center" vertical="center" wrapText="1"/>
    </xf>
    <xf numFmtId="170" fontId="6" fillId="0" borderId="2" xfId="0" applyNumberFormat="1" applyFont="1" applyBorder="1" applyAlignment="1">
      <alignment horizontal="center" vertical="center" wrapText="1"/>
    </xf>
    <xf numFmtId="0" fontId="6" fillId="0" borderId="19" xfId="0" applyFont="1" applyBorder="1" applyAlignment="1">
      <alignment horizontal="justify" vertical="center" wrapText="1"/>
    </xf>
    <xf numFmtId="0" fontId="6" fillId="0" borderId="2" xfId="0" applyFont="1" applyBorder="1" applyAlignment="1">
      <alignment horizontal="justify" vertical="center" wrapText="1"/>
    </xf>
    <xf numFmtId="0" fontId="24" fillId="0" borderId="8" xfId="0" applyFont="1" applyBorder="1" applyAlignment="1">
      <alignment horizontal="center" vertical="center"/>
    </xf>
    <xf numFmtId="0" fontId="24" fillId="0" borderId="26" xfId="0" applyFont="1" applyBorder="1" applyAlignment="1">
      <alignment horizontal="center" vertical="center"/>
    </xf>
    <xf numFmtId="0" fontId="24" fillId="0" borderId="2" xfId="0" applyFont="1" applyBorder="1" applyAlignment="1">
      <alignment horizontal="center" vertical="center"/>
    </xf>
    <xf numFmtId="0" fontId="6" fillId="0" borderId="8"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 xfId="0" applyFont="1" applyFill="1" applyBorder="1" applyAlignment="1">
      <alignment horizontal="left" vertical="center" wrapText="1"/>
    </xf>
    <xf numFmtId="170" fontId="6" fillId="0" borderId="8" xfId="0" applyNumberFormat="1" applyFont="1" applyBorder="1" applyAlignment="1">
      <alignment horizontal="center" vertical="center" wrapText="1"/>
    </xf>
    <xf numFmtId="170" fontId="6" fillId="0" borderId="26" xfId="0" applyNumberFormat="1" applyFont="1" applyBorder="1" applyAlignment="1">
      <alignment horizontal="center" vertical="center" wrapText="1"/>
    </xf>
    <xf numFmtId="0" fontId="6" fillId="0" borderId="8" xfId="0" applyFont="1" applyBorder="1" applyAlignment="1">
      <alignment horizontal="left" vertical="center" wrapText="1"/>
    </xf>
    <xf numFmtId="0" fontId="6" fillId="0" borderId="26" xfId="0" applyFont="1" applyBorder="1" applyAlignment="1">
      <alignment horizontal="left" vertical="center" wrapText="1"/>
    </xf>
    <xf numFmtId="0" fontId="6" fillId="0" borderId="2" xfId="0" applyFont="1" applyBorder="1" applyAlignment="1">
      <alignment horizontal="left" vertical="center" wrapText="1"/>
    </xf>
    <xf numFmtId="17" fontId="6" fillId="0" borderId="8" xfId="0" applyNumberFormat="1" applyFont="1" applyBorder="1" applyAlignment="1">
      <alignment horizontal="left" vertical="center" wrapText="1"/>
    </xf>
    <xf numFmtId="17" fontId="6" fillId="0" borderId="26" xfId="0" applyNumberFormat="1" applyFont="1" applyBorder="1" applyAlignment="1">
      <alignment horizontal="left" vertical="center" wrapText="1"/>
    </xf>
    <xf numFmtId="17" fontId="6" fillId="0" borderId="2" xfId="0" applyNumberFormat="1" applyFont="1" applyBorder="1" applyAlignment="1">
      <alignment horizontal="left" vertical="center" wrapText="1"/>
    </xf>
    <xf numFmtId="49" fontId="6" fillId="0" borderId="19"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0" borderId="0" xfId="0" applyFont="1" applyAlignment="1">
      <alignment horizontal="left"/>
    </xf>
    <xf numFmtId="167" fontId="31" fillId="0" borderId="0" xfId="0" applyNumberFormat="1" applyFont="1" applyBorder="1" applyAlignment="1">
      <alignment horizontal="right" vertical="justify"/>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6" fillId="0" borderId="19" xfId="0" applyFont="1" applyFill="1" applyBorder="1" applyAlignment="1">
      <alignment horizontal="left" vertical="center" wrapText="1"/>
    </xf>
    <xf numFmtId="1" fontId="6" fillId="0" borderId="19"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6" fillId="0" borderId="0" xfId="0" applyFont="1" applyAlignment="1">
      <alignment horizontal="center" vertical="center"/>
    </xf>
    <xf numFmtId="0" fontId="31" fillId="3" borderId="19"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31" fillId="0" borderId="21" xfId="0" applyFont="1" applyBorder="1" applyAlignment="1">
      <alignment horizontal="left"/>
    </xf>
    <xf numFmtId="0" fontId="31" fillId="3" borderId="22"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28" fillId="0" borderId="1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17" fillId="0" borderId="1" xfId="0" applyFont="1" applyBorder="1" applyAlignment="1">
      <alignment horizontal="justify" vertical="center"/>
    </xf>
    <xf numFmtId="0" fontId="24" fillId="0" borderId="13" xfId="0" applyFont="1" applyBorder="1" applyAlignment="1">
      <alignment horizontal="center" vertical="center" wrapText="1"/>
    </xf>
    <xf numFmtId="0" fontId="24" fillId="0" borderId="7" xfId="0" applyFont="1" applyBorder="1" applyAlignment="1">
      <alignment horizontal="center" vertical="center"/>
    </xf>
    <xf numFmtId="0" fontId="24" fillId="0" borderId="15" xfId="0" applyFont="1" applyBorder="1" applyAlignment="1">
      <alignment horizontal="center" vertical="center"/>
    </xf>
    <xf numFmtId="0" fontId="24" fillId="0" borderId="0"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wrapText="1"/>
    </xf>
    <xf numFmtId="0" fontId="24" fillId="0" borderId="1" xfId="0" applyFont="1" applyBorder="1" applyAlignment="1">
      <alignment horizontal="center"/>
    </xf>
    <xf numFmtId="0" fontId="11" fillId="0" borderId="1" xfId="0" applyFont="1" applyBorder="1" applyAlignment="1">
      <alignment horizontal="left" vertical="top" wrapText="1"/>
    </xf>
    <xf numFmtId="165" fontId="11" fillId="3" borderId="9" xfId="2" applyFont="1" applyFill="1" applyBorder="1" applyAlignment="1">
      <alignment horizontal="center" vertical="center" wrapText="1"/>
    </xf>
    <xf numFmtId="165" fontId="11" fillId="3" borderId="8" xfId="2" applyFont="1" applyFill="1" applyBorder="1" applyAlignment="1">
      <alignment horizontal="center" vertical="center" wrapText="1"/>
    </xf>
    <xf numFmtId="0" fontId="28" fillId="0" borderId="7" xfId="0" applyFont="1" applyBorder="1" applyAlignment="1">
      <alignment horizontal="left"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2" fillId="0" borderId="28" xfId="0" applyFont="1" applyBorder="1" applyAlignment="1">
      <alignment horizontal="justify" vertical="top" wrapText="1"/>
    </xf>
    <xf numFmtId="0" fontId="2" fillId="0" borderId="29" xfId="0" applyFont="1" applyBorder="1" applyAlignment="1">
      <alignment horizontal="justify" vertical="top" wrapText="1"/>
    </xf>
    <xf numFmtId="0" fontId="28" fillId="0" borderId="0" xfId="0" applyFont="1" applyAlignment="1">
      <alignment horizontal="left"/>
    </xf>
    <xf numFmtId="0" fontId="28" fillId="0" borderId="7" xfId="0" applyFont="1" applyBorder="1" applyAlignment="1">
      <alignment horizontal="left" vertical="top"/>
    </xf>
    <xf numFmtId="0" fontId="11" fillId="3" borderId="22"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8" fillId="0" borderId="7" xfId="0" applyFont="1" applyBorder="1" applyAlignment="1">
      <alignment horizontal="left" vertical="center"/>
    </xf>
    <xf numFmtId="0" fontId="31" fillId="0" borderId="1" xfId="0" applyFont="1" applyBorder="1" applyAlignment="1">
      <alignment horizontal="center" vertical="top" wrapText="1"/>
    </xf>
    <xf numFmtId="0" fontId="31" fillId="3" borderId="4" xfId="0" applyFont="1" applyFill="1" applyBorder="1" applyAlignment="1">
      <alignment horizontal="center" vertical="center" wrapText="1"/>
    </xf>
    <xf numFmtId="167" fontId="28" fillId="3" borderId="9" xfId="0" applyNumberFormat="1" applyFont="1" applyFill="1" applyBorder="1" applyAlignment="1">
      <alignment horizontal="center" vertical="center"/>
    </xf>
    <xf numFmtId="0" fontId="27" fillId="0" borderId="7" xfId="0" applyFont="1" applyBorder="1" applyAlignment="1">
      <alignment horizontal="left" vertical="top"/>
    </xf>
    <xf numFmtId="0" fontId="28" fillId="0" borderId="7" xfId="0" applyFont="1" applyBorder="1" applyAlignment="1">
      <alignment horizontal="left" vertical="justify"/>
    </xf>
    <xf numFmtId="0" fontId="30" fillId="0" borderId="7" xfId="0" applyFont="1" applyBorder="1" applyAlignment="1">
      <alignment horizontal="left" vertical="justify"/>
    </xf>
    <xf numFmtId="0" fontId="31" fillId="0" borderId="7" xfId="0" applyFont="1" applyBorder="1" applyAlignment="1">
      <alignment horizontal="right" vertical="top" wrapText="1"/>
    </xf>
    <xf numFmtId="0" fontId="31" fillId="0" borderId="0" xfId="0" applyFont="1" applyBorder="1" applyAlignment="1">
      <alignment horizontal="left" vertical="top" wrapText="1"/>
    </xf>
    <xf numFmtId="0" fontId="31" fillId="0" borderId="1" xfId="0" applyFont="1" applyBorder="1" applyAlignment="1">
      <alignment horizontal="right" vertical="top" wrapText="1"/>
    </xf>
    <xf numFmtId="0" fontId="31" fillId="0" borderId="31" xfId="0" applyFont="1" applyBorder="1" applyAlignment="1">
      <alignment horizontal="left" vertical="top" wrapText="1"/>
    </xf>
    <xf numFmtId="0" fontId="31" fillId="0" borderId="29" xfId="0" applyFont="1" applyBorder="1" applyAlignment="1">
      <alignment horizontal="left" vertical="top" wrapText="1"/>
    </xf>
    <xf numFmtId="0" fontId="31" fillId="3" borderId="32"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26" fillId="0" borderId="31" xfId="0" applyFont="1" applyBorder="1" applyAlignment="1">
      <alignment horizontal="left" vertical="top" wrapText="1"/>
    </xf>
    <xf numFmtId="0" fontId="26" fillId="0" borderId="29"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31" fillId="3" borderId="35" xfId="0" applyFont="1" applyFill="1" applyBorder="1" applyAlignment="1">
      <alignment horizontal="center" vertical="top" wrapText="1"/>
    </xf>
    <xf numFmtId="0" fontId="31" fillId="3" borderId="36" xfId="0" applyFont="1" applyFill="1" applyBorder="1" applyAlignment="1">
      <alignment horizontal="center" vertical="top" wrapText="1"/>
    </xf>
    <xf numFmtId="0" fontId="31" fillId="0" borderId="17" xfId="0" applyFont="1" applyBorder="1" applyAlignment="1">
      <alignment horizontal="left" vertical="center" wrapText="1"/>
    </xf>
    <xf numFmtId="0" fontId="31" fillId="0" borderId="12" xfId="0" applyFont="1" applyBorder="1" applyAlignment="1">
      <alignment horizontal="left" vertical="center" wrapText="1"/>
    </xf>
    <xf numFmtId="0" fontId="25" fillId="0" borderId="7" xfId="0" applyFont="1" applyBorder="1" applyAlignment="1">
      <alignment horizontal="left" vertical="top"/>
    </xf>
    <xf numFmtId="0" fontId="35" fillId="0" borderId="7" xfId="0" applyFont="1" applyBorder="1" applyAlignment="1">
      <alignment horizontal="left" vertical="justify"/>
    </xf>
    <xf numFmtId="0" fontId="25" fillId="0" borderId="0" xfId="0" applyFont="1" applyAlignment="1">
      <alignment horizontal="left"/>
    </xf>
    <xf numFmtId="3" fontId="34" fillId="3" borderId="37" xfId="0" applyNumberFormat="1" applyFont="1" applyFill="1" applyBorder="1" applyAlignment="1">
      <alignment horizontal="center"/>
    </xf>
    <xf numFmtId="3" fontId="34" fillId="3" borderId="38" xfId="0" applyNumberFormat="1" applyFont="1" applyFill="1" applyBorder="1" applyAlignment="1">
      <alignment horizontal="center"/>
    </xf>
    <xf numFmtId="3" fontId="34" fillId="0" borderId="0" xfId="0" applyNumberFormat="1" applyFont="1" applyAlignment="1">
      <alignment horizontal="center"/>
    </xf>
    <xf numFmtId="0" fontId="25" fillId="0" borderId="0" xfId="0" applyFont="1" applyAlignment="1">
      <alignment horizontal="center"/>
    </xf>
    <xf numFmtId="3" fontId="29" fillId="3" borderId="39" xfId="0" applyNumberFormat="1" applyFont="1" applyFill="1" applyBorder="1" applyAlignment="1">
      <alignment horizontal="center"/>
    </xf>
    <xf numFmtId="3" fontId="29" fillId="3" borderId="40" xfId="0" applyNumberFormat="1" applyFont="1" applyFill="1" applyBorder="1" applyAlignment="1">
      <alignment horizontal="center"/>
    </xf>
    <xf numFmtId="3" fontId="34" fillId="3" borderId="19" xfId="0" applyNumberFormat="1" applyFont="1" applyFill="1" applyBorder="1" applyAlignment="1">
      <alignment horizontal="center"/>
    </xf>
    <xf numFmtId="3" fontId="34" fillId="3" borderId="20" xfId="0" applyNumberFormat="1" applyFont="1" applyFill="1" applyBorder="1" applyAlignment="1">
      <alignment horizontal="center"/>
    </xf>
    <xf numFmtId="3" fontId="34" fillId="3" borderId="41" xfId="0" applyNumberFormat="1" applyFont="1" applyFill="1" applyBorder="1" applyAlignment="1">
      <alignment horizontal="center" wrapText="1"/>
    </xf>
    <xf numFmtId="3" fontId="34" fillId="3" borderId="42" xfId="0" applyNumberFormat="1" applyFont="1" applyFill="1" applyBorder="1" applyAlignment="1">
      <alignment horizontal="center" wrapText="1"/>
    </xf>
    <xf numFmtId="3" fontId="34" fillId="3" borderId="3" xfId="0" applyNumberFormat="1" applyFont="1" applyFill="1" applyBorder="1" applyAlignment="1">
      <alignment horizontal="center"/>
    </xf>
    <xf numFmtId="3" fontId="34" fillId="3" borderId="5" xfId="0" applyNumberFormat="1" applyFont="1" applyFill="1" applyBorder="1" applyAlignment="1">
      <alignment horizontal="center"/>
    </xf>
    <xf numFmtId="3" fontId="34" fillId="3" borderId="6" xfId="0" applyNumberFormat="1" applyFont="1" applyFill="1" applyBorder="1" applyAlignment="1">
      <alignment horizontal="center"/>
    </xf>
    <xf numFmtId="0" fontId="18" fillId="0" borderId="0" xfId="0" applyFont="1" applyAlignment="1">
      <alignment horizontal="center"/>
    </xf>
    <xf numFmtId="3" fontId="14" fillId="0" borderId="0" xfId="0" applyNumberFormat="1" applyFont="1" applyAlignment="1">
      <alignment horizontal="center"/>
    </xf>
    <xf numFmtId="3" fontId="15" fillId="3" borderId="39" xfId="0" applyNumberFormat="1" applyFont="1" applyFill="1" applyBorder="1" applyAlignment="1">
      <alignment horizontal="center"/>
    </xf>
    <xf numFmtId="3" fontId="15" fillId="3" borderId="40" xfId="0" applyNumberFormat="1" applyFont="1" applyFill="1" applyBorder="1" applyAlignment="1">
      <alignment horizontal="center"/>
    </xf>
    <xf numFmtId="3" fontId="14" fillId="3" borderId="19" xfId="0" applyNumberFormat="1" applyFont="1" applyFill="1" applyBorder="1" applyAlignment="1">
      <alignment horizontal="center"/>
    </xf>
    <xf numFmtId="3" fontId="14" fillId="3" borderId="20" xfId="0" applyNumberFormat="1" applyFont="1" applyFill="1" applyBorder="1" applyAlignment="1">
      <alignment horizontal="center"/>
    </xf>
    <xf numFmtId="3" fontId="14" fillId="3" borderId="3" xfId="0" applyNumberFormat="1" applyFont="1" applyFill="1" applyBorder="1" applyAlignment="1">
      <alignment horizontal="center"/>
    </xf>
    <xf numFmtId="3" fontId="14" fillId="3" borderId="5" xfId="0" applyNumberFormat="1" applyFont="1" applyFill="1" applyBorder="1" applyAlignment="1">
      <alignment horizontal="center"/>
    </xf>
    <xf numFmtId="3" fontId="14" fillId="3" borderId="37" xfId="0" applyNumberFormat="1" applyFont="1" applyFill="1" applyBorder="1" applyAlignment="1">
      <alignment horizontal="center"/>
    </xf>
    <xf numFmtId="3" fontId="14" fillId="3" borderId="38" xfId="0" applyNumberFormat="1" applyFont="1" applyFill="1" applyBorder="1" applyAlignment="1">
      <alignment horizontal="center"/>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7358490566037738"/>
          <c:y val="0.31194690265486741"/>
          <c:w val="0.68867924528301894"/>
          <c:h val="0.31858407079646028"/>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Lbls>
            <c:dLbl>
              <c:idx val="0"/>
              <c:layout>
                <c:manualLayout>
                  <c:x val="-8.7523399197742668E-3"/>
                  <c:y val="-0.11116368197338167"/>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1"/>
              <c:layout>
                <c:manualLayout>
                  <c:x val="-2.5270539295795567E-2"/>
                  <c:y val="8.1255893898218412E-2"/>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2"/>
              <c:layout>
                <c:manualLayout>
                  <c:x val="-8.6671024612489558E-2"/>
                  <c:y val="0.14175876245557803"/>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3"/>
              <c:layout>
                <c:manualLayout>
                  <c:x val="8.9508245431585004E-3"/>
                  <c:y val="5.8544352309943481E-2"/>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4"/>
              <c:layout>
                <c:manualLayout>
                  <c:x val="3.3859258158767951E-3"/>
                  <c:y val="0.14865328780805059"/>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5"/>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6"/>
              <c:layout>
                <c:manualLayout>
                  <c:x val="-3.5638686673599769E-2"/>
                  <c:y val="-9.0832926857594143E-2"/>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7"/>
              <c:layout>
                <c:manualLayout>
                  <c:x val="2.8036844451047378E-2"/>
                  <c:y val="-6.0599493647364902E-2"/>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dLbl>
              <c:idx val="8"/>
              <c:layout>
                <c:manualLayout>
                  <c:x val="2.715673748328629E-2"/>
                  <c:y val="-8.7282187071748729E-2"/>
                </c:manualLayout>
              </c:layout>
              <c:numFmt formatCode="0%" sourceLinked="0"/>
              <c:spPr>
                <a:noFill/>
                <a:ln w="25400">
                  <a:noFill/>
                </a:ln>
              </c:spPr>
              <c:txPr>
                <a:bodyPr/>
                <a:lstStyle/>
                <a:p>
                  <a:pPr>
                    <a:defRPr sz="500" b="0" i="0" u="none" strike="noStrike" baseline="0">
                      <a:solidFill>
                        <a:srgbClr val="000000"/>
                      </a:solidFill>
                      <a:latin typeface="Arial Narrow"/>
                      <a:ea typeface="Arial Narrow"/>
                      <a:cs typeface="Arial Narrow"/>
                    </a:defRPr>
                  </a:pPr>
                  <a:endParaRPr lang="es-CO"/>
                </a:p>
              </c:txPr>
              <c:dLblPos val="bestFit"/>
              <c:showLegendKey val="0"/>
              <c:showVal val="0"/>
              <c:showCatName val="1"/>
              <c:showSerName val="0"/>
              <c:showPercent val="1"/>
              <c:showBubbleSize val="0"/>
            </c:dLbl>
            <c:numFmt formatCode="0%" sourceLinked="0"/>
            <c:spPr>
              <a:noFill/>
              <a:ln w="25400">
                <a:noFill/>
              </a:ln>
            </c:spPr>
            <c:txPr>
              <a:bodyPr/>
              <a:lstStyle/>
              <a:p>
                <a:pPr>
                  <a:defRPr sz="425" b="0" i="0" u="none" strike="noStrike" baseline="0">
                    <a:solidFill>
                      <a:srgbClr val="000000"/>
                    </a:solidFill>
                    <a:latin typeface="Arial Narrow"/>
                    <a:ea typeface="Arial Narrow"/>
                    <a:cs typeface="Arial Narrow"/>
                  </a:defRPr>
                </a:pPr>
                <a:endParaRPr lang="es-CO"/>
              </a:p>
            </c:txPr>
            <c:showLegendKey val="0"/>
            <c:showVal val="0"/>
            <c:showCatName val="1"/>
            <c:showSerName val="0"/>
            <c:showPercent val="1"/>
            <c:showBubbleSize val="0"/>
            <c:showLeaderLines val="1"/>
          </c:dLbls>
          <c:cat>
            <c:strRef>
              <c:f>grafico!$B$14:$B$49</c:f>
              <c:strCache>
                <c:ptCount val="9"/>
                <c:pt idx="0">
                  <c:v>Servicios Personales</c:v>
                </c:pt>
                <c:pt idx="1">
                  <c:v>SERVICIOS (CONTRATO)</c:v>
                </c:pt>
                <c:pt idx="2">
                  <c:v>SERVICIOS (PLANTA)</c:v>
                </c:pt>
                <c:pt idx="3">
                  <c:v>Gastos Generales</c:v>
                </c:pt>
                <c:pt idx="4">
                  <c:v>MAQUINARIA Y EQUIPOS</c:v>
                </c:pt>
                <c:pt idx="5">
                  <c:v>MATERIALES Y SUMINISTRO</c:v>
                </c:pt>
                <c:pt idx="6">
                  <c:v>MANTENIMIENTO EN GENERAL</c:v>
                </c:pt>
                <c:pt idx="7">
                  <c:v>Contratos</c:v>
                </c:pt>
                <c:pt idx="8">
                  <c:v>Convenios</c:v>
                </c:pt>
              </c:strCache>
            </c:strRef>
          </c:cat>
          <c:val>
            <c:numRef>
              <c:f>grafico!$C$14:$C$49</c:f>
              <c:numCache>
                <c:formatCode>#,##0</c:formatCode>
                <c:ptCount val="9"/>
                <c:pt idx="0">
                  <c:v>153338369.90000001</c:v>
                </c:pt>
                <c:pt idx="1">
                  <c:v>49304246.400000006</c:v>
                </c:pt>
                <c:pt idx="2">
                  <c:v>104034123.5</c:v>
                </c:pt>
                <c:pt idx="3">
                  <c:v>50100000</c:v>
                </c:pt>
                <c:pt idx="4">
                  <c:v>57187950.576080002</c:v>
                </c:pt>
                <c:pt idx="5">
                  <c:v>80239294.220494911</c:v>
                </c:pt>
                <c:pt idx="6">
                  <c:v>4000000</c:v>
                </c:pt>
                <c:pt idx="7">
                  <c:v>170240545.79657492</c:v>
                </c:pt>
                <c:pt idx="8">
                  <c:v>37855850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Narrow"/>
          <a:ea typeface="Arial Narrow"/>
          <a:cs typeface="Arial Narrow"/>
        </a:defRPr>
      </a:pPr>
      <a:endParaRPr lang="es-CO"/>
    </a:p>
  </c:txPr>
  <c:printSettings>
    <c:headerFooter alignWithMargins="0"/>
    <c:pageMargins b="1" l="0.75000000000000011" r="0.75000000000000011"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1638300</xdr:colOff>
      <xdr:row>6</xdr:row>
      <xdr:rowOff>238125</xdr:rowOff>
    </xdr:to>
    <xdr:pic>
      <xdr:nvPicPr>
        <xdr:cNvPr id="2089"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66675"/>
          <a:ext cx="1981200" cy="1304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8</xdr:row>
      <xdr:rowOff>0</xdr:rowOff>
    </xdr:from>
    <xdr:to>
      <xdr:col>1</xdr:col>
      <xdr:colOff>1343025</xdr:colOff>
      <xdr:row>8</xdr:row>
      <xdr:rowOff>0</xdr:rowOff>
    </xdr:to>
    <xdr:pic>
      <xdr:nvPicPr>
        <xdr:cNvPr id="3114"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76225" y="1571625"/>
          <a:ext cx="1419225"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3115"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924050" cy="1295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142875</xdr:rowOff>
    </xdr:from>
    <xdr:to>
      <xdr:col>1</xdr:col>
      <xdr:colOff>1628775</xdr:colOff>
      <xdr:row>7</xdr:row>
      <xdr:rowOff>57150</xdr:rowOff>
    </xdr:to>
    <xdr:pic>
      <xdr:nvPicPr>
        <xdr:cNvPr id="4131"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971675" cy="1295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1</xdr:col>
      <xdr:colOff>1409700</xdr:colOff>
      <xdr:row>8</xdr:row>
      <xdr:rowOff>0</xdr:rowOff>
    </xdr:to>
    <xdr:pic>
      <xdr:nvPicPr>
        <xdr:cNvPr id="1066"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0" y="1571625"/>
          <a:ext cx="17526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1067"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914525" cy="1295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8</xdr:row>
      <xdr:rowOff>0</xdr:rowOff>
    </xdr:from>
    <xdr:to>
      <xdr:col>1</xdr:col>
      <xdr:colOff>1409700</xdr:colOff>
      <xdr:row>8</xdr:row>
      <xdr:rowOff>0</xdr:rowOff>
    </xdr:to>
    <xdr:pic>
      <xdr:nvPicPr>
        <xdr:cNvPr id="5162"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57175" y="1571625"/>
          <a:ext cx="15240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5163"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943100" cy="12954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0</xdr:rowOff>
    </xdr:from>
    <xdr:to>
      <xdr:col>1</xdr:col>
      <xdr:colOff>1095375</xdr:colOff>
      <xdr:row>8</xdr:row>
      <xdr:rowOff>0</xdr:rowOff>
    </xdr:to>
    <xdr:pic>
      <xdr:nvPicPr>
        <xdr:cNvPr id="6186"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0" y="1571625"/>
          <a:ext cx="16002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6187"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571625" cy="12954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8</xdr:row>
      <xdr:rowOff>0</xdr:rowOff>
    </xdr:from>
    <xdr:to>
      <xdr:col>1</xdr:col>
      <xdr:colOff>1038225</xdr:colOff>
      <xdr:row>8</xdr:row>
      <xdr:rowOff>0</xdr:rowOff>
    </xdr:to>
    <xdr:pic>
      <xdr:nvPicPr>
        <xdr:cNvPr id="7210"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95250" y="1571625"/>
          <a:ext cx="14097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7211"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657350" cy="12954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8</xdr:row>
      <xdr:rowOff>0</xdr:rowOff>
    </xdr:from>
    <xdr:to>
      <xdr:col>1</xdr:col>
      <xdr:colOff>1343025</xdr:colOff>
      <xdr:row>8</xdr:row>
      <xdr:rowOff>0</xdr:rowOff>
    </xdr:to>
    <xdr:pic>
      <xdr:nvPicPr>
        <xdr:cNvPr id="8234"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76225" y="1571625"/>
          <a:ext cx="1828800"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8235"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2257425" cy="12954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276225</xdr:colOff>
      <xdr:row>8</xdr:row>
      <xdr:rowOff>0</xdr:rowOff>
    </xdr:from>
    <xdr:to>
      <xdr:col>1</xdr:col>
      <xdr:colOff>1343025</xdr:colOff>
      <xdr:row>8</xdr:row>
      <xdr:rowOff>0</xdr:rowOff>
    </xdr:to>
    <xdr:pic>
      <xdr:nvPicPr>
        <xdr:cNvPr id="9294"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276225" y="1571625"/>
          <a:ext cx="1590675" cy="0"/>
        </a:xfrm>
        <a:prstGeom prst="rect">
          <a:avLst/>
        </a:prstGeom>
        <a:noFill/>
        <a:ln w="9525">
          <a:noFill/>
          <a:miter lim="800000"/>
          <a:headEnd/>
          <a:tailEnd/>
        </a:ln>
      </xdr:spPr>
    </xdr:pic>
    <xdr:clientData/>
  </xdr:twoCellAnchor>
  <xdr:twoCellAnchor>
    <xdr:from>
      <xdr:col>0</xdr:col>
      <xdr:colOff>57150</xdr:colOff>
      <xdr:row>0</xdr:row>
      <xdr:rowOff>142875</xdr:rowOff>
    </xdr:from>
    <xdr:to>
      <xdr:col>1</xdr:col>
      <xdr:colOff>1628775</xdr:colOff>
      <xdr:row>7</xdr:row>
      <xdr:rowOff>57150</xdr:rowOff>
    </xdr:to>
    <xdr:pic>
      <xdr:nvPicPr>
        <xdr:cNvPr id="9295" name="Picture 62" descr="Logo"/>
        <xdr:cNvPicPr>
          <a:picLocks noChangeAspect="1" noChangeArrowheads="1"/>
        </xdr:cNvPicPr>
      </xdr:nvPicPr>
      <xdr:blipFill>
        <a:blip xmlns:r="http://schemas.openxmlformats.org/officeDocument/2006/relationships" r:embed="rId1"/>
        <a:srcRect/>
        <a:stretch>
          <a:fillRect/>
        </a:stretch>
      </xdr:blipFill>
      <xdr:spPr bwMode="auto">
        <a:xfrm>
          <a:off x="57150" y="142875"/>
          <a:ext cx="1809750" cy="1295400"/>
        </a:xfrm>
        <a:prstGeom prst="rect">
          <a:avLst/>
        </a:prstGeom>
        <a:noFill/>
        <a:ln w="9525">
          <a:noFill/>
          <a:miter lim="800000"/>
          <a:headEnd/>
          <a:tailEnd/>
        </a:ln>
      </xdr:spPr>
    </xdr:pic>
    <xdr:clientData/>
  </xdr:twoCellAnchor>
  <xdr:twoCellAnchor>
    <xdr:from>
      <xdr:col>3</xdr:col>
      <xdr:colOff>85725</xdr:colOff>
      <xdr:row>12</xdr:row>
      <xdr:rowOff>0</xdr:rowOff>
    </xdr:from>
    <xdr:to>
      <xdr:col>9</xdr:col>
      <xdr:colOff>733425</xdr:colOff>
      <xdr:row>64</xdr:row>
      <xdr:rowOff>66675</xdr:rowOff>
    </xdr:to>
    <xdr:graphicFrame macro="">
      <xdr:nvGraphicFramePr>
        <xdr:cNvPr id="9296" name="Chart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topLeftCell="A2" zoomScale="110" zoomScaleNormal="110" workbookViewId="0">
      <selection activeCell="C11" sqref="C11"/>
    </sheetView>
  </sheetViews>
  <sheetFormatPr baseColWidth="10" defaultRowHeight="12.75" x14ac:dyDescent="0.2"/>
  <cols>
    <col min="1" max="1" width="6" style="4" customWidth="1"/>
    <col min="2" max="2" width="25.140625" style="4" customWidth="1"/>
    <col min="3" max="3" width="17.140625" style="4" customWidth="1"/>
    <col min="4" max="4" width="15.85546875" style="4" customWidth="1"/>
    <col min="5" max="5" width="7.5703125" style="4" customWidth="1"/>
    <col min="6" max="6" width="8.7109375" style="4" customWidth="1"/>
    <col min="7" max="7" width="10.5703125" style="4" customWidth="1"/>
    <col min="8" max="8" width="25.7109375" style="4" customWidth="1"/>
    <col min="9" max="9" width="9.7109375" style="4" customWidth="1"/>
    <col min="10" max="10" width="16.7109375" style="4" customWidth="1"/>
    <col min="11" max="11" width="7.140625" style="4" customWidth="1"/>
    <col min="12" max="12" width="30.42578125" style="4" customWidth="1"/>
    <col min="13" max="16384" width="11.42578125" style="4"/>
  </cols>
  <sheetData>
    <row r="1" spans="1:15" ht="12.75" customHeight="1" x14ac:dyDescent="0.2">
      <c r="A1" s="314"/>
      <c r="B1" s="315"/>
      <c r="C1" s="320" t="s">
        <v>290</v>
      </c>
      <c r="D1" s="321"/>
      <c r="E1" s="321"/>
      <c r="F1" s="321"/>
      <c r="G1" s="321"/>
      <c r="H1" s="321"/>
      <c r="I1" s="326" t="s">
        <v>241</v>
      </c>
      <c r="J1" s="326"/>
      <c r="K1" s="88"/>
    </row>
    <row r="2" spans="1:15" ht="16.5" customHeight="1" x14ac:dyDescent="0.2">
      <c r="A2" s="316"/>
      <c r="B2" s="317"/>
      <c r="C2" s="322"/>
      <c r="D2" s="323"/>
      <c r="E2" s="323"/>
      <c r="F2" s="323"/>
      <c r="G2" s="323"/>
      <c r="H2" s="323"/>
      <c r="I2" s="326" t="s">
        <v>242</v>
      </c>
      <c r="J2" s="326"/>
      <c r="K2" s="88"/>
    </row>
    <row r="3" spans="1:15" ht="15.75" customHeight="1" x14ac:dyDescent="0.2">
      <c r="A3" s="316"/>
      <c r="B3" s="317"/>
      <c r="C3" s="322"/>
      <c r="D3" s="323"/>
      <c r="E3" s="323"/>
      <c r="F3" s="323"/>
      <c r="G3" s="323"/>
      <c r="H3" s="323"/>
      <c r="I3" s="326" t="s">
        <v>243</v>
      </c>
      <c r="J3" s="326"/>
      <c r="K3" s="88"/>
    </row>
    <row r="4" spans="1:15" ht="15.75" customHeight="1" x14ac:dyDescent="0.2">
      <c r="A4" s="316"/>
      <c r="B4" s="317"/>
      <c r="C4" s="322"/>
      <c r="D4" s="323"/>
      <c r="E4" s="323"/>
      <c r="F4" s="323"/>
      <c r="G4" s="323"/>
      <c r="H4" s="323"/>
      <c r="I4" s="326" t="s">
        <v>244</v>
      </c>
      <c r="J4" s="326"/>
      <c r="K4" s="88"/>
    </row>
    <row r="5" spans="1:15" ht="15.75" customHeight="1" x14ac:dyDescent="0.2">
      <c r="A5" s="316"/>
      <c r="B5" s="317"/>
      <c r="C5" s="324"/>
      <c r="D5" s="325"/>
      <c r="E5" s="325"/>
      <c r="F5" s="325"/>
      <c r="G5" s="325"/>
      <c r="H5" s="325"/>
      <c r="I5" s="326" t="s">
        <v>245</v>
      </c>
      <c r="J5" s="326"/>
      <c r="K5" s="88"/>
    </row>
    <row r="6" spans="1:15" x14ac:dyDescent="0.2">
      <c r="A6" s="316"/>
      <c r="B6" s="317"/>
      <c r="C6" s="327" t="s">
        <v>246</v>
      </c>
      <c r="D6" s="328"/>
      <c r="E6" s="328"/>
      <c r="F6" s="333" t="s">
        <v>247</v>
      </c>
      <c r="G6" s="334"/>
      <c r="H6" s="334"/>
      <c r="I6" s="335" t="s">
        <v>248</v>
      </c>
      <c r="J6" s="336"/>
      <c r="K6" s="88"/>
    </row>
    <row r="7" spans="1:15" s="13" customFormat="1" ht="19.5" customHeight="1" x14ac:dyDescent="0.25">
      <c r="A7" s="316"/>
      <c r="B7" s="317"/>
      <c r="C7" s="329"/>
      <c r="D7" s="330"/>
      <c r="E7" s="330"/>
      <c r="F7" s="334"/>
      <c r="G7" s="334"/>
      <c r="H7" s="334"/>
      <c r="I7" s="336"/>
      <c r="J7" s="336"/>
      <c r="K7" s="89"/>
    </row>
    <row r="8" spans="1:15" ht="15" customHeight="1" x14ac:dyDescent="0.2">
      <c r="A8" s="318"/>
      <c r="B8" s="319"/>
      <c r="C8" s="331"/>
      <c r="D8" s="332"/>
      <c r="E8" s="332"/>
      <c r="F8" s="334"/>
      <c r="G8" s="334"/>
      <c r="H8" s="334"/>
      <c r="I8" s="336"/>
      <c r="J8" s="336"/>
      <c r="K8" s="90"/>
    </row>
    <row r="9" spans="1:15" ht="13.5" customHeight="1" x14ac:dyDescent="0.25">
      <c r="A9" s="300" t="s">
        <v>7</v>
      </c>
      <c r="B9" s="300"/>
      <c r="C9" s="251" t="s">
        <v>291</v>
      </c>
      <c r="D9" s="251"/>
      <c r="E9" s="251"/>
      <c r="F9" s="251"/>
      <c r="G9" s="251"/>
      <c r="H9" s="157"/>
      <c r="I9" s="157"/>
      <c r="J9" s="158"/>
      <c r="K9" s="77"/>
    </row>
    <row r="10" spans="1:15" s="6" customFormat="1" ht="14.25" customHeight="1" x14ac:dyDescent="0.25">
      <c r="A10" s="300" t="s">
        <v>8</v>
      </c>
      <c r="B10" s="300"/>
      <c r="C10" s="170">
        <f>C25</f>
        <v>411534765.69657493</v>
      </c>
      <c r="D10" s="159"/>
      <c r="E10" s="160"/>
      <c r="F10" s="160"/>
      <c r="G10" s="160"/>
      <c r="H10" s="301" t="s">
        <v>241</v>
      </c>
      <c r="I10" s="301"/>
      <c r="J10" s="192" t="s">
        <v>292</v>
      </c>
    </row>
    <row r="11" spans="1:15" s="6" customFormat="1" ht="15" x14ac:dyDescent="0.25">
      <c r="A11" s="300" t="s">
        <v>151</v>
      </c>
      <c r="B11" s="300"/>
      <c r="C11" s="170">
        <v>0</v>
      </c>
      <c r="D11" s="161"/>
      <c r="E11" s="162"/>
      <c r="F11" s="162"/>
      <c r="G11" s="162"/>
      <c r="H11" s="162"/>
      <c r="I11" s="162"/>
      <c r="J11" s="162"/>
    </row>
    <row r="12" spans="1:15" s="6" customFormat="1" ht="15" x14ac:dyDescent="0.25">
      <c r="A12" s="300" t="s">
        <v>152</v>
      </c>
      <c r="B12" s="300"/>
      <c r="C12" s="171">
        <f>C10</f>
        <v>411534765.69657493</v>
      </c>
      <c r="D12" s="163"/>
      <c r="E12" s="162"/>
      <c r="F12" s="162"/>
      <c r="G12" s="162"/>
      <c r="H12" s="162"/>
      <c r="I12" s="162"/>
      <c r="J12" s="162"/>
    </row>
    <row r="13" spans="1:15" s="5" customFormat="1" ht="14.25" thickBot="1" x14ac:dyDescent="0.3">
      <c r="A13" s="310" t="s">
        <v>12</v>
      </c>
      <c r="B13" s="310"/>
      <c r="C13" s="164"/>
      <c r="D13" s="98"/>
      <c r="E13" s="98"/>
      <c r="F13" s="98"/>
      <c r="G13" s="98"/>
      <c r="H13" s="98"/>
      <c r="I13" s="98"/>
      <c r="J13" s="82" t="s">
        <v>13</v>
      </c>
    </row>
    <row r="14" spans="1:15" s="9" customFormat="1" ht="13.5" customHeight="1" x14ac:dyDescent="0.2">
      <c r="A14" s="311" t="s">
        <v>50</v>
      </c>
      <c r="B14" s="308" t="s">
        <v>1</v>
      </c>
      <c r="C14" s="308" t="s">
        <v>155</v>
      </c>
      <c r="D14" s="308" t="s">
        <v>11</v>
      </c>
      <c r="E14" s="313" t="s">
        <v>0</v>
      </c>
      <c r="F14" s="313"/>
      <c r="G14" s="313"/>
      <c r="H14" s="308" t="s">
        <v>51</v>
      </c>
      <c r="I14" s="308" t="s">
        <v>52</v>
      </c>
      <c r="J14" s="298" t="s">
        <v>3</v>
      </c>
      <c r="L14" s="307" t="s">
        <v>258</v>
      </c>
      <c r="M14" s="307"/>
      <c r="N14" s="307"/>
      <c r="O14" s="307"/>
    </row>
    <row r="15" spans="1:15" s="9" customFormat="1" ht="27.75" customHeight="1" thickBot="1" x14ac:dyDescent="0.25">
      <c r="A15" s="312"/>
      <c r="B15" s="309"/>
      <c r="C15" s="309"/>
      <c r="D15" s="309"/>
      <c r="E15" s="91" t="s">
        <v>2</v>
      </c>
      <c r="F15" s="91" t="s">
        <v>6</v>
      </c>
      <c r="G15" s="91" t="s">
        <v>138</v>
      </c>
      <c r="H15" s="309"/>
      <c r="I15" s="309"/>
      <c r="J15" s="299"/>
      <c r="L15" s="9">
        <v>1</v>
      </c>
      <c r="M15" s="9">
        <v>2</v>
      </c>
      <c r="N15" s="9">
        <v>3</v>
      </c>
      <c r="O15" s="9">
        <v>4</v>
      </c>
    </row>
    <row r="16" spans="1:15" s="9" customFormat="1" ht="79.5" thickBot="1" x14ac:dyDescent="0.25">
      <c r="A16" s="65">
        <v>1</v>
      </c>
      <c r="B16" s="179" t="s">
        <v>293</v>
      </c>
      <c r="C16" s="204">
        <f>PTOXACTIV!C53</f>
        <v>79445802.132648319</v>
      </c>
      <c r="D16" s="180" t="s">
        <v>162</v>
      </c>
      <c r="E16" s="190" t="s">
        <v>249</v>
      </c>
      <c r="F16" s="190" t="s">
        <v>66</v>
      </c>
      <c r="G16" s="191">
        <v>11</v>
      </c>
      <c r="H16" s="180" t="s">
        <v>300</v>
      </c>
      <c r="I16" s="185">
        <v>1</v>
      </c>
      <c r="J16" s="181" t="s">
        <v>250</v>
      </c>
    </row>
    <row r="17" spans="1:14" s="9" customFormat="1" ht="90" customHeight="1" thickBot="1" x14ac:dyDescent="0.3">
      <c r="A17" s="302">
        <v>2</v>
      </c>
      <c r="B17" s="304" t="s">
        <v>297</v>
      </c>
      <c r="C17" s="278">
        <f>PTOXACTIV!D53</f>
        <v>78112468.799314976</v>
      </c>
      <c r="D17" s="280" t="s">
        <v>162</v>
      </c>
      <c r="E17" s="296" t="s">
        <v>249</v>
      </c>
      <c r="F17" s="296" t="s">
        <v>66</v>
      </c>
      <c r="G17" s="305">
        <v>11</v>
      </c>
      <c r="H17" s="180" t="s">
        <v>299</v>
      </c>
      <c r="I17" s="185">
        <v>0.8</v>
      </c>
      <c r="J17" s="181" t="s">
        <v>298</v>
      </c>
      <c r="L17" s="250">
        <f>3/I17</f>
        <v>3.75</v>
      </c>
      <c r="M17" s="248"/>
      <c r="N17" s="248"/>
    </row>
    <row r="18" spans="1:14" s="9" customFormat="1" ht="57" thickBot="1" x14ac:dyDescent="0.3">
      <c r="A18" s="303"/>
      <c r="B18" s="287"/>
      <c r="C18" s="279"/>
      <c r="D18" s="281"/>
      <c r="E18" s="297"/>
      <c r="F18" s="297"/>
      <c r="G18" s="306"/>
      <c r="H18" s="258" t="s">
        <v>301</v>
      </c>
      <c r="I18" s="260">
        <v>49</v>
      </c>
      <c r="J18" s="181" t="s">
        <v>298</v>
      </c>
      <c r="L18" s="250"/>
      <c r="M18" s="248"/>
      <c r="N18" s="248"/>
    </row>
    <row r="19" spans="1:14" s="9" customFormat="1" ht="56.25" x14ac:dyDescent="0.2">
      <c r="A19" s="65">
        <v>3</v>
      </c>
      <c r="B19" s="256" t="s">
        <v>294</v>
      </c>
      <c r="C19" s="257">
        <f>PTOXACTIV!E53</f>
        <v>75284437.192648321</v>
      </c>
      <c r="D19" s="258" t="s">
        <v>162</v>
      </c>
      <c r="E19" s="259" t="s">
        <v>249</v>
      </c>
      <c r="F19" s="259" t="s">
        <v>66</v>
      </c>
      <c r="G19" s="182">
        <v>11</v>
      </c>
      <c r="H19" s="183" t="s">
        <v>302</v>
      </c>
      <c r="I19" s="184">
        <v>9</v>
      </c>
      <c r="J19" s="181" t="s">
        <v>298</v>
      </c>
      <c r="L19" s="249"/>
      <c r="M19" s="249"/>
      <c r="N19" s="249"/>
    </row>
    <row r="20" spans="1:14" s="5" customFormat="1" ht="45" customHeight="1" x14ac:dyDescent="0.15">
      <c r="A20" s="282">
        <v>4</v>
      </c>
      <c r="B20" s="285" t="s">
        <v>295</v>
      </c>
      <c r="C20" s="288">
        <f>PTOXACTIV!F53</f>
        <v>73951103.859314978</v>
      </c>
      <c r="D20" s="290" t="s">
        <v>162</v>
      </c>
      <c r="E20" s="293" t="s">
        <v>249</v>
      </c>
      <c r="F20" s="293" t="s">
        <v>66</v>
      </c>
      <c r="G20" s="275">
        <v>11</v>
      </c>
      <c r="H20" s="183" t="s">
        <v>303</v>
      </c>
      <c r="I20" s="184">
        <v>27</v>
      </c>
      <c r="J20" s="189" t="s">
        <v>251</v>
      </c>
      <c r="K20" s="9"/>
      <c r="L20" s="11">
        <v>0</v>
      </c>
      <c r="M20" s="11"/>
      <c r="N20" s="11"/>
    </row>
    <row r="21" spans="1:14" s="5" customFormat="1" ht="78.75" x14ac:dyDescent="0.15">
      <c r="A21" s="283"/>
      <c r="B21" s="286"/>
      <c r="C21" s="289"/>
      <c r="D21" s="291"/>
      <c r="E21" s="294"/>
      <c r="F21" s="294"/>
      <c r="G21" s="276"/>
      <c r="H21" s="183" t="s">
        <v>304</v>
      </c>
      <c r="I21" s="184">
        <v>1</v>
      </c>
      <c r="J21" s="189" t="s">
        <v>298</v>
      </c>
      <c r="K21" s="9"/>
      <c r="L21" s="11"/>
      <c r="M21" s="11"/>
      <c r="N21" s="11"/>
    </row>
    <row r="22" spans="1:14" s="5" customFormat="1" ht="56.25" x14ac:dyDescent="0.15">
      <c r="A22" s="284"/>
      <c r="B22" s="287"/>
      <c r="C22" s="279"/>
      <c r="D22" s="292"/>
      <c r="E22" s="295"/>
      <c r="F22" s="295"/>
      <c r="G22" s="277"/>
      <c r="H22" s="183" t="s">
        <v>305</v>
      </c>
      <c r="I22" s="184">
        <v>1</v>
      </c>
      <c r="J22" s="189" t="s">
        <v>298</v>
      </c>
      <c r="K22" s="9"/>
      <c r="L22" s="11"/>
      <c r="M22" s="11"/>
      <c r="N22" s="11"/>
    </row>
    <row r="23" spans="1:14" s="5" customFormat="1" ht="33.75" x14ac:dyDescent="0.15">
      <c r="A23" s="66">
        <v>5</v>
      </c>
      <c r="B23" s="186" t="s">
        <v>296</v>
      </c>
      <c r="C23" s="205">
        <f>+PTOXACTIV!G53</f>
        <v>104740953.71264833</v>
      </c>
      <c r="D23" s="187" t="s">
        <v>162</v>
      </c>
      <c r="E23" s="188" t="s">
        <v>249</v>
      </c>
      <c r="F23" s="188" t="s">
        <v>66</v>
      </c>
      <c r="G23" s="182">
        <v>11</v>
      </c>
      <c r="H23" s="183" t="s">
        <v>163</v>
      </c>
      <c r="I23" s="184">
        <v>5</v>
      </c>
      <c r="J23" s="189" t="s">
        <v>298</v>
      </c>
      <c r="K23" s="9"/>
      <c r="L23" s="40">
        <v>0</v>
      </c>
      <c r="M23" s="40"/>
      <c r="N23" s="40"/>
    </row>
    <row r="24" spans="1:14" s="5" customFormat="1" ht="13.5" x14ac:dyDescent="0.15">
      <c r="A24" s="173"/>
      <c r="B24" s="174"/>
      <c r="C24" s="175"/>
      <c r="D24" s="174"/>
      <c r="E24" s="176"/>
      <c r="F24" s="176"/>
      <c r="G24" s="177"/>
      <c r="H24" s="68"/>
      <c r="I24" s="152"/>
      <c r="J24" s="174"/>
      <c r="K24" s="9"/>
      <c r="L24" s="40"/>
      <c r="M24" s="40"/>
      <c r="N24" s="40"/>
    </row>
    <row r="25" spans="1:14" s="5" customFormat="1" ht="11.25" customHeight="1" x14ac:dyDescent="0.15">
      <c r="A25" s="61"/>
      <c r="B25" s="153"/>
      <c r="C25" s="205">
        <f>SUM(C16:C24)</f>
        <v>411534765.69657493</v>
      </c>
      <c r="D25" s="154"/>
      <c r="E25" s="155"/>
      <c r="F25" s="155"/>
      <c r="G25" s="62"/>
      <c r="H25" s="153"/>
      <c r="I25" s="154"/>
      <c r="J25" s="156"/>
      <c r="K25" s="9"/>
      <c r="L25" s="40"/>
      <c r="M25" s="40"/>
      <c r="N25" s="40"/>
    </row>
    <row r="26" spans="1:14" s="5" customFormat="1" x14ac:dyDescent="0.2">
      <c r="A26" s="4"/>
      <c r="B26" s="49"/>
      <c r="C26" s="49"/>
      <c r="D26" s="4"/>
      <c r="E26" s="4"/>
      <c r="F26" s="4"/>
      <c r="G26" s="4"/>
      <c r="H26" s="4"/>
      <c r="I26" s="4"/>
      <c r="J26" s="4"/>
      <c r="K26" s="40"/>
    </row>
    <row r="27" spans="1:14" s="5" customFormat="1" ht="11.25" x14ac:dyDescent="0.15">
      <c r="B27" s="50"/>
      <c r="C27" s="50"/>
      <c r="K27" s="40"/>
    </row>
    <row r="28" spans="1:14" s="5" customFormat="1" ht="11.25" x14ac:dyDescent="0.15">
      <c r="B28" s="50"/>
      <c r="C28" s="50"/>
    </row>
    <row r="29" spans="1:14" s="5" customFormat="1" ht="11.25" x14ac:dyDescent="0.15">
      <c r="B29" s="50"/>
      <c r="C29" s="50"/>
    </row>
    <row r="30" spans="1:14" s="5" customFormat="1" ht="11.25" x14ac:dyDescent="0.15">
      <c r="B30" s="50"/>
      <c r="C30" s="50"/>
    </row>
    <row r="31" spans="1:14" s="5" customFormat="1" ht="11.25" x14ac:dyDescent="0.15"/>
    <row r="32" spans="1:14" s="5" customFormat="1" ht="11.25" x14ac:dyDescent="0.15"/>
    <row r="33" s="5" customFormat="1" ht="11.25" x14ac:dyDescent="0.15"/>
    <row r="34" s="5" customFormat="1" ht="11.25" x14ac:dyDescent="0.15"/>
    <row r="35" s="5" customFormat="1" ht="11.25" x14ac:dyDescent="0.15"/>
    <row r="36" s="5" customFormat="1" ht="11.25" x14ac:dyDescent="0.15"/>
    <row r="37" s="5" customFormat="1" ht="11.25" x14ac:dyDescent="0.15"/>
    <row r="38" s="5" customFormat="1" ht="11.25" x14ac:dyDescent="0.15"/>
    <row r="39" s="5" customFormat="1" ht="11.25" x14ac:dyDescent="0.15"/>
    <row r="40" s="5" customFormat="1" ht="11.25" x14ac:dyDescent="0.15"/>
    <row r="41" s="5" customFormat="1" ht="11.25" x14ac:dyDescent="0.15"/>
    <row r="42" s="5" customFormat="1" ht="11.25" x14ac:dyDescent="0.15"/>
    <row r="43" s="5" customFormat="1" ht="11.25" x14ac:dyDescent="0.15"/>
    <row r="44" s="5" customFormat="1" ht="11.25" x14ac:dyDescent="0.15"/>
    <row r="45" s="5" customFormat="1" ht="11.25" x14ac:dyDescent="0.15"/>
    <row r="46" s="5" customFormat="1" ht="11.25" x14ac:dyDescent="0.15"/>
    <row r="47" s="5" customFormat="1" ht="11.25" x14ac:dyDescent="0.15"/>
    <row r="48" s="5" customFormat="1" ht="11.25" x14ac:dyDescent="0.15"/>
    <row r="49" s="5" customFormat="1" ht="11.25" x14ac:dyDescent="0.15"/>
    <row r="50" s="5" customFormat="1" ht="11.25" x14ac:dyDescent="0.15"/>
    <row r="51" s="5" customFormat="1" ht="11.25" x14ac:dyDescent="0.15"/>
    <row r="52" s="5" customFormat="1" ht="11.25" x14ac:dyDescent="0.15"/>
    <row r="53" s="5" customFormat="1" ht="11.25" x14ac:dyDescent="0.15"/>
    <row r="54" s="5" customFormat="1" ht="11.25" x14ac:dyDescent="0.15"/>
    <row r="55" s="5" customFormat="1" ht="11.25" x14ac:dyDescent="0.15"/>
    <row r="56" s="5" customFormat="1" ht="11.25" x14ac:dyDescent="0.15"/>
    <row r="57" s="5" customFormat="1" ht="11.25" x14ac:dyDescent="0.15"/>
    <row r="58" s="5" customFormat="1" ht="11.25" x14ac:dyDescent="0.15"/>
    <row r="59" s="5" customFormat="1" ht="11.25" x14ac:dyDescent="0.15"/>
    <row r="60" s="5" customFormat="1" ht="11.25" x14ac:dyDescent="0.15"/>
    <row r="61" s="5" customFormat="1" ht="11.25" x14ac:dyDescent="0.15"/>
  </sheetData>
  <mergeCells count="39">
    <mergeCell ref="A1:B8"/>
    <mergeCell ref="C1:H5"/>
    <mergeCell ref="I5:J5"/>
    <mergeCell ref="H14:H15"/>
    <mergeCell ref="I14:I15"/>
    <mergeCell ref="C6:E8"/>
    <mergeCell ref="F6:H8"/>
    <mergeCell ref="I6:J8"/>
    <mergeCell ref="I1:J1"/>
    <mergeCell ref="I2:J2"/>
    <mergeCell ref="I3:J3"/>
    <mergeCell ref="I4:J4"/>
    <mergeCell ref="L14:O14"/>
    <mergeCell ref="C14:C15"/>
    <mergeCell ref="A11:B11"/>
    <mergeCell ref="A9:B9"/>
    <mergeCell ref="A12:B12"/>
    <mergeCell ref="A13:B13"/>
    <mergeCell ref="A14:A15"/>
    <mergeCell ref="E14:G14"/>
    <mergeCell ref="B14:B15"/>
    <mergeCell ref="D14:D15"/>
    <mergeCell ref="J14:J15"/>
    <mergeCell ref="A10:B10"/>
    <mergeCell ref="H10:I10"/>
    <mergeCell ref="A17:A18"/>
    <mergeCell ref="B17:B18"/>
    <mergeCell ref="G17:G18"/>
    <mergeCell ref="G20:G22"/>
    <mergeCell ref="C17:C18"/>
    <mergeCell ref="D17:D18"/>
    <mergeCell ref="A20:A22"/>
    <mergeCell ref="B20:B22"/>
    <mergeCell ref="C20:C22"/>
    <mergeCell ref="D20:D22"/>
    <mergeCell ref="E20:E22"/>
    <mergeCell ref="F20:F22"/>
    <mergeCell ref="E17:E18"/>
    <mergeCell ref="F17:F1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opLeftCell="A8" workbookViewId="0">
      <selection activeCell="I18" sqref="I18"/>
    </sheetView>
  </sheetViews>
  <sheetFormatPr baseColWidth="10" defaultRowHeight="12.75" x14ac:dyDescent="0.2"/>
  <cols>
    <col min="1" max="1" width="5.28515625" style="14" customWidth="1"/>
    <col min="2" max="2" width="24.42578125" style="14" customWidth="1"/>
    <col min="3" max="3" width="12.7109375" style="14" customWidth="1"/>
    <col min="4" max="4" width="45.7109375" style="14" customWidth="1"/>
    <col min="5" max="5" width="12.5703125" style="14" customWidth="1"/>
    <col min="6" max="6" width="11.140625" style="14" customWidth="1"/>
    <col min="7" max="7" width="8.85546875" style="14" customWidth="1"/>
    <col min="8" max="8" width="11.42578125" style="14"/>
    <col min="9" max="9" width="12.85546875" style="14" customWidth="1"/>
    <col min="10" max="10" width="19.28515625" style="14" customWidth="1"/>
    <col min="11" max="11" width="8.28515625" style="14" customWidth="1"/>
    <col min="12" max="12" width="21.140625" style="14" customWidth="1"/>
    <col min="13" max="16384" width="11.42578125" style="14"/>
  </cols>
  <sheetData>
    <row r="1" spans="1:11" s="4" customFormat="1" ht="12.75" customHeight="1" x14ac:dyDescent="0.2">
      <c r="A1" s="314"/>
      <c r="B1" s="315"/>
      <c r="C1" s="320" t="str">
        <f>+'POA-01'!C1:H5</f>
        <v>PLAN OPERATIVO ANUAL DE INVERSIONES - POAI - 2013</v>
      </c>
      <c r="D1" s="321"/>
      <c r="E1" s="321"/>
      <c r="F1" s="321"/>
      <c r="G1" s="321"/>
      <c r="H1" s="321"/>
      <c r="I1" s="326" t="s">
        <v>241</v>
      </c>
      <c r="J1" s="326"/>
      <c r="K1" s="88"/>
    </row>
    <row r="2" spans="1:11" s="4" customFormat="1" ht="16.5" customHeight="1" x14ac:dyDescent="0.2">
      <c r="A2" s="316"/>
      <c r="B2" s="317"/>
      <c r="C2" s="322"/>
      <c r="D2" s="323"/>
      <c r="E2" s="323"/>
      <c r="F2" s="323"/>
      <c r="G2" s="323"/>
      <c r="H2" s="323"/>
      <c r="I2" s="326" t="s">
        <v>242</v>
      </c>
      <c r="J2" s="326"/>
      <c r="K2" s="88"/>
    </row>
    <row r="3" spans="1:11" s="4" customFormat="1" ht="15.75" customHeight="1" x14ac:dyDescent="0.2">
      <c r="A3" s="316"/>
      <c r="B3" s="317"/>
      <c r="C3" s="322"/>
      <c r="D3" s="323"/>
      <c r="E3" s="323"/>
      <c r="F3" s="323"/>
      <c r="G3" s="323"/>
      <c r="H3" s="323"/>
      <c r="I3" s="326" t="s">
        <v>243</v>
      </c>
      <c r="J3" s="326"/>
      <c r="K3" s="88"/>
    </row>
    <row r="4" spans="1:11" s="4" customFormat="1" ht="15.75" customHeight="1" x14ac:dyDescent="0.2">
      <c r="A4" s="316"/>
      <c r="B4" s="317"/>
      <c r="C4" s="322"/>
      <c r="D4" s="323"/>
      <c r="E4" s="323"/>
      <c r="F4" s="323"/>
      <c r="G4" s="323"/>
      <c r="H4" s="323"/>
      <c r="I4" s="326" t="s">
        <v>244</v>
      </c>
      <c r="J4" s="326"/>
      <c r="K4" s="88"/>
    </row>
    <row r="5" spans="1:11" s="4" customFormat="1" ht="15.75" customHeight="1" x14ac:dyDescent="0.2">
      <c r="A5" s="316"/>
      <c r="B5" s="317"/>
      <c r="C5" s="324"/>
      <c r="D5" s="325"/>
      <c r="E5" s="325"/>
      <c r="F5" s="325"/>
      <c r="G5" s="325"/>
      <c r="H5" s="325"/>
      <c r="I5" s="326" t="s">
        <v>245</v>
      </c>
      <c r="J5" s="326"/>
      <c r="K5" s="88"/>
    </row>
    <row r="6" spans="1:11" s="4" customFormat="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s="4" customFormat="1" ht="15" customHeight="1" x14ac:dyDescent="0.2">
      <c r="A8" s="318"/>
      <c r="B8" s="319"/>
      <c r="C8" s="331"/>
      <c r="D8" s="332"/>
      <c r="E8" s="332"/>
      <c r="F8" s="334"/>
      <c r="G8" s="334"/>
      <c r="H8" s="334"/>
      <c r="I8" s="336"/>
      <c r="J8" s="336"/>
      <c r="K8" s="90"/>
    </row>
    <row r="9" spans="1:11" ht="15.75" customHeight="1" x14ac:dyDescent="0.3">
      <c r="A9" s="348" t="s">
        <v>7</v>
      </c>
      <c r="B9" s="348"/>
      <c r="C9" s="340" t="str">
        <f>+'POA-01'!C9</f>
        <v>MONITOREO DE LA CALIDAD DEL RECURSO HÍDRICO</v>
      </c>
      <c r="D9" s="340"/>
      <c r="E9" s="178"/>
      <c r="F9" s="178"/>
      <c r="G9" s="178"/>
      <c r="H9" s="178"/>
      <c r="I9" s="79" t="s">
        <v>118</v>
      </c>
      <c r="J9" s="193" t="str">
        <f>+'POA-01'!J10</f>
        <v>0530-0904-2</v>
      </c>
      <c r="K9" s="78"/>
    </row>
    <row r="10" spans="1:11" ht="16.5" x14ac:dyDescent="0.3">
      <c r="A10" s="347" t="s">
        <v>8</v>
      </c>
      <c r="B10" s="347"/>
      <c r="C10" s="235">
        <f>+'POA-01'!C10</f>
        <v>411534765.69657493</v>
      </c>
      <c r="D10" s="80"/>
      <c r="E10" s="80"/>
      <c r="F10" s="80"/>
      <c r="G10" s="80"/>
      <c r="H10" s="80"/>
      <c r="I10" s="80"/>
      <c r="J10" s="70"/>
    </row>
    <row r="11" spans="1:11" ht="16.5" x14ac:dyDescent="0.3">
      <c r="A11" s="347" t="s">
        <v>153</v>
      </c>
      <c r="B11" s="347"/>
      <c r="C11" s="236">
        <f>'POA-01'!D11</f>
        <v>0</v>
      </c>
      <c r="D11" s="80"/>
      <c r="E11" s="80"/>
      <c r="F11" s="80"/>
      <c r="G11" s="80"/>
      <c r="H11" s="80"/>
      <c r="I11" s="80"/>
      <c r="J11" s="70"/>
    </row>
    <row r="12" spans="1:11" ht="16.5" x14ac:dyDescent="0.3">
      <c r="A12" s="347" t="s">
        <v>152</v>
      </c>
      <c r="B12" s="347"/>
      <c r="C12" s="237">
        <f>C10</f>
        <v>411534765.69657493</v>
      </c>
      <c r="D12" s="80"/>
      <c r="E12" s="80"/>
      <c r="F12" s="80"/>
      <c r="G12" s="80"/>
      <c r="H12" s="80"/>
      <c r="I12" s="80"/>
      <c r="J12" s="70"/>
    </row>
    <row r="13" spans="1:11" x14ac:dyDescent="0.2">
      <c r="A13" s="63"/>
      <c r="B13" s="63"/>
      <c r="C13" s="63"/>
      <c r="D13" s="63"/>
      <c r="E13" s="63"/>
      <c r="F13" s="63"/>
      <c r="G13" s="63"/>
      <c r="H13" s="63"/>
      <c r="I13" s="63"/>
      <c r="J13" s="63"/>
    </row>
    <row r="14" spans="1:11" ht="14.25" thickBot="1" x14ac:dyDescent="0.3">
      <c r="A14" s="81" t="s">
        <v>20</v>
      </c>
      <c r="B14" s="81"/>
      <c r="C14" s="81"/>
      <c r="D14" s="81"/>
      <c r="E14" s="81"/>
      <c r="F14" s="81"/>
      <c r="G14" s="81"/>
      <c r="H14" s="81"/>
      <c r="I14" s="81"/>
      <c r="J14" s="82" t="s">
        <v>21</v>
      </c>
    </row>
    <row r="15" spans="1:11" x14ac:dyDescent="0.2">
      <c r="A15" s="349" t="s">
        <v>50</v>
      </c>
      <c r="B15" s="341" t="s">
        <v>14</v>
      </c>
      <c r="C15" s="341" t="s">
        <v>15</v>
      </c>
      <c r="D15" s="341" t="s">
        <v>16</v>
      </c>
      <c r="E15" s="341" t="s">
        <v>0</v>
      </c>
      <c r="F15" s="341"/>
      <c r="G15" s="341"/>
      <c r="H15" s="341"/>
      <c r="I15" s="338" t="s">
        <v>25</v>
      </c>
      <c r="J15" s="343" t="s">
        <v>18</v>
      </c>
    </row>
    <row r="16" spans="1:11" ht="18" x14ac:dyDescent="0.2">
      <c r="A16" s="350"/>
      <c r="B16" s="342"/>
      <c r="C16" s="342"/>
      <c r="D16" s="342"/>
      <c r="E16" s="172" t="s">
        <v>2</v>
      </c>
      <c r="F16" s="172" t="s">
        <v>4</v>
      </c>
      <c r="G16" s="172" t="s">
        <v>5</v>
      </c>
      <c r="H16" s="172" t="s">
        <v>24</v>
      </c>
      <c r="I16" s="339"/>
      <c r="J16" s="344"/>
    </row>
    <row r="17" spans="1:12" x14ac:dyDescent="0.2">
      <c r="A17" s="337" t="s">
        <v>22</v>
      </c>
      <c r="B17" s="337"/>
      <c r="C17" s="337"/>
      <c r="D17" s="337"/>
      <c r="E17" s="337"/>
      <c r="F17" s="337"/>
      <c r="G17" s="337"/>
      <c r="H17" s="337"/>
      <c r="I17" s="337"/>
      <c r="J17" s="337"/>
    </row>
    <row r="18" spans="1:12" ht="72" x14ac:dyDescent="0.2">
      <c r="A18" s="15">
        <v>1</v>
      </c>
      <c r="B18" s="15" t="s">
        <v>168</v>
      </c>
      <c r="C18" s="15" t="s">
        <v>170</v>
      </c>
      <c r="D18" s="243" t="s">
        <v>306</v>
      </c>
      <c r="E18" s="51" t="s">
        <v>57</v>
      </c>
      <c r="F18" s="51" t="s">
        <v>66</v>
      </c>
      <c r="G18" s="52">
        <v>10</v>
      </c>
      <c r="H18" s="1">
        <v>100</v>
      </c>
      <c r="I18" s="194">
        <f>4651344*1.06</f>
        <v>4930424.6400000006</v>
      </c>
      <c r="J18" s="83">
        <f>+I18*H18*G18/100</f>
        <v>49304246.400000006</v>
      </c>
    </row>
    <row r="19" spans="1:12" ht="264" hidden="1" x14ac:dyDescent="0.2">
      <c r="A19" s="15">
        <v>2</v>
      </c>
      <c r="B19" s="15" t="s">
        <v>168</v>
      </c>
      <c r="C19" s="15" t="s">
        <v>169</v>
      </c>
      <c r="D19" s="195" t="s">
        <v>175</v>
      </c>
      <c r="E19" s="51" t="s">
        <v>57</v>
      </c>
      <c r="F19" s="51" t="s">
        <v>66</v>
      </c>
      <c r="G19" s="52">
        <v>0</v>
      </c>
      <c r="H19" s="1">
        <v>100</v>
      </c>
      <c r="I19" s="194">
        <f>+I31</f>
        <v>3927001.75</v>
      </c>
      <c r="J19" s="83">
        <f t="shared" ref="J19:J26" si="0">+I19*H19*G19/100</f>
        <v>0</v>
      </c>
    </row>
    <row r="20" spans="1:12" hidden="1" x14ac:dyDescent="0.2">
      <c r="A20" s="15"/>
      <c r="B20" s="15"/>
      <c r="C20" s="15"/>
      <c r="D20" s="15"/>
      <c r="E20" s="15"/>
      <c r="F20" s="51"/>
      <c r="G20" s="52"/>
      <c r="H20" s="1"/>
      <c r="I20" s="194"/>
      <c r="J20" s="83">
        <f t="shared" si="0"/>
        <v>0</v>
      </c>
      <c r="L20" s="14" t="e">
        <f t="shared" ref="L20:L25" si="1">+J20/G20</f>
        <v>#DIV/0!</v>
      </c>
    </row>
    <row r="21" spans="1:12" hidden="1" x14ac:dyDescent="0.2">
      <c r="A21" s="15"/>
      <c r="B21" s="15"/>
      <c r="C21" s="15"/>
      <c r="D21" s="15"/>
      <c r="E21" s="15"/>
      <c r="F21" s="51"/>
      <c r="G21" s="52"/>
      <c r="H21" s="1"/>
      <c r="I21" s="194"/>
      <c r="J21" s="83">
        <f t="shared" si="0"/>
        <v>0</v>
      </c>
      <c r="L21" s="14" t="e">
        <f t="shared" si="1"/>
        <v>#DIV/0!</v>
      </c>
    </row>
    <row r="22" spans="1:12" hidden="1" x14ac:dyDescent="0.2">
      <c r="A22" s="15"/>
      <c r="B22" s="15"/>
      <c r="C22" s="15"/>
      <c r="D22" s="15"/>
      <c r="E22" s="15"/>
      <c r="F22" s="51"/>
      <c r="G22" s="52"/>
      <c r="H22" s="1"/>
      <c r="I22" s="194"/>
      <c r="J22" s="83">
        <f t="shared" si="0"/>
        <v>0</v>
      </c>
      <c r="L22" s="14" t="e">
        <f t="shared" si="1"/>
        <v>#DIV/0!</v>
      </c>
    </row>
    <row r="23" spans="1:12" hidden="1" x14ac:dyDescent="0.2">
      <c r="A23" s="15"/>
      <c r="B23" s="15"/>
      <c r="C23" s="15"/>
      <c r="D23" s="15"/>
      <c r="E23" s="15"/>
      <c r="F23" s="51"/>
      <c r="G23" s="52"/>
      <c r="H23" s="1"/>
      <c r="I23" s="194"/>
      <c r="J23" s="83">
        <f t="shared" si="0"/>
        <v>0</v>
      </c>
      <c r="L23" s="14" t="e">
        <f t="shared" si="1"/>
        <v>#DIV/0!</v>
      </c>
    </row>
    <row r="24" spans="1:12" hidden="1" x14ac:dyDescent="0.2">
      <c r="A24" s="1"/>
      <c r="B24" s="2"/>
      <c r="C24" s="2"/>
      <c r="D24" s="2"/>
      <c r="E24" s="2"/>
      <c r="F24" s="51"/>
      <c r="G24" s="52"/>
      <c r="H24" s="1"/>
      <c r="I24" s="194"/>
      <c r="J24" s="83">
        <f t="shared" si="0"/>
        <v>0</v>
      </c>
      <c r="L24" s="14" t="e">
        <f t="shared" si="1"/>
        <v>#DIV/0!</v>
      </c>
    </row>
    <row r="25" spans="1:12" hidden="1" x14ac:dyDescent="0.2">
      <c r="A25" s="1"/>
      <c r="B25" s="2"/>
      <c r="C25" s="2"/>
      <c r="D25" s="2"/>
      <c r="E25" s="2"/>
      <c r="F25" s="51"/>
      <c r="G25" s="52"/>
      <c r="H25" s="1"/>
      <c r="I25" s="194"/>
      <c r="J25" s="83">
        <f t="shared" si="0"/>
        <v>0</v>
      </c>
      <c r="L25" s="14" t="e">
        <f t="shared" si="1"/>
        <v>#DIV/0!</v>
      </c>
    </row>
    <row r="26" spans="1:12" hidden="1" x14ac:dyDescent="0.2">
      <c r="A26" s="1"/>
      <c r="B26" s="2"/>
      <c r="C26" s="2"/>
      <c r="D26" s="2"/>
      <c r="E26" s="2"/>
      <c r="F26" s="51"/>
      <c r="G26" s="52"/>
      <c r="H26" s="1"/>
      <c r="I26" s="194"/>
      <c r="J26" s="83">
        <f t="shared" si="0"/>
        <v>0</v>
      </c>
    </row>
    <row r="27" spans="1:12" ht="12.75" customHeight="1" x14ac:dyDescent="0.2">
      <c r="A27" s="351"/>
      <c r="B27" s="351"/>
      <c r="C27" s="351"/>
      <c r="D27" s="351"/>
      <c r="E27" s="351"/>
      <c r="F27" s="351"/>
      <c r="G27" s="351"/>
      <c r="H27" s="352"/>
      <c r="I27" s="3" t="s">
        <v>119</v>
      </c>
      <c r="J27" s="84">
        <f>SUM(J18:J26)</f>
        <v>49304246.400000006</v>
      </c>
    </row>
    <row r="28" spans="1:12" ht="12.75" customHeight="1" x14ac:dyDescent="0.2">
      <c r="A28" s="345" t="s">
        <v>23</v>
      </c>
      <c r="B28" s="345"/>
      <c r="C28" s="345"/>
      <c r="D28" s="345"/>
      <c r="E28" s="345"/>
      <c r="F28" s="345"/>
      <c r="G28" s="345"/>
      <c r="H28" s="346"/>
      <c r="I28" s="3"/>
      <c r="J28" s="84"/>
    </row>
    <row r="29" spans="1:12" ht="180.75" customHeight="1" x14ac:dyDescent="0.2">
      <c r="A29" s="1">
        <v>1</v>
      </c>
      <c r="B29" s="2" t="s">
        <v>164</v>
      </c>
      <c r="C29" s="2" t="s">
        <v>170</v>
      </c>
      <c r="D29" s="195" t="s">
        <v>172</v>
      </c>
      <c r="E29" s="2" t="s">
        <v>55</v>
      </c>
      <c r="F29" s="2" t="s">
        <v>60</v>
      </c>
      <c r="G29" s="2">
        <v>6</v>
      </c>
      <c r="H29" s="1">
        <v>100</v>
      </c>
      <c r="I29" s="196">
        <f>+J29/6</f>
        <v>4166343.4166666665</v>
      </c>
      <c r="J29" s="85">
        <f>49996121/2</f>
        <v>24998060.5</v>
      </c>
    </row>
    <row r="30" spans="1:12" ht="180.75" customHeight="1" x14ac:dyDescent="0.2">
      <c r="A30" s="1">
        <v>2</v>
      </c>
      <c r="B30" s="2" t="s">
        <v>330</v>
      </c>
      <c r="C30" s="2" t="s">
        <v>170</v>
      </c>
      <c r="D30" s="195" t="s">
        <v>331</v>
      </c>
      <c r="E30" s="2" t="s">
        <v>55</v>
      </c>
      <c r="F30" s="2" t="s">
        <v>60</v>
      </c>
      <c r="G30" s="2">
        <v>6</v>
      </c>
      <c r="H30" s="1">
        <v>100</v>
      </c>
      <c r="I30" s="196">
        <f>+J30/6</f>
        <v>4166343.4166666665</v>
      </c>
      <c r="J30" s="85">
        <f>49996121/2</f>
        <v>24998060.5</v>
      </c>
    </row>
    <row r="31" spans="1:12" ht="120" x14ac:dyDescent="0.2">
      <c r="A31" s="1">
        <v>3</v>
      </c>
      <c r="B31" s="2" t="s">
        <v>165</v>
      </c>
      <c r="C31" s="2" t="s">
        <v>169</v>
      </c>
      <c r="D31" s="195" t="s">
        <v>173</v>
      </c>
      <c r="E31" s="2" t="s">
        <v>55</v>
      </c>
      <c r="F31" s="2" t="s">
        <v>60</v>
      </c>
      <c r="G31" s="2">
        <v>6</v>
      </c>
      <c r="H31" s="1">
        <v>100</v>
      </c>
      <c r="I31" s="196">
        <f>+J31/6</f>
        <v>3927001.75</v>
      </c>
      <c r="J31" s="85">
        <f>47124021/2</f>
        <v>23562010.5</v>
      </c>
    </row>
    <row r="32" spans="1:12" ht="228" x14ac:dyDescent="0.2">
      <c r="A32" s="274">
        <v>4</v>
      </c>
      <c r="B32" s="234" t="s">
        <v>167</v>
      </c>
      <c r="C32" s="2" t="s">
        <v>171</v>
      </c>
      <c r="D32" s="195" t="s">
        <v>174</v>
      </c>
      <c r="E32" s="2" t="s">
        <v>55</v>
      </c>
      <c r="F32" s="2" t="s">
        <v>60</v>
      </c>
      <c r="G32" s="2">
        <v>6</v>
      </c>
      <c r="H32" s="1">
        <v>100</v>
      </c>
      <c r="I32" s="196">
        <f>+J32/6</f>
        <v>2539666</v>
      </c>
      <c r="J32" s="85">
        <f>30475992/2</f>
        <v>15237996</v>
      </c>
    </row>
    <row r="33" spans="1:10" ht="228" x14ac:dyDescent="0.2">
      <c r="A33" s="1">
        <v>5</v>
      </c>
      <c r="B33" s="2" t="s">
        <v>166</v>
      </c>
      <c r="C33" s="2" t="s">
        <v>171</v>
      </c>
      <c r="D33" s="195" t="s">
        <v>174</v>
      </c>
      <c r="E33" s="2" t="s">
        <v>55</v>
      </c>
      <c r="F33" s="2" t="s">
        <v>60</v>
      </c>
      <c r="G33" s="2">
        <v>6</v>
      </c>
      <c r="H33" s="1">
        <v>100</v>
      </c>
      <c r="I33" s="196">
        <f>+I32</f>
        <v>2539666</v>
      </c>
      <c r="J33" s="85">
        <f>+I33*H33*G33/100</f>
        <v>15237996</v>
      </c>
    </row>
    <row r="34" spans="1:10" x14ac:dyDescent="0.2">
      <c r="A34" s="53"/>
      <c r="B34" s="12"/>
      <c r="C34" s="12"/>
      <c r="D34" s="54"/>
      <c r="E34" s="12"/>
      <c r="F34" s="12"/>
      <c r="G34" s="12"/>
      <c r="H34" s="53"/>
      <c r="I34" s="3" t="s">
        <v>119</v>
      </c>
      <c r="J34" s="86">
        <f>SUM(J29:J33)</f>
        <v>104034123.5</v>
      </c>
    </row>
    <row r="35" spans="1:10" ht="8.1" customHeight="1" x14ac:dyDescent="0.2">
      <c r="A35" s="55"/>
      <c r="B35" s="56"/>
      <c r="C35" s="56"/>
      <c r="D35" s="56"/>
      <c r="E35" s="56"/>
      <c r="F35" s="56"/>
      <c r="G35" s="56"/>
      <c r="H35" s="56"/>
      <c r="I35" s="55"/>
      <c r="J35" s="55"/>
    </row>
    <row r="36" spans="1:10" x14ac:dyDescent="0.2">
      <c r="A36" s="55"/>
      <c r="B36" s="55"/>
      <c r="C36" s="55"/>
      <c r="D36" s="55"/>
      <c r="E36" s="55"/>
      <c r="F36" s="55"/>
      <c r="G36" s="55"/>
      <c r="H36" s="55"/>
      <c r="I36" s="57" t="s">
        <v>31</v>
      </c>
      <c r="J36" s="87">
        <f>+J27+J34</f>
        <v>153338369.90000001</v>
      </c>
    </row>
  </sheetData>
  <mergeCells count="25">
    <mergeCell ref="A28:H28"/>
    <mergeCell ref="A11:B11"/>
    <mergeCell ref="A9:B9"/>
    <mergeCell ref="A10:B10"/>
    <mergeCell ref="A12:B12"/>
    <mergeCell ref="A15:A16"/>
    <mergeCell ref="B15:B16"/>
    <mergeCell ref="C15:C16"/>
    <mergeCell ref="E15:H15"/>
    <mergeCell ref="A27:H27"/>
    <mergeCell ref="A1:B8"/>
    <mergeCell ref="C1:H5"/>
    <mergeCell ref="A17:J17"/>
    <mergeCell ref="I15:I16"/>
    <mergeCell ref="C9:D9"/>
    <mergeCell ref="I1:J1"/>
    <mergeCell ref="I2:J2"/>
    <mergeCell ref="I3:J3"/>
    <mergeCell ref="I4:J4"/>
    <mergeCell ref="I5:J5"/>
    <mergeCell ref="C6:E8"/>
    <mergeCell ref="F6:H8"/>
    <mergeCell ref="I6:J8"/>
    <mergeCell ref="D15:D16"/>
    <mergeCell ref="J15:J16"/>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topLeftCell="A76" zoomScale="75" zoomScaleNormal="75" workbookViewId="0">
      <selection activeCell="L95" sqref="L95"/>
    </sheetView>
  </sheetViews>
  <sheetFormatPr baseColWidth="10" defaultRowHeight="12.75" x14ac:dyDescent="0.2"/>
  <cols>
    <col min="1" max="1" width="6" style="4" customWidth="1"/>
    <col min="2" max="2" width="32.7109375" style="4" customWidth="1"/>
    <col min="3" max="3" width="19.28515625" style="232" customWidth="1"/>
    <col min="4" max="4" width="8.42578125" style="232" hidden="1" customWidth="1"/>
    <col min="5" max="5" width="10.5703125" style="232" customWidth="1"/>
    <col min="6" max="9" width="12.7109375" style="232" customWidth="1"/>
    <col min="10" max="10" width="16.28515625" style="232" customWidth="1"/>
    <col min="11" max="16384" width="11.42578125" style="4"/>
  </cols>
  <sheetData>
    <row r="1" spans="1:11" ht="12.75" customHeight="1" x14ac:dyDescent="0.2">
      <c r="A1" s="314"/>
      <c r="B1" s="315"/>
      <c r="C1" s="320" t="str">
        <f>+'POA-01'!C1:H5</f>
        <v>PLAN OPERATIVO ANUAL DE INVERSIONES - POAI - 2013</v>
      </c>
      <c r="D1" s="321"/>
      <c r="E1" s="321"/>
      <c r="F1" s="321"/>
      <c r="G1" s="321"/>
      <c r="H1" s="321"/>
      <c r="I1" s="326" t="s">
        <v>241</v>
      </c>
      <c r="J1" s="326"/>
      <c r="K1" s="88"/>
    </row>
    <row r="2" spans="1:11" ht="16.5" customHeight="1" x14ac:dyDescent="0.2">
      <c r="A2" s="316"/>
      <c r="B2" s="317"/>
      <c r="C2" s="322"/>
      <c r="D2" s="323"/>
      <c r="E2" s="323"/>
      <c r="F2" s="323"/>
      <c r="G2" s="323"/>
      <c r="H2" s="323"/>
      <c r="I2" s="326" t="s">
        <v>242</v>
      </c>
      <c r="J2" s="326"/>
      <c r="K2" s="88"/>
    </row>
    <row r="3" spans="1:11" ht="15.75" customHeight="1" x14ac:dyDescent="0.2">
      <c r="A3" s="316"/>
      <c r="B3" s="317"/>
      <c r="C3" s="322"/>
      <c r="D3" s="323"/>
      <c r="E3" s="323"/>
      <c r="F3" s="323"/>
      <c r="G3" s="323"/>
      <c r="H3" s="323"/>
      <c r="I3" s="326" t="s">
        <v>243</v>
      </c>
      <c r="J3" s="326"/>
      <c r="K3" s="88"/>
    </row>
    <row r="4" spans="1:11" ht="15.75" customHeight="1" x14ac:dyDescent="0.2">
      <c r="A4" s="316"/>
      <c r="B4" s="317"/>
      <c r="C4" s="322"/>
      <c r="D4" s="323"/>
      <c r="E4" s="323"/>
      <c r="F4" s="323"/>
      <c r="G4" s="323"/>
      <c r="H4" s="323"/>
      <c r="I4" s="326" t="s">
        <v>244</v>
      </c>
      <c r="J4" s="326"/>
      <c r="K4" s="88"/>
    </row>
    <row r="5" spans="1:11" ht="15.75" customHeight="1" x14ac:dyDescent="0.2">
      <c r="A5" s="316"/>
      <c r="B5" s="317"/>
      <c r="C5" s="324"/>
      <c r="D5" s="325"/>
      <c r="E5" s="325"/>
      <c r="F5" s="325"/>
      <c r="G5" s="325"/>
      <c r="H5" s="325"/>
      <c r="I5" s="326" t="s">
        <v>245</v>
      </c>
      <c r="J5" s="326"/>
      <c r="K5" s="88"/>
    </row>
    <row r="6" spans="1:1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ht="15" customHeight="1" x14ac:dyDescent="0.2">
      <c r="A8" s="318"/>
      <c r="B8" s="319"/>
      <c r="C8" s="331"/>
      <c r="D8" s="332"/>
      <c r="E8" s="332"/>
      <c r="F8" s="334"/>
      <c r="G8" s="334"/>
      <c r="H8" s="334"/>
      <c r="I8" s="336"/>
      <c r="J8" s="336"/>
      <c r="K8" s="90"/>
    </row>
    <row r="9" spans="1:11" s="6" customFormat="1" ht="15" customHeight="1" x14ac:dyDescent="0.2">
      <c r="A9" s="348" t="s">
        <v>7</v>
      </c>
      <c r="B9" s="348"/>
      <c r="C9" s="353" t="str">
        <f>+'POA-01'!C9</f>
        <v>MONITOREO DE LA CALIDAD DEL RECURSO HÍDRICO</v>
      </c>
      <c r="D9" s="353"/>
      <c r="E9" s="210"/>
      <c r="F9" s="210"/>
      <c r="G9" s="210"/>
      <c r="H9" s="210"/>
      <c r="I9" s="211" t="s">
        <v>118</v>
      </c>
      <c r="J9" s="212" t="str">
        <f>'POA-01'!J10</f>
        <v>0530-0904-2</v>
      </c>
      <c r="K9" s="7"/>
    </row>
    <row r="10" spans="1:11" s="6" customFormat="1" ht="15" customHeight="1" x14ac:dyDescent="0.2">
      <c r="A10" s="69"/>
      <c r="B10" s="69"/>
      <c r="C10" s="213"/>
      <c r="D10" s="213"/>
      <c r="E10" s="213"/>
      <c r="F10" s="213"/>
      <c r="G10" s="213"/>
      <c r="H10" s="213"/>
      <c r="I10" s="214"/>
      <c r="J10" s="214"/>
      <c r="K10" s="7"/>
    </row>
    <row r="11" spans="1:11" s="6" customFormat="1" ht="16.5" x14ac:dyDescent="0.3">
      <c r="A11" s="347" t="s">
        <v>8</v>
      </c>
      <c r="B11" s="347"/>
      <c r="C11" s="215">
        <f>+'POA-01'!C10</f>
        <v>411534765.69657493</v>
      </c>
      <c r="D11" s="215"/>
      <c r="E11" s="213"/>
      <c r="F11" s="213"/>
      <c r="G11" s="213"/>
      <c r="H11" s="213"/>
      <c r="I11" s="213"/>
      <c r="J11" s="213"/>
      <c r="K11" s="7"/>
    </row>
    <row r="12" spans="1:11" s="6" customFormat="1" ht="16.5" x14ac:dyDescent="0.3">
      <c r="A12" s="347" t="s">
        <v>153</v>
      </c>
      <c r="B12" s="347"/>
      <c r="C12" s="216">
        <f>'POA-01'!D11</f>
        <v>0</v>
      </c>
      <c r="D12" s="216"/>
      <c r="E12" s="213"/>
      <c r="F12" s="213"/>
      <c r="G12" s="213"/>
      <c r="H12" s="213"/>
      <c r="I12" s="213"/>
      <c r="J12" s="213"/>
      <c r="K12" s="7"/>
    </row>
    <row r="13" spans="1:11" s="6" customFormat="1" ht="16.5" x14ac:dyDescent="0.3">
      <c r="A13" s="347" t="s">
        <v>152</v>
      </c>
      <c r="B13" s="347"/>
      <c r="C13" s="217">
        <f>'POA-01'!D12</f>
        <v>0</v>
      </c>
      <c r="D13" s="217"/>
      <c r="E13" s="213"/>
      <c r="F13" s="213"/>
      <c r="G13" s="213"/>
      <c r="H13" s="213"/>
      <c r="I13" s="213"/>
      <c r="J13" s="213"/>
      <c r="K13" s="7"/>
    </row>
    <row r="14" spans="1:11" s="6" customFormat="1" ht="16.5" x14ac:dyDescent="0.3">
      <c r="A14" s="71"/>
      <c r="B14" s="71"/>
      <c r="C14" s="218"/>
      <c r="D14" s="218"/>
      <c r="E14" s="218"/>
      <c r="F14" s="218"/>
      <c r="G14" s="218"/>
      <c r="H14" s="218"/>
      <c r="I14" s="218"/>
      <c r="J14" s="218"/>
    </row>
    <row r="15" spans="1:11" x14ac:dyDescent="0.2">
      <c r="A15" s="64"/>
      <c r="B15" s="64"/>
      <c r="C15" s="219"/>
      <c r="D15" s="219"/>
      <c r="E15" s="219"/>
      <c r="F15" s="219"/>
      <c r="G15" s="219"/>
      <c r="H15" s="219"/>
      <c r="I15" s="219"/>
      <c r="J15" s="219"/>
    </row>
    <row r="16" spans="1:11" s="8" customFormat="1" ht="14.25" thickBot="1" x14ac:dyDescent="0.3">
      <c r="A16" s="81" t="s">
        <v>33</v>
      </c>
      <c r="B16" s="81"/>
      <c r="C16" s="220"/>
      <c r="D16" s="220"/>
      <c r="E16" s="220"/>
      <c r="F16" s="220"/>
      <c r="G16" s="220"/>
      <c r="H16" s="220"/>
      <c r="I16" s="220"/>
      <c r="J16" s="221" t="s">
        <v>34</v>
      </c>
    </row>
    <row r="17" spans="1:12" s="9" customFormat="1" ht="14.25" customHeight="1" x14ac:dyDescent="0.2">
      <c r="A17" s="311" t="s">
        <v>50</v>
      </c>
      <c r="B17" s="313" t="s">
        <v>28</v>
      </c>
      <c r="C17" s="313" t="s">
        <v>29</v>
      </c>
      <c r="D17" s="308" t="s">
        <v>160</v>
      </c>
      <c r="E17" s="308" t="s">
        <v>30</v>
      </c>
      <c r="F17" s="356" t="s">
        <v>26</v>
      </c>
      <c r="G17" s="356"/>
      <c r="H17" s="313" t="s">
        <v>27</v>
      </c>
      <c r="I17" s="313"/>
      <c r="J17" s="298" t="s">
        <v>38</v>
      </c>
    </row>
    <row r="18" spans="1:12" s="9" customFormat="1" ht="14.25" thickBot="1" x14ac:dyDescent="0.25">
      <c r="A18" s="312"/>
      <c r="B18" s="355"/>
      <c r="C18" s="355"/>
      <c r="D18" s="309"/>
      <c r="E18" s="309"/>
      <c r="F18" s="91" t="s">
        <v>17</v>
      </c>
      <c r="G18" s="91" t="s">
        <v>31</v>
      </c>
      <c r="H18" s="91" t="s">
        <v>32</v>
      </c>
      <c r="I18" s="91" t="s">
        <v>31</v>
      </c>
      <c r="J18" s="299"/>
    </row>
    <row r="19" spans="1:12" s="9" customFormat="1" ht="13.5" x14ac:dyDescent="0.2">
      <c r="A19" s="206">
        <v>1</v>
      </c>
      <c r="B19" s="261" t="s">
        <v>254</v>
      </c>
      <c r="C19" s="111" t="s">
        <v>176</v>
      </c>
      <c r="D19" s="222"/>
      <c r="E19" s="267" t="s">
        <v>178</v>
      </c>
      <c r="F19" s="224">
        <f t="shared" ref="F19:F43" si="0">+G19/12</f>
        <v>0.33333333333333331</v>
      </c>
      <c r="G19" s="264">
        <v>4</v>
      </c>
      <c r="H19" s="207">
        <v>103350</v>
      </c>
      <c r="I19" s="225">
        <f>+G19*H19</f>
        <v>413400</v>
      </c>
      <c r="J19" s="223" t="s">
        <v>59</v>
      </c>
    </row>
    <row r="20" spans="1:12" s="9" customFormat="1" ht="13.5" x14ac:dyDescent="0.2">
      <c r="A20" s="92">
        <f>1+A19</f>
        <v>2</v>
      </c>
      <c r="B20" s="261" t="s">
        <v>177</v>
      </c>
      <c r="C20" s="111" t="s">
        <v>176</v>
      </c>
      <c r="D20" s="106"/>
      <c r="E20" s="267" t="s">
        <v>178</v>
      </c>
      <c r="F20" s="224">
        <f t="shared" si="0"/>
        <v>8.3333333333333329E-2</v>
      </c>
      <c r="G20" s="264">
        <v>1</v>
      </c>
      <c r="H20" s="244">
        <v>380137.93103448232</v>
      </c>
      <c r="I20" s="225">
        <f t="shared" ref="I20:I71" si="1">+G20*H20</f>
        <v>380137.93103448232</v>
      </c>
      <c r="J20" s="223" t="s">
        <v>59</v>
      </c>
    </row>
    <row r="21" spans="1:12" s="9" customFormat="1" ht="13.5" x14ac:dyDescent="0.2">
      <c r="A21" s="92">
        <f>1+A20</f>
        <v>3</v>
      </c>
      <c r="B21" s="262" t="s">
        <v>308</v>
      </c>
      <c r="C21" s="111" t="s">
        <v>176</v>
      </c>
      <c r="D21" s="111"/>
      <c r="E21" s="267" t="s">
        <v>179</v>
      </c>
      <c r="F21" s="224">
        <f t="shared" si="0"/>
        <v>41.666666666666664</v>
      </c>
      <c r="G21" s="265">
        <v>500</v>
      </c>
      <c r="H21" s="208">
        <v>741</v>
      </c>
      <c r="I21" s="225">
        <f t="shared" si="1"/>
        <v>370500</v>
      </c>
      <c r="J21" s="223" t="s">
        <v>59</v>
      </c>
    </row>
    <row r="22" spans="1:12" s="5" customFormat="1" ht="13.5" x14ac:dyDescent="0.2">
      <c r="A22" s="92">
        <f t="shared" ref="A22:A71" si="2">1+A21</f>
        <v>4</v>
      </c>
      <c r="B22" s="262" t="s">
        <v>309</v>
      </c>
      <c r="C22" s="111" t="s">
        <v>176</v>
      </c>
      <c r="D22" s="226" t="s">
        <v>217</v>
      </c>
      <c r="E22" s="267" t="s">
        <v>179</v>
      </c>
      <c r="F22" s="224">
        <f t="shared" si="0"/>
        <v>41.666666666666664</v>
      </c>
      <c r="G22" s="265">
        <v>500</v>
      </c>
      <c r="H22" s="209">
        <v>852</v>
      </c>
      <c r="I22" s="225">
        <f t="shared" si="1"/>
        <v>426000</v>
      </c>
      <c r="J22" s="223" t="s">
        <v>59</v>
      </c>
      <c r="L22" s="17"/>
    </row>
    <row r="23" spans="1:12" s="5" customFormat="1" ht="13.5" x14ac:dyDescent="0.15">
      <c r="A23" s="92">
        <f t="shared" si="2"/>
        <v>5</v>
      </c>
      <c r="B23" s="261" t="s">
        <v>310</v>
      </c>
      <c r="C23" s="111" t="s">
        <v>176</v>
      </c>
      <c r="D23" s="252"/>
      <c r="E23" s="267" t="s">
        <v>179</v>
      </c>
      <c r="F23" s="224">
        <f t="shared" si="0"/>
        <v>83.333333333333329</v>
      </c>
      <c r="G23" s="264">
        <v>1000</v>
      </c>
      <c r="H23" s="254">
        <v>963.37186206896581</v>
      </c>
      <c r="I23" s="225">
        <f t="shared" si="1"/>
        <v>963371.8620689658</v>
      </c>
      <c r="J23" s="223" t="s">
        <v>59</v>
      </c>
      <c r="L23" s="17"/>
    </row>
    <row r="24" spans="1:12" s="5" customFormat="1" ht="13.5" x14ac:dyDescent="0.2">
      <c r="A24" s="92">
        <f t="shared" si="2"/>
        <v>6</v>
      </c>
      <c r="B24" s="262" t="s">
        <v>311</v>
      </c>
      <c r="C24" s="111" t="s">
        <v>176</v>
      </c>
      <c r="D24" s="226"/>
      <c r="E24" s="267" t="s">
        <v>179</v>
      </c>
      <c r="F24" s="224">
        <f t="shared" si="0"/>
        <v>41.666666666666664</v>
      </c>
      <c r="G24" s="265">
        <v>500</v>
      </c>
      <c r="H24" s="209">
        <v>753.11066666666727</v>
      </c>
      <c r="I24" s="225">
        <f t="shared" si="1"/>
        <v>376555.33333333366</v>
      </c>
      <c r="J24" s="223" t="s">
        <v>59</v>
      </c>
      <c r="L24" s="17"/>
    </row>
    <row r="25" spans="1:12" s="5" customFormat="1" ht="25.5" x14ac:dyDescent="0.15">
      <c r="A25" s="92">
        <f t="shared" si="2"/>
        <v>7</v>
      </c>
      <c r="B25" s="261" t="s">
        <v>231</v>
      </c>
      <c r="C25" s="111" t="s">
        <v>176</v>
      </c>
      <c r="D25" s="111" t="s">
        <v>218</v>
      </c>
      <c r="E25" s="267" t="s">
        <v>232</v>
      </c>
      <c r="F25" s="224">
        <f t="shared" si="0"/>
        <v>8.3333333333333329E-2</v>
      </c>
      <c r="G25" s="264">
        <v>1</v>
      </c>
      <c r="H25" s="208">
        <v>565531.93103448243</v>
      </c>
      <c r="I25" s="225">
        <f t="shared" si="1"/>
        <v>565531.93103448243</v>
      </c>
      <c r="J25" s="223" t="s">
        <v>59</v>
      </c>
    </row>
    <row r="26" spans="1:12" s="5" customFormat="1" ht="13.5" x14ac:dyDescent="0.15">
      <c r="A26" s="92">
        <f t="shared" si="2"/>
        <v>8</v>
      </c>
      <c r="B26" s="261" t="s">
        <v>282</v>
      </c>
      <c r="C26" s="111" t="s">
        <v>176</v>
      </c>
      <c r="D26" s="227"/>
      <c r="E26" s="267" t="s">
        <v>180</v>
      </c>
      <c r="F26" s="224">
        <f t="shared" si="0"/>
        <v>3</v>
      </c>
      <c r="G26" s="264">
        <v>36</v>
      </c>
      <c r="H26" s="209">
        <v>41014.410000000003</v>
      </c>
      <c r="I26" s="225">
        <f t="shared" si="1"/>
        <v>1476518.7600000002</v>
      </c>
      <c r="J26" s="223" t="s">
        <v>59</v>
      </c>
      <c r="L26" s="17"/>
    </row>
    <row r="27" spans="1:12" s="5" customFormat="1" ht="25.5" x14ac:dyDescent="0.15">
      <c r="A27" s="92">
        <f t="shared" si="2"/>
        <v>9</v>
      </c>
      <c r="B27" s="261" t="s">
        <v>326</v>
      </c>
      <c r="C27" s="111" t="s">
        <v>176</v>
      </c>
      <c r="D27" s="111" t="s">
        <v>216</v>
      </c>
      <c r="E27" s="267" t="s">
        <v>183</v>
      </c>
      <c r="F27" s="224">
        <f t="shared" si="0"/>
        <v>8.3333333333333329E-2</v>
      </c>
      <c r="G27" s="264">
        <v>1</v>
      </c>
      <c r="H27" s="208">
        <v>761725.6</v>
      </c>
      <c r="I27" s="225">
        <f t="shared" si="1"/>
        <v>761725.6</v>
      </c>
      <c r="J27" s="223" t="s">
        <v>59</v>
      </c>
      <c r="L27" s="17"/>
    </row>
    <row r="28" spans="1:12" s="5" customFormat="1" ht="51" x14ac:dyDescent="0.15">
      <c r="A28" s="92">
        <f t="shared" si="2"/>
        <v>10</v>
      </c>
      <c r="B28" s="261" t="s">
        <v>281</v>
      </c>
      <c r="C28" s="111" t="s">
        <v>176</v>
      </c>
      <c r="D28" s="252"/>
      <c r="E28" s="267" t="s">
        <v>232</v>
      </c>
      <c r="F28" s="224">
        <f t="shared" si="0"/>
        <v>8.3333333333333329E-2</v>
      </c>
      <c r="G28" s="264">
        <v>1</v>
      </c>
      <c r="H28" s="254">
        <v>539342</v>
      </c>
      <c r="I28" s="225">
        <f t="shared" si="1"/>
        <v>539342</v>
      </c>
      <c r="J28" s="223" t="s">
        <v>59</v>
      </c>
      <c r="L28" s="17"/>
    </row>
    <row r="29" spans="1:12" s="5" customFormat="1" ht="51" x14ac:dyDescent="0.15">
      <c r="A29" s="92">
        <f t="shared" si="2"/>
        <v>11</v>
      </c>
      <c r="B29" s="261" t="s">
        <v>280</v>
      </c>
      <c r="C29" s="111" t="s">
        <v>176</v>
      </c>
      <c r="D29" s="111"/>
      <c r="E29" s="267" t="s">
        <v>288</v>
      </c>
      <c r="F29" s="224">
        <f t="shared" si="0"/>
        <v>0.25</v>
      </c>
      <c r="G29" s="264">
        <v>3</v>
      </c>
      <c r="H29" s="208">
        <v>504600</v>
      </c>
      <c r="I29" s="225">
        <f t="shared" si="1"/>
        <v>1513800</v>
      </c>
      <c r="J29" s="223" t="s">
        <v>59</v>
      </c>
      <c r="L29" s="17"/>
    </row>
    <row r="30" spans="1:12" s="5" customFormat="1" ht="13.5" x14ac:dyDescent="0.2">
      <c r="A30" s="92">
        <f t="shared" si="2"/>
        <v>12</v>
      </c>
      <c r="B30" s="262" t="s">
        <v>312</v>
      </c>
      <c r="C30" s="111" t="s">
        <v>176</v>
      </c>
      <c r="D30" s="252"/>
      <c r="E30" s="267" t="s">
        <v>180</v>
      </c>
      <c r="F30" s="224">
        <f t="shared" si="0"/>
        <v>8.3333333333333329E-2</v>
      </c>
      <c r="G30" s="265">
        <v>1</v>
      </c>
      <c r="H30" s="254">
        <v>1035000</v>
      </c>
      <c r="I30" s="225">
        <f t="shared" si="1"/>
        <v>1035000</v>
      </c>
      <c r="J30" s="223" t="s">
        <v>59</v>
      </c>
      <c r="L30" s="17"/>
    </row>
    <row r="31" spans="1:12" s="5" customFormat="1" ht="13.5" x14ac:dyDescent="0.2">
      <c r="A31" s="92">
        <f t="shared" si="2"/>
        <v>13</v>
      </c>
      <c r="B31" s="262" t="s">
        <v>313</v>
      </c>
      <c r="C31" s="111" t="s">
        <v>176</v>
      </c>
      <c r="D31" s="227"/>
      <c r="E31" s="267" t="s">
        <v>180</v>
      </c>
      <c r="F31" s="224">
        <f t="shared" si="0"/>
        <v>8.3333333333333329E-2</v>
      </c>
      <c r="G31" s="265">
        <v>1</v>
      </c>
      <c r="H31" s="254">
        <v>1035000</v>
      </c>
      <c r="I31" s="225">
        <f t="shared" si="1"/>
        <v>1035000</v>
      </c>
      <c r="J31" s="223" t="s">
        <v>59</v>
      </c>
      <c r="L31" s="17"/>
    </row>
    <row r="32" spans="1:12" s="5" customFormat="1" ht="25.5" x14ac:dyDescent="0.2">
      <c r="A32" s="92">
        <f t="shared" si="2"/>
        <v>14</v>
      </c>
      <c r="B32" s="262" t="s">
        <v>314</v>
      </c>
      <c r="C32" s="111" t="s">
        <v>176</v>
      </c>
      <c r="D32" s="227"/>
      <c r="E32" s="267" t="s">
        <v>180</v>
      </c>
      <c r="F32" s="224">
        <f t="shared" si="0"/>
        <v>8.3333333333333329E-2</v>
      </c>
      <c r="G32" s="265">
        <v>1</v>
      </c>
      <c r="H32" s="254">
        <v>1035000</v>
      </c>
      <c r="I32" s="225">
        <f t="shared" si="1"/>
        <v>1035000</v>
      </c>
      <c r="J32" s="223" t="s">
        <v>59</v>
      </c>
      <c r="L32" s="17"/>
    </row>
    <row r="33" spans="1:12" s="5" customFormat="1" ht="13.5" x14ac:dyDescent="0.2">
      <c r="A33" s="92">
        <f t="shared" si="2"/>
        <v>15</v>
      </c>
      <c r="B33" s="262" t="s">
        <v>315</v>
      </c>
      <c r="C33" s="111" t="s">
        <v>176</v>
      </c>
      <c r="D33" s="227"/>
      <c r="E33" s="267" t="s">
        <v>180</v>
      </c>
      <c r="F33" s="224">
        <f t="shared" si="0"/>
        <v>8.3333333333333329E-2</v>
      </c>
      <c r="G33" s="265">
        <v>1</v>
      </c>
      <c r="H33" s="254">
        <v>1035000</v>
      </c>
      <c r="I33" s="225">
        <f t="shared" si="1"/>
        <v>1035000</v>
      </c>
      <c r="J33" s="223" t="s">
        <v>59</v>
      </c>
      <c r="L33" s="17"/>
    </row>
    <row r="34" spans="1:12" s="5" customFormat="1" ht="13.5" x14ac:dyDescent="0.15">
      <c r="A34" s="92">
        <f t="shared" si="2"/>
        <v>16</v>
      </c>
      <c r="B34" s="261" t="s">
        <v>240</v>
      </c>
      <c r="C34" s="111" t="s">
        <v>176</v>
      </c>
      <c r="D34" s="252"/>
      <c r="E34" s="267" t="s">
        <v>180</v>
      </c>
      <c r="F34" s="224">
        <f t="shared" si="0"/>
        <v>8.3333333333333329E-2</v>
      </c>
      <c r="G34" s="264">
        <v>1</v>
      </c>
      <c r="H34" s="254">
        <v>890948.27586206864</v>
      </c>
      <c r="I34" s="225">
        <f t="shared" si="1"/>
        <v>890948.27586206864</v>
      </c>
      <c r="J34" s="223" t="s">
        <v>59</v>
      </c>
      <c r="L34" s="17"/>
    </row>
    <row r="35" spans="1:12" s="5" customFormat="1" ht="13.5" x14ac:dyDescent="0.15">
      <c r="A35" s="92">
        <f t="shared" si="2"/>
        <v>17</v>
      </c>
      <c r="B35" s="261" t="s">
        <v>278</v>
      </c>
      <c r="C35" s="111" t="s">
        <v>176</v>
      </c>
      <c r="D35" s="252"/>
      <c r="E35" s="267" t="s">
        <v>180</v>
      </c>
      <c r="F35" s="224">
        <f t="shared" si="0"/>
        <v>0.5</v>
      </c>
      <c r="G35" s="264">
        <v>6</v>
      </c>
      <c r="H35" s="254">
        <v>25251.07333333337</v>
      </c>
      <c r="I35" s="225">
        <f t="shared" si="1"/>
        <v>151506.44000000024</v>
      </c>
      <c r="J35" s="223" t="s">
        <v>59</v>
      </c>
      <c r="L35" s="17"/>
    </row>
    <row r="36" spans="1:12" s="5" customFormat="1" ht="25.5" x14ac:dyDescent="0.15">
      <c r="A36" s="92">
        <f t="shared" si="2"/>
        <v>18</v>
      </c>
      <c r="B36" s="261" t="s">
        <v>277</v>
      </c>
      <c r="C36" s="111" t="s">
        <v>176</v>
      </c>
      <c r="D36" s="227"/>
      <c r="E36" s="267" t="s">
        <v>286</v>
      </c>
      <c r="F36" s="224">
        <f t="shared" si="0"/>
        <v>8.3333333333333329E-2</v>
      </c>
      <c r="G36" s="264">
        <v>1</v>
      </c>
      <c r="H36" s="209">
        <v>122907.60666666627</v>
      </c>
      <c r="I36" s="225">
        <f t="shared" si="1"/>
        <v>122907.60666666627</v>
      </c>
      <c r="J36" s="223" t="s">
        <v>59</v>
      </c>
      <c r="L36" s="17"/>
    </row>
    <row r="37" spans="1:12" s="5" customFormat="1" ht="13.5" x14ac:dyDescent="0.15">
      <c r="A37" s="92">
        <f t="shared" si="2"/>
        <v>19</v>
      </c>
      <c r="B37" s="261" t="s">
        <v>276</v>
      </c>
      <c r="C37" s="111" t="s">
        <v>176</v>
      </c>
      <c r="D37" s="227"/>
      <c r="E37" s="267" t="s">
        <v>180</v>
      </c>
      <c r="F37" s="224">
        <f t="shared" si="0"/>
        <v>8.3333333333333329E-2</v>
      </c>
      <c r="G37" s="264">
        <v>1</v>
      </c>
      <c r="H37" s="209">
        <v>1269647.8400000001</v>
      </c>
      <c r="I37" s="225">
        <f t="shared" si="1"/>
        <v>1269647.8400000001</v>
      </c>
      <c r="J37" s="223" t="s">
        <v>59</v>
      </c>
      <c r="L37" s="17"/>
    </row>
    <row r="38" spans="1:12" s="5" customFormat="1" ht="13.5" x14ac:dyDescent="0.2">
      <c r="A38" s="92">
        <f t="shared" si="2"/>
        <v>20</v>
      </c>
      <c r="B38" s="262" t="s">
        <v>327</v>
      </c>
      <c r="C38" s="111" t="s">
        <v>176</v>
      </c>
      <c r="D38" s="227"/>
      <c r="E38" s="267" t="s">
        <v>178</v>
      </c>
      <c r="F38" s="224">
        <f t="shared" si="0"/>
        <v>0.16666666666666666</v>
      </c>
      <c r="G38" s="265">
        <v>2</v>
      </c>
      <c r="H38" s="209">
        <v>87863</v>
      </c>
      <c r="I38" s="225">
        <f t="shared" si="1"/>
        <v>175726</v>
      </c>
      <c r="J38" s="223" t="s">
        <v>59</v>
      </c>
      <c r="L38" s="17"/>
    </row>
    <row r="39" spans="1:12" s="5" customFormat="1" ht="13.5" x14ac:dyDescent="0.15">
      <c r="A39" s="92">
        <f t="shared" si="2"/>
        <v>21</v>
      </c>
      <c r="B39" s="261" t="s">
        <v>226</v>
      </c>
      <c r="C39" s="111" t="s">
        <v>176</v>
      </c>
      <c r="D39" s="227"/>
      <c r="E39" s="268" t="s">
        <v>178</v>
      </c>
      <c r="F39" s="224">
        <f t="shared" si="0"/>
        <v>0.41666666666666669</v>
      </c>
      <c r="G39" s="264">
        <v>5</v>
      </c>
      <c r="H39" s="209">
        <v>76752.224137931087</v>
      </c>
      <c r="I39" s="225">
        <f t="shared" si="1"/>
        <v>383761.12068965542</v>
      </c>
      <c r="J39" s="223" t="s">
        <v>59</v>
      </c>
      <c r="L39" s="17"/>
    </row>
    <row r="40" spans="1:12" s="5" customFormat="1" ht="76.5" x14ac:dyDescent="0.15">
      <c r="A40" s="92">
        <f t="shared" si="2"/>
        <v>22</v>
      </c>
      <c r="B40" s="261" t="s">
        <v>316</v>
      </c>
      <c r="C40" s="111" t="s">
        <v>176</v>
      </c>
      <c r="D40" s="252"/>
      <c r="E40" s="268" t="s">
        <v>180</v>
      </c>
      <c r="F40" s="224">
        <f t="shared" si="0"/>
        <v>0.33333333333333331</v>
      </c>
      <c r="G40" s="264">
        <v>4</v>
      </c>
      <c r="H40" s="254">
        <v>762925.8620689658</v>
      </c>
      <c r="I40" s="225">
        <f t="shared" si="1"/>
        <v>3051703.4482758632</v>
      </c>
      <c r="J40" s="223" t="s">
        <v>59</v>
      </c>
      <c r="L40" s="17"/>
    </row>
    <row r="41" spans="1:12" s="5" customFormat="1" ht="51" x14ac:dyDescent="0.15">
      <c r="A41" s="92">
        <f t="shared" si="2"/>
        <v>23</v>
      </c>
      <c r="B41" s="261" t="s">
        <v>228</v>
      </c>
      <c r="C41" s="111" t="s">
        <v>176</v>
      </c>
      <c r="D41" s="174"/>
      <c r="E41" s="268" t="s">
        <v>180</v>
      </c>
      <c r="F41" s="224">
        <f t="shared" si="0"/>
        <v>8.3333333333333329E-2</v>
      </c>
      <c r="G41" s="264">
        <v>1</v>
      </c>
      <c r="H41" s="209">
        <v>5882908.6206896575</v>
      </c>
      <c r="I41" s="225">
        <f t="shared" si="1"/>
        <v>5882908.6206896575</v>
      </c>
      <c r="J41" s="223" t="s">
        <v>59</v>
      </c>
      <c r="L41" s="17"/>
    </row>
    <row r="42" spans="1:12" s="5" customFormat="1" ht="76.5" x14ac:dyDescent="0.15">
      <c r="A42" s="92">
        <f t="shared" si="2"/>
        <v>24</v>
      </c>
      <c r="B42" s="261" t="s">
        <v>215</v>
      </c>
      <c r="C42" s="111" t="s">
        <v>176</v>
      </c>
      <c r="D42" s="174"/>
      <c r="E42" s="268" t="s">
        <v>180</v>
      </c>
      <c r="F42" s="224">
        <f t="shared" si="0"/>
        <v>8.3333333333333329E-2</v>
      </c>
      <c r="G42" s="264">
        <v>1</v>
      </c>
      <c r="H42" s="209">
        <v>4564623.3570000008</v>
      </c>
      <c r="I42" s="225">
        <f t="shared" si="1"/>
        <v>4564623.3570000008</v>
      </c>
      <c r="J42" s="223" t="s">
        <v>59</v>
      </c>
      <c r="L42" s="17"/>
    </row>
    <row r="43" spans="1:12" s="5" customFormat="1" ht="25.5" x14ac:dyDescent="0.15">
      <c r="A43" s="92">
        <f t="shared" si="2"/>
        <v>25</v>
      </c>
      <c r="B43" s="261" t="s">
        <v>233</v>
      </c>
      <c r="C43" s="111" t="s">
        <v>176</v>
      </c>
      <c r="D43" s="111" t="s">
        <v>219</v>
      </c>
      <c r="E43" s="268" t="s">
        <v>180</v>
      </c>
      <c r="F43" s="224">
        <f t="shared" si="0"/>
        <v>0.41666666666666669</v>
      </c>
      <c r="G43" s="264">
        <v>5</v>
      </c>
      <c r="H43" s="208">
        <v>63965.517241379319</v>
      </c>
      <c r="I43" s="225">
        <f t="shared" si="1"/>
        <v>319827.58620689658</v>
      </c>
      <c r="J43" s="223" t="s">
        <v>59</v>
      </c>
      <c r="L43" s="17"/>
    </row>
    <row r="44" spans="1:12" s="5" customFormat="1" ht="13.5" x14ac:dyDescent="0.15">
      <c r="A44" s="92">
        <f t="shared" si="2"/>
        <v>26</v>
      </c>
      <c r="B44" s="261" t="s">
        <v>274</v>
      </c>
      <c r="C44" s="111" t="s">
        <v>176</v>
      </c>
      <c r="D44" s="111" t="s">
        <v>219</v>
      </c>
      <c r="E44" s="268" t="s">
        <v>289</v>
      </c>
      <c r="F44" s="224">
        <f t="shared" ref="F44:F70" si="3">+G44/12</f>
        <v>0.16666666666666666</v>
      </c>
      <c r="G44" s="264">
        <v>2</v>
      </c>
      <c r="H44" s="208">
        <v>544852</v>
      </c>
      <c r="I44" s="225">
        <f t="shared" si="1"/>
        <v>1089704</v>
      </c>
      <c r="J44" s="223" t="s">
        <v>59</v>
      </c>
      <c r="L44" s="17"/>
    </row>
    <row r="45" spans="1:12" s="5" customFormat="1" ht="13.5" x14ac:dyDescent="0.2">
      <c r="A45" s="92">
        <f t="shared" si="2"/>
        <v>27</v>
      </c>
      <c r="B45" s="262" t="s">
        <v>317</v>
      </c>
      <c r="C45" s="111" t="s">
        <v>176</v>
      </c>
      <c r="D45" s="111"/>
      <c r="E45" s="269" t="s">
        <v>180</v>
      </c>
      <c r="F45" s="224">
        <f t="shared" si="3"/>
        <v>0.41666666666666669</v>
      </c>
      <c r="G45" s="265">
        <v>5</v>
      </c>
      <c r="H45" s="208"/>
      <c r="I45" s="225">
        <f t="shared" si="1"/>
        <v>0</v>
      </c>
      <c r="J45" s="223" t="s">
        <v>59</v>
      </c>
      <c r="L45" s="17"/>
    </row>
    <row r="46" spans="1:12" s="5" customFormat="1" ht="25.5" x14ac:dyDescent="0.15">
      <c r="A46" s="92">
        <f t="shared" si="2"/>
        <v>28</v>
      </c>
      <c r="B46" s="263" t="s">
        <v>318</v>
      </c>
      <c r="C46" s="111" t="s">
        <v>176</v>
      </c>
      <c r="D46" s="111" t="s">
        <v>221</v>
      </c>
      <c r="E46" s="270" t="s">
        <v>180</v>
      </c>
      <c r="F46" s="224">
        <f t="shared" si="3"/>
        <v>8.3333333333333329E-2</v>
      </c>
      <c r="G46" s="266">
        <v>1</v>
      </c>
      <c r="H46" s="208">
        <v>1590000</v>
      </c>
      <c r="I46" s="225">
        <f t="shared" si="1"/>
        <v>1590000</v>
      </c>
      <c r="J46" s="223" t="s">
        <v>59</v>
      </c>
      <c r="L46" s="17"/>
    </row>
    <row r="47" spans="1:12" s="5" customFormat="1" ht="25.5" x14ac:dyDescent="0.15">
      <c r="A47" s="92">
        <f t="shared" si="2"/>
        <v>29</v>
      </c>
      <c r="B47" s="261" t="s">
        <v>234</v>
      </c>
      <c r="C47" s="111" t="s">
        <v>176</v>
      </c>
      <c r="D47" s="252"/>
      <c r="E47" s="268" t="s">
        <v>180</v>
      </c>
      <c r="F47" s="224">
        <f t="shared" si="3"/>
        <v>8.3333333333333329E-2</v>
      </c>
      <c r="G47" s="264">
        <v>1</v>
      </c>
      <c r="H47" s="254">
        <v>795000</v>
      </c>
      <c r="I47" s="225">
        <f t="shared" si="1"/>
        <v>795000</v>
      </c>
      <c r="J47" s="223" t="s">
        <v>59</v>
      </c>
      <c r="L47" s="17"/>
    </row>
    <row r="48" spans="1:12" s="5" customFormat="1" ht="13.5" x14ac:dyDescent="0.15">
      <c r="A48" s="92">
        <f t="shared" si="2"/>
        <v>30</v>
      </c>
      <c r="B48" s="261" t="s">
        <v>181</v>
      </c>
      <c r="C48" s="111" t="s">
        <v>176</v>
      </c>
      <c r="D48" s="111"/>
      <c r="E48" s="268" t="s">
        <v>178</v>
      </c>
      <c r="F48" s="224">
        <f t="shared" si="3"/>
        <v>0.5</v>
      </c>
      <c r="G48" s="264">
        <v>6</v>
      </c>
      <c r="H48" s="208">
        <v>58929.526933333298</v>
      </c>
      <c r="I48" s="225">
        <f t="shared" si="1"/>
        <v>353577.16159999976</v>
      </c>
      <c r="J48" s="223" t="s">
        <v>59</v>
      </c>
      <c r="L48" s="17"/>
    </row>
    <row r="49" spans="1:12" s="5" customFormat="1" ht="51" x14ac:dyDescent="0.15">
      <c r="A49" s="92">
        <f t="shared" si="2"/>
        <v>31</v>
      </c>
      <c r="B49" s="261" t="s">
        <v>227</v>
      </c>
      <c r="C49" s="111" t="s">
        <v>176</v>
      </c>
      <c r="D49" s="111"/>
      <c r="E49" s="268" t="s">
        <v>190</v>
      </c>
      <c r="F49" s="224">
        <f t="shared" si="3"/>
        <v>0.83333333333333337</v>
      </c>
      <c r="G49" s="264">
        <v>10</v>
      </c>
      <c r="H49" s="208">
        <v>514689.36</v>
      </c>
      <c r="I49" s="225">
        <f t="shared" si="1"/>
        <v>5146893.5999999996</v>
      </c>
      <c r="J49" s="223" t="s">
        <v>59</v>
      </c>
      <c r="L49" s="17"/>
    </row>
    <row r="50" spans="1:12" s="5" customFormat="1" ht="51" x14ac:dyDescent="0.15">
      <c r="A50" s="92">
        <f t="shared" si="2"/>
        <v>32</v>
      </c>
      <c r="B50" s="261" t="s">
        <v>319</v>
      </c>
      <c r="C50" s="111" t="s">
        <v>176</v>
      </c>
      <c r="D50" s="111"/>
      <c r="E50" s="268" t="s">
        <v>325</v>
      </c>
      <c r="F50" s="224">
        <f t="shared" si="3"/>
        <v>0.41666666666666669</v>
      </c>
      <c r="G50" s="264">
        <v>5</v>
      </c>
      <c r="H50" s="208">
        <v>191896.55172413826</v>
      </c>
      <c r="I50" s="225">
        <f t="shared" si="1"/>
        <v>959482.75862069125</v>
      </c>
      <c r="J50" s="223" t="s">
        <v>59</v>
      </c>
      <c r="L50" s="17"/>
    </row>
    <row r="51" spans="1:12" s="5" customFormat="1" ht="25.5" x14ac:dyDescent="0.15">
      <c r="A51" s="92">
        <f t="shared" si="2"/>
        <v>33</v>
      </c>
      <c r="B51" s="261" t="s">
        <v>273</v>
      </c>
      <c r="C51" s="111" t="s">
        <v>176</v>
      </c>
      <c r="D51" s="111" t="s">
        <v>218</v>
      </c>
      <c r="E51" s="268" t="s">
        <v>180</v>
      </c>
      <c r="F51" s="224">
        <f t="shared" si="3"/>
        <v>2</v>
      </c>
      <c r="G51" s="264">
        <v>24</v>
      </c>
      <c r="H51" s="208">
        <v>19488</v>
      </c>
      <c r="I51" s="225">
        <f t="shared" si="1"/>
        <v>467712</v>
      </c>
      <c r="J51" s="223" t="s">
        <v>59</v>
      </c>
      <c r="L51" s="17"/>
    </row>
    <row r="52" spans="1:12" s="5" customFormat="1" ht="13.5" x14ac:dyDescent="0.2">
      <c r="A52" s="92">
        <f t="shared" si="2"/>
        <v>34</v>
      </c>
      <c r="B52" s="262" t="s">
        <v>320</v>
      </c>
      <c r="C52" s="111" t="s">
        <v>176</v>
      </c>
      <c r="D52" s="111" t="s">
        <v>222</v>
      </c>
      <c r="E52" s="269" t="s">
        <v>180</v>
      </c>
      <c r="F52" s="224">
        <f t="shared" si="3"/>
        <v>4.166666666666667</v>
      </c>
      <c r="G52" s="265">
        <v>50</v>
      </c>
      <c r="H52" s="208"/>
      <c r="I52" s="225">
        <f t="shared" si="1"/>
        <v>0</v>
      </c>
      <c r="J52" s="223" t="s">
        <v>59</v>
      </c>
    </row>
    <row r="53" spans="1:12" ht="13.5" x14ac:dyDescent="0.2">
      <c r="A53" s="92">
        <f t="shared" si="2"/>
        <v>35</v>
      </c>
      <c r="B53" s="261" t="s">
        <v>272</v>
      </c>
      <c r="C53" s="111" t="s">
        <v>176</v>
      </c>
      <c r="D53" s="227"/>
      <c r="E53" s="268" t="s">
        <v>180</v>
      </c>
      <c r="F53" s="224">
        <f t="shared" si="3"/>
        <v>0.16666666666666666</v>
      </c>
      <c r="G53" s="264">
        <v>2</v>
      </c>
      <c r="H53" s="209">
        <v>36015.215999999993</v>
      </c>
      <c r="I53" s="225">
        <f t="shared" si="1"/>
        <v>72030.431999999986</v>
      </c>
      <c r="J53" s="223" t="s">
        <v>59</v>
      </c>
    </row>
    <row r="54" spans="1:12" ht="25.5" x14ac:dyDescent="0.2">
      <c r="A54" s="92">
        <f t="shared" si="2"/>
        <v>36</v>
      </c>
      <c r="B54" s="261" t="s">
        <v>182</v>
      </c>
      <c r="C54" s="111" t="s">
        <v>176</v>
      </c>
      <c r="D54" s="252"/>
      <c r="E54" s="268" t="s">
        <v>183</v>
      </c>
      <c r="F54" s="224">
        <f t="shared" si="3"/>
        <v>0.83333333333333337</v>
      </c>
      <c r="G54" s="264">
        <v>10</v>
      </c>
      <c r="H54" s="254">
        <v>51934.137493333299</v>
      </c>
      <c r="I54" s="225">
        <f t="shared" si="1"/>
        <v>519341.37493333302</v>
      </c>
      <c r="J54" s="223" t="s">
        <v>59</v>
      </c>
    </row>
    <row r="55" spans="1:12" ht="13.5" x14ac:dyDescent="0.2">
      <c r="A55" s="92">
        <f t="shared" si="2"/>
        <v>37</v>
      </c>
      <c r="B55" s="261" t="s">
        <v>255</v>
      </c>
      <c r="C55" s="111" t="s">
        <v>176</v>
      </c>
      <c r="D55" s="111" t="s">
        <v>223</v>
      </c>
      <c r="E55" s="268" t="s">
        <v>178</v>
      </c>
      <c r="F55" s="224">
        <f t="shared" si="3"/>
        <v>1.6666666666666667</v>
      </c>
      <c r="G55" s="264">
        <v>20</v>
      </c>
      <c r="H55" s="208">
        <v>188150</v>
      </c>
      <c r="I55" s="225">
        <f t="shared" si="1"/>
        <v>3763000</v>
      </c>
      <c r="J55" s="223" t="s">
        <v>59</v>
      </c>
    </row>
    <row r="56" spans="1:12" ht="13.5" x14ac:dyDescent="0.2">
      <c r="A56" s="92">
        <f t="shared" si="2"/>
        <v>38</v>
      </c>
      <c r="B56" s="261" t="s">
        <v>321</v>
      </c>
      <c r="C56" s="111" t="s">
        <v>176</v>
      </c>
      <c r="D56" s="111"/>
      <c r="E56" s="268" t="s">
        <v>183</v>
      </c>
      <c r="F56" s="224">
        <f t="shared" si="3"/>
        <v>8.3333333333333329E-2</v>
      </c>
      <c r="G56" s="264">
        <v>1</v>
      </c>
      <c r="H56" s="208">
        <v>60957.535999999993</v>
      </c>
      <c r="I56" s="225">
        <f t="shared" si="1"/>
        <v>60957.535999999993</v>
      </c>
      <c r="J56" s="223" t="s">
        <v>59</v>
      </c>
    </row>
    <row r="57" spans="1:12" ht="13.5" x14ac:dyDescent="0.2">
      <c r="A57" s="92">
        <f t="shared" si="2"/>
        <v>39</v>
      </c>
      <c r="B57" s="262" t="s">
        <v>328</v>
      </c>
      <c r="C57" s="111" t="s">
        <v>176</v>
      </c>
      <c r="D57" s="252"/>
      <c r="E57" s="269" t="s">
        <v>178</v>
      </c>
      <c r="F57" s="224">
        <f t="shared" si="3"/>
        <v>1.6666666666666667</v>
      </c>
      <c r="G57" s="265">
        <v>20</v>
      </c>
      <c r="H57" s="254">
        <v>65641</v>
      </c>
      <c r="I57" s="225">
        <f t="shared" si="1"/>
        <v>1312820</v>
      </c>
      <c r="J57" s="223" t="s">
        <v>59</v>
      </c>
    </row>
    <row r="58" spans="1:12" ht="25.5" x14ac:dyDescent="0.2">
      <c r="A58" s="92">
        <f t="shared" si="2"/>
        <v>40</v>
      </c>
      <c r="B58" s="261" t="s">
        <v>184</v>
      </c>
      <c r="C58" s="111" t="s">
        <v>176</v>
      </c>
      <c r="D58" s="111" t="s">
        <v>219</v>
      </c>
      <c r="E58" s="267" t="s">
        <v>180</v>
      </c>
      <c r="F58" s="224">
        <f t="shared" si="3"/>
        <v>0.16666666666666666</v>
      </c>
      <c r="G58" s="264">
        <v>2</v>
      </c>
      <c r="H58" s="208">
        <v>760275.8620689658</v>
      </c>
      <c r="I58" s="225">
        <f t="shared" si="1"/>
        <v>1520551.7241379316</v>
      </c>
      <c r="J58" s="223" t="s">
        <v>59</v>
      </c>
    </row>
    <row r="59" spans="1:12" ht="25.5" x14ac:dyDescent="0.2">
      <c r="A59" s="92">
        <f t="shared" si="2"/>
        <v>41</v>
      </c>
      <c r="B59" s="261" t="s">
        <v>230</v>
      </c>
      <c r="C59" s="111" t="s">
        <v>176</v>
      </c>
      <c r="D59" s="111" t="s">
        <v>224</v>
      </c>
      <c r="E59" s="267" t="s">
        <v>180</v>
      </c>
      <c r="F59" s="224">
        <f t="shared" si="3"/>
        <v>8.3333333333333329E-2</v>
      </c>
      <c r="G59" s="264">
        <v>1</v>
      </c>
      <c r="H59" s="208">
        <v>760275.8620689658</v>
      </c>
      <c r="I59" s="225">
        <f t="shared" si="1"/>
        <v>760275.8620689658</v>
      </c>
      <c r="J59" s="223" t="s">
        <v>59</v>
      </c>
    </row>
    <row r="60" spans="1:12" ht="25.5" x14ac:dyDescent="0.2">
      <c r="A60" s="92">
        <f t="shared" si="2"/>
        <v>42</v>
      </c>
      <c r="B60" s="261" t="s">
        <v>229</v>
      </c>
      <c r="C60" s="111" t="s">
        <v>176</v>
      </c>
      <c r="D60" s="227"/>
      <c r="E60" s="267" t="s">
        <v>180</v>
      </c>
      <c r="F60" s="224">
        <f t="shared" si="3"/>
        <v>0.16666666666666666</v>
      </c>
      <c r="G60" s="264">
        <v>2</v>
      </c>
      <c r="H60" s="209">
        <v>760275.8620689658</v>
      </c>
      <c r="I60" s="225">
        <f t="shared" si="1"/>
        <v>1520551.7241379316</v>
      </c>
      <c r="J60" s="223" t="s">
        <v>59</v>
      </c>
    </row>
    <row r="61" spans="1:12" ht="25.5" x14ac:dyDescent="0.2">
      <c r="A61" s="92">
        <f t="shared" si="2"/>
        <v>43</v>
      </c>
      <c r="B61" s="261" t="s">
        <v>185</v>
      </c>
      <c r="C61" s="111" t="s">
        <v>176</v>
      </c>
      <c r="D61" s="227"/>
      <c r="E61" s="267" t="s">
        <v>180</v>
      </c>
      <c r="F61" s="224">
        <f t="shared" si="3"/>
        <v>8.3333333333333329E-2</v>
      </c>
      <c r="G61" s="264">
        <v>1</v>
      </c>
      <c r="H61" s="209">
        <v>491985.13520000002</v>
      </c>
      <c r="I61" s="225">
        <f t="shared" si="1"/>
        <v>491985.13520000002</v>
      </c>
      <c r="J61" s="223" t="s">
        <v>59</v>
      </c>
    </row>
    <row r="62" spans="1:12" ht="25.5" x14ac:dyDescent="0.2">
      <c r="A62" s="92">
        <f t="shared" si="2"/>
        <v>44</v>
      </c>
      <c r="B62" s="261" t="s">
        <v>186</v>
      </c>
      <c r="C62" s="111" t="s">
        <v>176</v>
      </c>
      <c r="D62" s="252"/>
      <c r="E62" s="267" t="s">
        <v>180</v>
      </c>
      <c r="F62" s="224">
        <f t="shared" si="3"/>
        <v>8.3333333333333329E-2</v>
      </c>
      <c r="G62" s="264">
        <v>1</v>
      </c>
      <c r="H62" s="254">
        <v>407185.77120000002</v>
      </c>
      <c r="I62" s="225">
        <f t="shared" si="1"/>
        <v>407185.77120000002</v>
      </c>
      <c r="J62" s="223" t="s">
        <v>59</v>
      </c>
    </row>
    <row r="63" spans="1:12" ht="25.5" x14ac:dyDescent="0.2">
      <c r="A63" s="92">
        <f t="shared" si="2"/>
        <v>45</v>
      </c>
      <c r="B63" s="261" t="s">
        <v>271</v>
      </c>
      <c r="C63" s="111" t="s">
        <v>176</v>
      </c>
      <c r="D63" s="111" t="s">
        <v>225</v>
      </c>
      <c r="E63" s="267" t="s">
        <v>180</v>
      </c>
      <c r="F63" s="224">
        <f t="shared" si="3"/>
        <v>0.25</v>
      </c>
      <c r="G63" s="264">
        <v>3</v>
      </c>
      <c r="H63" s="208">
        <v>448831.84</v>
      </c>
      <c r="I63" s="225">
        <f t="shared" si="1"/>
        <v>1346495.52</v>
      </c>
      <c r="J63" s="223" t="s">
        <v>59</v>
      </c>
    </row>
    <row r="64" spans="1:12" ht="13.5" x14ac:dyDescent="0.2">
      <c r="A64" s="92">
        <f t="shared" si="2"/>
        <v>46</v>
      </c>
      <c r="B64" s="261" t="s">
        <v>270</v>
      </c>
      <c r="C64" s="111" t="s">
        <v>176</v>
      </c>
      <c r="D64" s="111" t="s">
        <v>218</v>
      </c>
      <c r="E64" s="267" t="s">
        <v>180</v>
      </c>
      <c r="F64" s="224">
        <f t="shared" si="3"/>
        <v>8.3333333333333329E-2</v>
      </c>
      <c r="G64" s="264">
        <v>1</v>
      </c>
      <c r="H64" s="208">
        <v>35254.388571428586</v>
      </c>
      <c r="I64" s="225">
        <f t="shared" si="1"/>
        <v>35254.388571428586</v>
      </c>
      <c r="J64" s="223" t="s">
        <v>59</v>
      </c>
    </row>
    <row r="65" spans="1:10" ht="25.5" x14ac:dyDescent="0.2">
      <c r="A65" s="92">
        <f t="shared" si="2"/>
        <v>47</v>
      </c>
      <c r="B65" s="261" t="s">
        <v>256</v>
      </c>
      <c r="C65" s="111" t="s">
        <v>176</v>
      </c>
      <c r="D65" s="111" t="s">
        <v>218</v>
      </c>
      <c r="E65" s="267" t="s">
        <v>180</v>
      </c>
      <c r="F65" s="224">
        <f t="shared" si="3"/>
        <v>8.3333333333333329E-2</v>
      </c>
      <c r="G65" s="264">
        <v>1</v>
      </c>
      <c r="H65" s="208">
        <v>878284.2</v>
      </c>
      <c r="I65" s="225">
        <f t="shared" si="1"/>
        <v>878284.2</v>
      </c>
      <c r="J65" s="223" t="s">
        <v>59</v>
      </c>
    </row>
    <row r="66" spans="1:10" ht="38.25" x14ac:dyDescent="0.2">
      <c r="A66" s="92">
        <f t="shared" si="2"/>
        <v>48</v>
      </c>
      <c r="B66" s="261" t="s">
        <v>235</v>
      </c>
      <c r="C66" s="111" t="s">
        <v>176</v>
      </c>
      <c r="D66" s="111" t="s">
        <v>218</v>
      </c>
      <c r="E66" s="267" t="s">
        <v>180</v>
      </c>
      <c r="F66" s="224">
        <f t="shared" si="3"/>
        <v>8.3333333333333329E-2</v>
      </c>
      <c r="G66" s="264">
        <v>1</v>
      </c>
      <c r="H66" s="208">
        <v>1590000</v>
      </c>
      <c r="I66" s="225">
        <f t="shared" si="1"/>
        <v>1590000</v>
      </c>
      <c r="J66" s="223" t="s">
        <v>59</v>
      </c>
    </row>
    <row r="67" spans="1:10" ht="25.5" x14ac:dyDescent="0.2">
      <c r="A67" s="92">
        <f t="shared" si="2"/>
        <v>49</v>
      </c>
      <c r="B67" s="261" t="s">
        <v>236</v>
      </c>
      <c r="C67" s="111" t="s">
        <v>176</v>
      </c>
      <c r="D67" s="252"/>
      <c r="E67" s="267" t="s">
        <v>180</v>
      </c>
      <c r="F67" s="224">
        <f t="shared" si="3"/>
        <v>8.3333333333333329E-2</v>
      </c>
      <c r="G67" s="264">
        <v>1</v>
      </c>
      <c r="H67" s="254">
        <v>795000</v>
      </c>
      <c r="I67" s="225">
        <f t="shared" si="1"/>
        <v>795000</v>
      </c>
      <c r="J67" s="223" t="s">
        <v>59</v>
      </c>
    </row>
    <row r="68" spans="1:10" ht="25.5" x14ac:dyDescent="0.2">
      <c r="A68" s="92">
        <f t="shared" si="2"/>
        <v>50</v>
      </c>
      <c r="B68" s="261" t="s">
        <v>237</v>
      </c>
      <c r="C68" s="111" t="s">
        <v>176</v>
      </c>
      <c r="D68" s="252"/>
      <c r="E68" s="267" t="s">
        <v>180</v>
      </c>
      <c r="F68" s="224">
        <f t="shared" si="3"/>
        <v>8.3333333333333329E-2</v>
      </c>
      <c r="G68" s="264">
        <v>1</v>
      </c>
      <c r="H68" s="254">
        <v>878284.2</v>
      </c>
      <c r="I68" s="225">
        <f t="shared" si="1"/>
        <v>878284.2</v>
      </c>
      <c r="J68" s="223" t="s">
        <v>59</v>
      </c>
    </row>
    <row r="69" spans="1:10" ht="51" x14ac:dyDescent="0.2">
      <c r="A69" s="92">
        <f t="shared" si="2"/>
        <v>51</v>
      </c>
      <c r="B69" s="261" t="s">
        <v>238</v>
      </c>
      <c r="C69" s="111" t="s">
        <v>176</v>
      </c>
      <c r="D69" s="111"/>
      <c r="E69" s="267" t="s">
        <v>180</v>
      </c>
      <c r="F69" s="224">
        <f t="shared" si="3"/>
        <v>8.3333333333333329E-2</v>
      </c>
      <c r="G69" s="264">
        <v>1</v>
      </c>
      <c r="H69" s="208">
        <v>3365591.16</v>
      </c>
      <c r="I69" s="225">
        <f t="shared" si="1"/>
        <v>3365591.16</v>
      </c>
      <c r="J69" s="223" t="s">
        <v>59</v>
      </c>
    </row>
    <row r="70" spans="1:10" ht="25.5" x14ac:dyDescent="0.2">
      <c r="A70" s="92">
        <f t="shared" si="2"/>
        <v>52</v>
      </c>
      <c r="B70" s="261" t="s">
        <v>257</v>
      </c>
      <c r="C70" s="111" t="s">
        <v>176</v>
      </c>
      <c r="D70" s="111"/>
      <c r="E70" s="267" t="s">
        <v>180</v>
      </c>
      <c r="F70" s="224">
        <f t="shared" si="3"/>
        <v>8.3333333333333329E-2</v>
      </c>
      <c r="G70" s="264">
        <v>1</v>
      </c>
      <c r="H70" s="208">
        <v>3365591.16</v>
      </c>
      <c r="I70" s="225">
        <f t="shared" si="1"/>
        <v>3365591.16</v>
      </c>
      <c r="J70" s="223" t="s">
        <v>59</v>
      </c>
    </row>
    <row r="71" spans="1:10" ht="38.25" x14ac:dyDescent="0.2">
      <c r="A71" s="92">
        <f t="shared" si="2"/>
        <v>53</v>
      </c>
      <c r="B71" s="261" t="s">
        <v>187</v>
      </c>
      <c r="C71" s="111" t="s">
        <v>176</v>
      </c>
      <c r="D71" s="252"/>
      <c r="E71" s="267" t="s">
        <v>180</v>
      </c>
      <c r="F71" s="224">
        <f t="shared" ref="F71:F87" si="4">+G71/12</f>
        <v>8.3333333333333329E-2</v>
      </c>
      <c r="G71" s="264">
        <v>1</v>
      </c>
      <c r="H71" s="254">
        <v>66524.137931034522</v>
      </c>
      <c r="I71" s="225">
        <f t="shared" si="1"/>
        <v>66524.137931034522</v>
      </c>
      <c r="J71" s="223" t="s">
        <v>59</v>
      </c>
    </row>
    <row r="72" spans="1:10" ht="38.25" x14ac:dyDescent="0.2">
      <c r="A72" s="92">
        <f>1+A71</f>
        <v>54</v>
      </c>
      <c r="B72" s="261" t="s">
        <v>188</v>
      </c>
      <c r="C72" s="111" t="s">
        <v>176</v>
      </c>
      <c r="D72" s="111"/>
      <c r="E72" s="267" t="s">
        <v>180</v>
      </c>
      <c r="F72" s="224">
        <f t="shared" si="4"/>
        <v>8.3333333333333329E-2</v>
      </c>
      <c r="G72" s="264">
        <v>1</v>
      </c>
      <c r="H72" s="208">
        <v>66524.137931034522</v>
      </c>
      <c r="I72" s="225">
        <f t="shared" ref="I72:I87" si="5">+G72*H72</f>
        <v>66524.137931034522</v>
      </c>
      <c r="J72" s="223" t="s">
        <v>59</v>
      </c>
    </row>
    <row r="73" spans="1:10" ht="38.25" x14ac:dyDescent="0.2">
      <c r="A73" s="92">
        <f>1+A72</f>
        <v>55</v>
      </c>
      <c r="B73" s="261" t="s">
        <v>189</v>
      </c>
      <c r="C73" s="111" t="s">
        <v>176</v>
      </c>
      <c r="D73" s="111"/>
      <c r="E73" s="267" t="s">
        <v>180</v>
      </c>
      <c r="F73" s="224">
        <f t="shared" si="4"/>
        <v>8.3333333333333329E-2</v>
      </c>
      <c r="G73" s="264">
        <v>1</v>
      </c>
      <c r="H73" s="208">
        <v>68424.827586206869</v>
      </c>
      <c r="I73" s="225">
        <f t="shared" si="5"/>
        <v>68424.827586206869</v>
      </c>
      <c r="J73" s="223" t="s">
        <v>59</v>
      </c>
    </row>
    <row r="74" spans="1:10" customFormat="1" ht="13.5" x14ac:dyDescent="0.2">
      <c r="A74" s="92">
        <f t="shared" ref="A74:A87" si="6">1+A73</f>
        <v>56</v>
      </c>
      <c r="B74" s="261" t="s">
        <v>269</v>
      </c>
      <c r="C74" s="111" t="s">
        <v>176</v>
      </c>
      <c r="D74" s="111"/>
      <c r="E74" s="267" t="s">
        <v>180</v>
      </c>
      <c r="F74" s="224">
        <f t="shared" si="4"/>
        <v>0.16666666666666666</v>
      </c>
      <c r="G74" s="264">
        <v>2</v>
      </c>
      <c r="H74" s="208">
        <v>181573.14285714237</v>
      </c>
      <c r="I74" s="225">
        <f t="shared" si="5"/>
        <v>363146.28571428475</v>
      </c>
      <c r="J74" s="223" t="s">
        <v>59</v>
      </c>
    </row>
    <row r="75" spans="1:10" customFormat="1" ht="25.5" x14ac:dyDescent="0.2">
      <c r="A75" s="92">
        <f t="shared" si="6"/>
        <v>57</v>
      </c>
      <c r="B75" s="261" t="s">
        <v>268</v>
      </c>
      <c r="C75" s="111" t="s">
        <v>176</v>
      </c>
      <c r="D75" s="111"/>
      <c r="E75" s="267" t="s">
        <v>289</v>
      </c>
      <c r="F75" s="224">
        <f t="shared" si="4"/>
        <v>0.16666666666666666</v>
      </c>
      <c r="G75" s="264">
        <v>2</v>
      </c>
      <c r="H75" s="208">
        <v>3864400.8</v>
      </c>
      <c r="I75" s="225">
        <f t="shared" si="5"/>
        <v>7728801.5999999996</v>
      </c>
      <c r="J75" s="223" t="s">
        <v>59</v>
      </c>
    </row>
    <row r="76" spans="1:10" customFormat="1" ht="25.5" x14ac:dyDescent="0.2">
      <c r="A76" s="92">
        <f t="shared" si="6"/>
        <v>58</v>
      </c>
      <c r="B76" s="261" t="s">
        <v>267</v>
      </c>
      <c r="C76" s="105" t="s">
        <v>176</v>
      </c>
      <c r="D76" s="105"/>
      <c r="E76" s="267" t="s">
        <v>180</v>
      </c>
      <c r="F76" s="245">
        <f t="shared" si="4"/>
        <v>8.3333333333333329E-2</v>
      </c>
      <c r="G76" s="264">
        <v>1</v>
      </c>
      <c r="H76" s="246">
        <v>155053.33333333372</v>
      </c>
      <c r="I76" s="225">
        <f t="shared" si="5"/>
        <v>155053.33333333372</v>
      </c>
      <c r="J76" s="223" t="s">
        <v>59</v>
      </c>
    </row>
    <row r="77" spans="1:10" customFormat="1" ht="114.75" x14ac:dyDescent="0.2">
      <c r="A77" s="92">
        <f t="shared" si="6"/>
        <v>59</v>
      </c>
      <c r="B77" s="261" t="s">
        <v>266</v>
      </c>
      <c r="C77" s="105" t="s">
        <v>176</v>
      </c>
      <c r="D77" s="105"/>
      <c r="E77" s="267" t="s">
        <v>288</v>
      </c>
      <c r="F77" s="245">
        <f t="shared" si="4"/>
        <v>0.25</v>
      </c>
      <c r="G77" s="264">
        <v>3</v>
      </c>
      <c r="H77" s="246">
        <v>2253300</v>
      </c>
      <c r="I77" s="225">
        <f t="shared" si="5"/>
        <v>6759900</v>
      </c>
      <c r="J77" s="223" t="s">
        <v>59</v>
      </c>
    </row>
    <row r="78" spans="1:10" customFormat="1" ht="25.5" x14ac:dyDescent="0.2">
      <c r="A78" s="92">
        <f t="shared" si="6"/>
        <v>60</v>
      </c>
      <c r="B78" s="261" t="s">
        <v>265</v>
      </c>
      <c r="C78" s="111" t="s">
        <v>176</v>
      </c>
      <c r="D78" s="111"/>
      <c r="E78" s="267" t="s">
        <v>180</v>
      </c>
      <c r="F78" s="224">
        <f t="shared" si="4"/>
        <v>1</v>
      </c>
      <c r="G78" s="264">
        <v>12</v>
      </c>
      <c r="H78" s="208">
        <v>5606.6666666666624</v>
      </c>
      <c r="I78" s="225">
        <f t="shared" si="5"/>
        <v>67279.999999999942</v>
      </c>
      <c r="J78" s="223" t="s">
        <v>59</v>
      </c>
    </row>
    <row r="79" spans="1:10" customFormat="1" ht="25.5" x14ac:dyDescent="0.2">
      <c r="A79" s="92">
        <f t="shared" si="6"/>
        <v>61</v>
      </c>
      <c r="B79" s="261" t="s">
        <v>264</v>
      </c>
      <c r="C79" s="111" t="s">
        <v>176</v>
      </c>
      <c r="D79" s="227"/>
      <c r="E79" s="267" t="s">
        <v>287</v>
      </c>
      <c r="F79" s="224">
        <f t="shared" si="4"/>
        <v>0.16666666666666666</v>
      </c>
      <c r="G79" s="264">
        <v>2</v>
      </c>
      <c r="H79" s="209">
        <v>60900</v>
      </c>
      <c r="I79" s="225">
        <f t="shared" si="5"/>
        <v>121800</v>
      </c>
      <c r="J79" s="223" t="s">
        <v>59</v>
      </c>
    </row>
    <row r="80" spans="1:10" customFormat="1" ht="51" x14ac:dyDescent="0.2">
      <c r="A80" s="92">
        <f t="shared" si="6"/>
        <v>62</v>
      </c>
      <c r="B80" s="261" t="s">
        <v>263</v>
      </c>
      <c r="C80" s="111" t="s">
        <v>176</v>
      </c>
      <c r="D80" s="227"/>
      <c r="E80" s="267" t="s">
        <v>286</v>
      </c>
      <c r="F80" s="224">
        <f t="shared" si="4"/>
        <v>8.3333333333333329E-2</v>
      </c>
      <c r="G80" s="264">
        <v>1</v>
      </c>
      <c r="H80" s="209">
        <v>1060014.3799999999</v>
      </c>
      <c r="I80" s="225">
        <f t="shared" si="5"/>
        <v>1060014.3799999999</v>
      </c>
      <c r="J80" s="223" t="s">
        <v>59</v>
      </c>
    </row>
    <row r="81" spans="1:10" customFormat="1" ht="51" x14ac:dyDescent="0.2">
      <c r="A81" s="92">
        <f t="shared" si="6"/>
        <v>63</v>
      </c>
      <c r="B81" s="261" t="s">
        <v>262</v>
      </c>
      <c r="C81" s="111" t="s">
        <v>176</v>
      </c>
      <c r="D81" s="111" t="s">
        <v>220</v>
      </c>
      <c r="E81" s="267" t="s">
        <v>286</v>
      </c>
      <c r="F81" s="224">
        <f t="shared" si="4"/>
        <v>8.3333333333333329E-2</v>
      </c>
      <c r="G81" s="264">
        <v>1</v>
      </c>
      <c r="H81" s="208">
        <v>784817.43</v>
      </c>
      <c r="I81" s="225">
        <f t="shared" si="5"/>
        <v>784817.43</v>
      </c>
      <c r="J81" s="223" t="s">
        <v>59</v>
      </c>
    </row>
    <row r="82" spans="1:10" customFormat="1" ht="13.5" x14ac:dyDescent="0.2">
      <c r="A82" s="92">
        <f t="shared" si="6"/>
        <v>64</v>
      </c>
      <c r="B82" s="262" t="s">
        <v>322</v>
      </c>
      <c r="C82" s="111" t="s">
        <v>176</v>
      </c>
      <c r="D82" s="111"/>
      <c r="E82" s="271" t="s">
        <v>183</v>
      </c>
      <c r="F82" s="224">
        <f t="shared" si="4"/>
        <v>0.33333333333333331</v>
      </c>
      <c r="G82" s="265">
        <v>4</v>
      </c>
      <c r="H82" s="208">
        <v>8352</v>
      </c>
      <c r="I82" s="225">
        <f t="shared" si="5"/>
        <v>33408</v>
      </c>
      <c r="J82" s="223" t="s">
        <v>59</v>
      </c>
    </row>
    <row r="83" spans="1:10" customFormat="1" ht="13.5" x14ac:dyDescent="0.2">
      <c r="A83" s="92">
        <f t="shared" si="6"/>
        <v>65</v>
      </c>
      <c r="B83" s="261" t="s">
        <v>261</v>
      </c>
      <c r="C83" s="111" t="s">
        <v>176</v>
      </c>
      <c r="D83" s="111"/>
      <c r="E83" s="267" t="s">
        <v>285</v>
      </c>
      <c r="F83" s="224">
        <f t="shared" si="4"/>
        <v>0.16666666666666666</v>
      </c>
      <c r="G83" s="264">
        <v>2</v>
      </c>
      <c r="H83" s="208">
        <v>73853.333333333372</v>
      </c>
      <c r="I83" s="225">
        <f t="shared" si="5"/>
        <v>147706.66666666674</v>
      </c>
      <c r="J83" s="223" t="s">
        <v>59</v>
      </c>
    </row>
    <row r="84" spans="1:10" customFormat="1" ht="13.5" x14ac:dyDescent="0.2">
      <c r="A84" s="92">
        <f t="shared" si="6"/>
        <v>66</v>
      </c>
      <c r="B84" s="261" t="s">
        <v>259</v>
      </c>
      <c r="C84" s="111" t="s">
        <v>176</v>
      </c>
      <c r="D84" s="111"/>
      <c r="E84" s="267" t="s">
        <v>180</v>
      </c>
      <c r="F84" s="224">
        <f t="shared" si="4"/>
        <v>0.16666666666666666</v>
      </c>
      <c r="G84" s="264">
        <v>2</v>
      </c>
      <c r="H84" s="208">
        <v>33640</v>
      </c>
      <c r="I84" s="225">
        <f t="shared" si="5"/>
        <v>67280</v>
      </c>
      <c r="J84" s="223" t="s">
        <v>59</v>
      </c>
    </row>
    <row r="85" spans="1:10" customFormat="1" ht="25.5" x14ac:dyDescent="0.2">
      <c r="A85" s="92">
        <f t="shared" si="6"/>
        <v>67</v>
      </c>
      <c r="B85" s="262" t="s">
        <v>323</v>
      </c>
      <c r="C85" s="111" t="s">
        <v>176</v>
      </c>
      <c r="D85" s="174"/>
      <c r="E85" s="271" t="s">
        <v>180</v>
      </c>
      <c r="F85" s="224">
        <f t="shared" si="4"/>
        <v>4.166666666666667</v>
      </c>
      <c r="G85" s="265">
        <v>50</v>
      </c>
      <c r="H85" s="209">
        <v>3422</v>
      </c>
      <c r="I85" s="225">
        <f t="shared" si="5"/>
        <v>171100</v>
      </c>
      <c r="J85" s="223" t="s">
        <v>59</v>
      </c>
    </row>
    <row r="86" spans="1:10" customFormat="1" ht="13.5" x14ac:dyDescent="0.2">
      <c r="A86" s="92">
        <f t="shared" si="6"/>
        <v>68</v>
      </c>
      <c r="B86" s="262" t="s">
        <v>324</v>
      </c>
      <c r="C86" s="111" t="s">
        <v>176</v>
      </c>
      <c r="D86" s="252"/>
      <c r="E86" s="271" t="s">
        <v>180</v>
      </c>
      <c r="F86" s="224">
        <f t="shared" si="4"/>
        <v>41.666666666666664</v>
      </c>
      <c r="G86" s="265">
        <v>500</v>
      </c>
      <c r="H86" s="254">
        <v>231</v>
      </c>
      <c r="I86" s="225">
        <f t="shared" si="5"/>
        <v>115500</v>
      </c>
      <c r="J86" s="223" t="s">
        <v>59</v>
      </c>
    </row>
    <row r="87" spans="1:10" customFormat="1" ht="25.5" x14ac:dyDescent="0.2">
      <c r="A87" s="92">
        <f t="shared" si="6"/>
        <v>69</v>
      </c>
      <c r="B87" s="261" t="s">
        <v>239</v>
      </c>
      <c r="C87" s="111" t="s">
        <v>176</v>
      </c>
      <c r="D87" s="252"/>
      <c r="E87" s="267" t="s">
        <v>180</v>
      </c>
      <c r="F87" s="224">
        <f t="shared" si="4"/>
        <v>41.666666666666664</v>
      </c>
      <c r="G87" s="264">
        <v>500</v>
      </c>
      <c r="H87" s="254">
        <v>1272</v>
      </c>
      <c r="I87" s="225">
        <f t="shared" si="5"/>
        <v>636000</v>
      </c>
      <c r="J87" s="223" t="s">
        <v>59</v>
      </c>
    </row>
    <row r="88" spans="1:10" ht="13.5" x14ac:dyDescent="0.2">
      <c r="A88" s="354" t="s">
        <v>19</v>
      </c>
      <c r="B88" s="354"/>
      <c r="C88" s="228"/>
      <c r="D88" s="228"/>
      <c r="E88" s="229"/>
      <c r="F88" s="230"/>
      <c r="G88" s="230"/>
      <c r="H88" s="231"/>
      <c r="I88" s="231">
        <f>SUM(I19:I87)</f>
        <v>80239294.220494911</v>
      </c>
      <c r="J88" s="247"/>
    </row>
    <row r="89" spans="1:10" x14ac:dyDescent="0.2">
      <c r="I89" s="233"/>
    </row>
  </sheetData>
  <mergeCells count="24">
    <mergeCell ref="A88:B88"/>
    <mergeCell ref="I6:J8"/>
    <mergeCell ref="I1:J1"/>
    <mergeCell ref="I2:J2"/>
    <mergeCell ref="I3:J3"/>
    <mergeCell ref="I5:J5"/>
    <mergeCell ref="I4:J4"/>
    <mergeCell ref="J17:J18"/>
    <mergeCell ref="E17:E18"/>
    <mergeCell ref="B17:B18"/>
    <mergeCell ref="A17:A18"/>
    <mergeCell ref="C17:C18"/>
    <mergeCell ref="D17:D18"/>
    <mergeCell ref="H17:I17"/>
    <mergeCell ref="F17:G17"/>
    <mergeCell ref="A13:B13"/>
    <mergeCell ref="A12:B12"/>
    <mergeCell ref="A1:B8"/>
    <mergeCell ref="C9:D9"/>
    <mergeCell ref="A11:B11"/>
    <mergeCell ref="C1:H5"/>
    <mergeCell ref="C6:E8"/>
    <mergeCell ref="F6:H8"/>
    <mergeCell ref="A9:B9"/>
  </mergeCells>
  <phoneticPr fontId="0" type="noConversion"/>
  <printOptions horizontalCentered="1" verticalCentered="1"/>
  <pageMargins left="0.78740157480314965" right="0.98425196850393704" top="0.98425196850393704" bottom="0.98425196850393704" header="0" footer="0"/>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topLeftCell="A18" zoomScale="75" workbookViewId="0">
      <selection activeCell="F18" sqref="F18"/>
    </sheetView>
  </sheetViews>
  <sheetFormatPr baseColWidth="10" defaultRowHeight="12.75" x14ac:dyDescent="0.2"/>
  <cols>
    <col min="1" max="1" width="5.140625" style="4" customWidth="1"/>
    <col min="2" max="2" width="36.7109375" style="4" customWidth="1"/>
    <col min="3" max="3" width="13.85546875" style="4" customWidth="1"/>
    <col min="4" max="4" width="12.5703125" style="4" hidden="1" customWidth="1"/>
    <col min="5" max="5" width="8.28515625" style="4" customWidth="1"/>
    <col min="6" max="6" width="10.28515625" style="4" customWidth="1"/>
    <col min="7" max="7" width="9.42578125" style="4" customWidth="1"/>
    <col min="8" max="8" width="11.7109375" style="4" customWidth="1"/>
    <col min="9" max="9" width="15.7109375" style="4" customWidth="1"/>
    <col min="10" max="10" width="12.85546875" style="4" customWidth="1"/>
    <col min="11" max="16384" width="11.42578125" style="4"/>
  </cols>
  <sheetData>
    <row r="1" spans="1:11" ht="12.75" customHeight="1" x14ac:dyDescent="0.2">
      <c r="A1" s="314"/>
      <c r="B1" s="315"/>
      <c r="C1" s="320" t="str">
        <f>+'POA-01'!C1:H5</f>
        <v>PLAN OPERATIVO ANUAL DE INVERSIONES - POAI - 2013</v>
      </c>
      <c r="D1" s="321"/>
      <c r="E1" s="321"/>
      <c r="F1" s="321"/>
      <c r="G1" s="321"/>
      <c r="H1" s="321"/>
      <c r="I1" s="326" t="s">
        <v>241</v>
      </c>
      <c r="J1" s="326"/>
      <c r="K1" s="88"/>
    </row>
    <row r="2" spans="1:11" ht="16.5" customHeight="1" x14ac:dyDescent="0.2">
      <c r="A2" s="316"/>
      <c r="B2" s="317"/>
      <c r="C2" s="322"/>
      <c r="D2" s="323"/>
      <c r="E2" s="323"/>
      <c r="F2" s="323"/>
      <c r="G2" s="323"/>
      <c r="H2" s="323"/>
      <c r="I2" s="326" t="s">
        <v>242</v>
      </c>
      <c r="J2" s="326"/>
      <c r="K2" s="88"/>
    </row>
    <row r="3" spans="1:11" ht="15.75" customHeight="1" x14ac:dyDescent="0.2">
      <c r="A3" s="316"/>
      <c r="B3" s="317"/>
      <c r="C3" s="322"/>
      <c r="D3" s="323"/>
      <c r="E3" s="323"/>
      <c r="F3" s="323"/>
      <c r="G3" s="323"/>
      <c r="H3" s="323"/>
      <c r="I3" s="326" t="s">
        <v>243</v>
      </c>
      <c r="J3" s="326"/>
      <c r="K3" s="88"/>
    </row>
    <row r="4" spans="1:11" ht="15.75" customHeight="1" x14ac:dyDescent="0.2">
      <c r="A4" s="316"/>
      <c r="B4" s="317"/>
      <c r="C4" s="322"/>
      <c r="D4" s="323"/>
      <c r="E4" s="323"/>
      <c r="F4" s="323"/>
      <c r="G4" s="323"/>
      <c r="H4" s="323"/>
      <c r="I4" s="326" t="s">
        <v>244</v>
      </c>
      <c r="J4" s="326"/>
      <c r="K4" s="88"/>
    </row>
    <row r="5" spans="1:11" ht="15.75" customHeight="1" x14ac:dyDescent="0.2">
      <c r="A5" s="316"/>
      <c r="B5" s="317"/>
      <c r="C5" s="324"/>
      <c r="D5" s="325"/>
      <c r="E5" s="325"/>
      <c r="F5" s="325"/>
      <c r="G5" s="325"/>
      <c r="H5" s="325"/>
      <c r="I5" s="326" t="s">
        <v>245</v>
      </c>
      <c r="J5" s="326"/>
      <c r="K5" s="88"/>
    </row>
    <row r="6" spans="1:1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ht="15" customHeight="1" x14ac:dyDescent="0.2">
      <c r="A8" s="318"/>
      <c r="B8" s="319"/>
      <c r="C8" s="331"/>
      <c r="D8" s="332"/>
      <c r="E8" s="332"/>
      <c r="F8" s="334"/>
      <c r="G8" s="334"/>
      <c r="H8" s="334"/>
      <c r="I8" s="336"/>
      <c r="J8" s="336"/>
      <c r="K8" s="90"/>
    </row>
    <row r="9" spans="1:11" s="6" customFormat="1" ht="15" customHeight="1" x14ac:dyDescent="0.2">
      <c r="A9" s="357" t="s">
        <v>154</v>
      </c>
      <c r="B9" s="357"/>
      <c r="C9" s="358"/>
      <c r="D9" s="358"/>
      <c r="E9" s="358"/>
      <c r="F9" s="358"/>
      <c r="G9" s="80"/>
      <c r="H9" s="124" t="s">
        <v>118</v>
      </c>
      <c r="I9" s="197" t="str">
        <f>+'POA-01'!J10</f>
        <v>0530-0904-2</v>
      </c>
      <c r="J9" s="80"/>
      <c r="K9" s="7"/>
    </row>
    <row r="10" spans="1:11" s="6" customFormat="1" ht="16.5" x14ac:dyDescent="0.3">
      <c r="A10" s="347" t="s">
        <v>8</v>
      </c>
      <c r="B10" s="347"/>
      <c r="C10" s="238">
        <f>'POA-01'!C10</f>
        <v>411534765.69657493</v>
      </c>
      <c r="D10" s="74"/>
      <c r="E10" s="80"/>
      <c r="F10" s="80"/>
      <c r="G10" s="80"/>
      <c r="H10" s="80"/>
      <c r="I10" s="80"/>
      <c r="J10" s="80"/>
      <c r="K10" s="7"/>
    </row>
    <row r="11" spans="1:11" s="6" customFormat="1" ht="16.5" x14ac:dyDescent="0.3">
      <c r="A11" s="347" t="s">
        <v>150</v>
      </c>
      <c r="B11" s="347"/>
      <c r="C11" s="239">
        <f>'POA-01'!D11</f>
        <v>0</v>
      </c>
      <c r="D11" s="73"/>
      <c r="E11" s="80"/>
      <c r="F11" s="80"/>
      <c r="G11" s="80"/>
      <c r="H11" s="80"/>
      <c r="I11" s="80"/>
      <c r="J11" s="80"/>
      <c r="K11" s="7"/>
    </row>
    <row r="12" spans="1:11" s="6" customFormat="1" ht="16.5" x14ac:dyDescent="0.3">
      <c r="A12" s="347" t="s">
        <v>9</v>
      </c>
      <c r="B12" s="347"/>
      <c r="C12" s="240">
        <f>C10</f>
        <v>411534765.69657493</v>
      </c>
      <c r="D12" s="75"/>
      <c r="E12" s="80"/>
      <c r="F12" s="80"/>
      <c r="G12" s="80"/>
      <c r="H12" s="80"/>
      <c r="I12" s="80"/>
      <c r="J12" s="80"/>
      <c r="K12" s="7"/>
    </row>
    <row r="13" spans="1:11" s="5" customFormat="1" ht="13.5" x14ac:dyDescent="0.25">
      <c r="A13" s="98"/>
      <c r="B13" s="98"/>
      <c r="C13" s="98"/>
      <c r="D13" s="98"/>
      <c r="E13" s="98"/>
      <c r="F13" s="98"/>
      <c r="G13" s="98"/>
      <c r="H13" s="98"/>
      <c r="I13" s="98"/>
      <c r="J13" s="98"/>
    </row>
    <row r="14" spans="1:11" s="8" customFormat="1" ht="14.25" thickBot="1" x14ac:dyDescent="0.3">
      <c r="A14" s="99" t="s">
        <v>36</v>
      </c>
      <c r="B14" s="81"/>
      <c r="C14" s="81"/>
      <c r="D14" s="81"/>
      <c r="E14" s="81"/>
      <c r="F14" s="81"/>
      <c r="G14" s="81"/>
      <c r="H14" s="81"/>
      <c r="I14" s="82" t="s">
        <v>37</v>
      </c>
      <c r="J14" s="81"/>
    </row>
    <row r="15" spans="1:11" s="9" customFormat="1" ht="27.75" thickBot="1" x14ac:dyDescent="0.25">
      <c r="A15" s="100" t="s">
        <v>50</v>
      </c>
      <c r="B15" s="101" t="s">
        <v>35</v>
      </c>
      <c r="C15" s="101" t="s">
        <v>29</v>
      </c>
      <c r="D15" s="101" t="s">
        <v>161</v>
      </c>
      <c r="E15" s="102" t="s">
        <v>30</v>
      </c>
      <c r="F15" s="102" t="s">
        <v>26</v>
      </c>
      <c r="G15" s="102" t="s">
        <v>40</v>
      </c>
      <c r="H15" s="102" t="s">
        <v>191</v>
      </c>
      <c r="I15" s="103" t="s">
        <v>39</v>
      </c>
      <c r="J15" s="104"/>
    </row>
    <row r="16" spans="1:11" s="9" customFormat="1" ht="40.5" x14ac:dyDescent="0.2">
      <c r="A16" s="67">
        <v>1</v>
      </c>
      <c r="B16" s="105" t="s">
        <v>252</v>
      </c>
      <c r="C16" s="106" t="s">
        <v>176</v>
      </c>
      <c r="D16" s="106"/>
      <c r="E16" s="107" t="s">
        <v>180</v>
      </c>
      <c r="F16" s="108">
        <v>1</v>
      </c>
      <c r="G16" s="109">
        <f>(1469086.248-56545.78)*1.06</f>
        <v>1497292.8960799999</v>
      </c>
      <c r="H16" s="107">
        <f t="shared" ref="H16:H22" si="0">+G16*F16</f>
        <v>1497292.8960799999</v>
      </c>
      <c r="I16" s="110" t="s">
        <v>58</v>
      </c>
      <c r="J16" s="104"/>
    </row>
    <row r="17" spans="1:10" s="9" customFormat="1" ht="24" x14ac:dyDescent="0.2">
      <c r="A17" s="67">
        <f>+A16+1</f>
        <v>2</v>
      </c>
      <c r="B17" s="253" t="s">
        <v>284</v>
      </c>
      <c r="C17" s="106" t="s">
        <v>176</v>
      </c>
      <c r="D17" s="106"/>
      <c r="E17" s="107" t="s">
        <v>180</v>
      </c>
      <c r="F17" s="108">
        <v>4</v>
      </c>
      <c r="G17" s="109">
        <f>1.06*2800000</f>
        <v>2968000</v>
      </c>
      <c r="H17" s="107">
        <f t="shared" si="0"/>
        <v>11872000</v>
      </c>
      <c r="I17" s="110" t="s">
        <v>58</v>
      </c>
      <c r="J17" s="104"/>
    </row>
    <row r="18" spans="1:10" s="9" customFormat="1" ht="89.25" x14ac:dyDescent="0.2">
      <c r="A18" s="67">
        <v>3</v>
      </c>
      <c r="B18" s="272" t="s">
        <v>283</v>
      </c>
      <c r="C18" s="111" t="s">
        <v>176</v>
      </c>
      <c r="D18" s="111"/>
      <c r="E18" s="267" t="s">
        <v>180</v>
      </c>
      <c r="F18" s="108">
        <v>1</v>
      </c>
      <c r="G18" s="208">
        <v>8635582.879999999</v>
      </c>
      <c r="H18" s="107">
        <f t="shared" si="0"/>
        <v>8635582.879999999</v>
      </c>
      <c r="I18" s="110" t="s">
        <v>58</v>
      </c>
      <c r="J18" s="104"/>
    </row>
    <row r="19" spans="1:10" s="9" customFormat="1" ht="48" x14ac:dyDescent="0.2">
      <c r="A19" s="67">
        <v>4</v>
      </c>
      <c r="B19" s="255" t="s">
        <v>279</v>
      </c>
      <c r="C19" s="111" t="s">
        <v>176</v>
      </c>
      <c r="D19" s="111"/>
      <c r="E19" s="107" t="s">
        <v>180</v>
      </c>
      <c r="F19" s="112">
        <v>1</v>
      </c>
      <c r="G19" s="254">
        <f>1.06*4282500</f>
        <v>4539450</v>
      </c>
      <c r="H19" s="107">
        <f t="shared" si="0"/>
        <v>4539450</v>
      </c>
      <c r="I19" s="110" t="s">
        <v>58</v>
      </c>
      <c r="J19" s="104"/>
    </row>
    <row r="20" spans="1:10" s="9" customFormat="1" ht="84" x14ac:dyDescent="0.2">
      <c r="A20" s="67">
        <v>5</v>
      </c>
      <c r="B20" s="255" t="s">
        <v>275</v>
      </c>
      <c r="C20" s="111" t="s">
        <v>176</v>
      </c>
      <c r="D20" s="111"/>
      <c r="E20" s="109" t="s">
        <v>180</v>
      </c>
      <c r="F20" s="112">
        <v>1</v>
      </c>
      <c r="G20" s="254">
        <f>1.06*7600000</f>
        <v>8056000</v>
      </c>
      <c r="H20" s="107">
        <f t="shared" si="0"/>
        <v>8056000</v>
      </c>
      <c r="I20" s="110" t="s">
        <v>58</v>
      </c>
      <c r="J20" s="104"/>
    </row>
    <row r="21" spans="1:10" s="9" customFormat="1" ht="108" x14ac:dyDescent="0.2">
      <c r="A21" s="67">
        <v>6</v>
      </c>
      <c r="B21" s="255" t="s">
        <v>329</v>
      </c>
      <c r="C21" s="111" t="s">
        <v>176</v>
      </c>
      <c r="D21" s="111"/>
      <c r="E21" s="107" t="s">
        <v>180</v>
      </c>
      <c r="F21" s="112">
        <v>1</v>
      </c>
      <c r="G21" s="254">
        <f>1.06*20514560</f>
        <v>21745433.600000001</v>
      </c>
      <c r="H21" s="107">
        <f t="shared" si="0"/>
        <v>21745433.600000001</v>
      </c>
      <c r="I21" s="110" t="s">
        <v>58</v>
      </c>
      <c r="J21" s="104"/>
    </row>
    <row r="22" spans="1:10" s="9" customFormat="1" ht="24" x14ac:dyDescent="0.2">
      <c r="A22" s="67">
        <v>7</v>
      </c>
      <c r="B22" s="253" t="s">
        <v>260</v>
      </c>
      <c r="C22" s="111" t="s">
        <v>176</v>
      </c>
      <c r="D22" s="111"/>
      <c r="E22" s="107" t="s">
        <v>180</v>
      </c>
      <c r="F22" s="112">
        <v>1</v>
      </c>
      <c r="G22" s="254">
        <f>1.06*794520</f>
        <v>842191.20000000007</v>
      </c>
      <c r="H22" s="107">
        <f t="shared" si="0"/>
        <v>842191.20000000007</v>
      </c>
      <c r="I22" s="110" t="s">
        <v>58</v>
      </c>
      <c r="J22" s="104"/>
    </row>
    <row r="23" spans="1:10" s="5" customFormat="1" ht="13.5" x14ac:dyDescent="0.25">
      <c r="A23" s="113"/>
      <c r="B23" s="113"/>
      <c r="C23" s="113"/>
      <c r="D23" s="113"/>
      <c r="E23" s="114"/>
      <c r="F23" s="114"/>
      <c r="G23" s="97" t="s">
        <v>31</v>
      </c>
      <c r="H23" s="97">
        <f>SUM(H16:H22)</f>
        <v>57187950.576080002</v>
      </c>
      <c r="I23" s="97"/>
      <c r="J23" s="98"/>
    </row>
    <row r="24" spans="1:10" s="5" customFormat="1" ht="11.25" x14ac:dyDescent="0.15">
      <c r="E24" s="17"/>
      <c r="F24" s="17"/>
      <c r="G24" s="17"/>
      <c r="H24" s="17"/>
      <c r="I24" s="17"/>
    </row>
    <row r="25" spans="1:10" s="5" customFormat="1" ht="11.25" x14ac:dyDescent="0.15"/>
    <row r="26" spans="1:10" s="5" customFormat="1" ht="11.25" x14ac:dyDescent="0.15"/>
    <row r="27" spans="1:10" s="5" customFormat="1" ht="11.25" x14ac:dyDescent="0.15">
      <c r="H27" s="58"/>
    </row>
    <row r="28" spans="1:10" s="5" customFormat="1" ht="11.25" x14ac:dyDescent="0.15"/>
  </sheetData>
  <mergeCells count="15">
    <mergeCell ref="C6:E8"/>
    <mergeCell ref="F6:H8"/>
    <mergeCell ref="I6:J8"/>
    <mergeCell ref="A1:B8"/>
    <mergeCell ref="C1:H5"/>
    <mergeCell ref="I1:J1"/>
    <mergeCell ref="I2:J2"/>
    <mergeCell ref="I3:J3"/>
    <mergeCell ref="I4:J4"/>
    <mergeCell ref="I5:J5"/>
    <mergeCell ref="A11:B11"/>
    <mergeCell ref="A12:B12"/>
    <mergeCell ref="A9:B9"/>
    <mergeCell ref="C9:F9"/>
    <mergeCell ref="A10:B10"/>
  </mergeCells>
  <phoneticPr fontId="0" type="noConversion"/>
  <dataValidations count="2">
    <dataValidation type="textLength" allowBlank="1" showInputMessage="1" showErrorMessage="1" error="Escriba un texto _x000a_Maximo 390 Caracteres" promptTitle="Cualquier contenido_x000a_Maximo 390 Caracteres" prompt="_x000a_Registre la unidad de medida del bien o servicio a adquirir._x000a_Ej.: LITROS, METROS, KILOMETROS, UNIDADES, PACAS, BULTOS, TURNOS, VOLTIOS, LITROS, ETC." sqref="E18">
      <formula1>0</formula1>
      <formula2>390</formula2>
    </dataValidation>
    <dataValidation type="textLength" allowBlank="1" showInputMessage="1" showErrorMessage="1" error="Escriba un texto _x000a_Maximo 390 Caracteres" promptTitle="Cualquier contenido_x000a_Maximo 390 Caracteres" prompt="_x000a_Registre el nombre de los bienes o servicios a adquirir._x000a_Ej.: PAPEL, LAPICES, COMPUTADORES,  ETC." sqref="B18">
      <formula1>0</formula1>
      <formula2>390</formula2>
    </dataValidation>
  </dataValidations>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9"/>
  <sheetViews>
    <sheetView showGridLines="0" topLeftCell="A5" zoomScale="75" workbookViewId="0">
      <selection activeCell="D24" sqref="D24"/>
    </sheetView>
  </sheetViews>
  <sheetFormatPr baseColWidth="10" defaultRowHeight="12.75" x14ac:dyDescent="0.2"/>
  <cols>
    <col min="1" max="1" width="5.5703125" style="4" customWidth="1"/>
    <col min="2" max="2" width="27.28515625" style="4" customWidth="1"/>
    <col min="3" max="3" width="16.7109375" style="4" customWidth="1"/>
    <col min="4" max="4" width="7.140625" style="4" customWidth="1"/>
    <col min="5" max="5" width="7.28515625" style="4" customWidth="1"/>
    <col min="6" max="6" width="8.28515625" style="4" customWidth="1"/>
    <col min="7" max="7" width="15.7109375" style="4" customWidth="1"/>
    <col min="8" max="8" width="15.42578125" style="4" customWidth="1"/>
    <col min="9" max="9" width="14.5703125" style="4" customWidth="1"/>
    <col min="10" max="10" width="11.42578125" style="4"/>
    <col min="11" max="11" width="17.42578125" style="4" customWidth="1"/>
    <col min="12" max="12" width="11.42578125" style="4"/>
    <col min="13" max="13" width="12.7109375" style="4" bestFit="1" customWidth="1"/>
    <col min="14" max="16384" width="11.42578125" style="4"/>
  </cols>
  <sheetData>
    <row r="1" spans="1:11" ht="12.75" customHeight="1" x14ac:dyDescent="0.2">
      <c r="A1" s="314"/>
      <c r="B1" s="315"/>
      <c r="C1" s="320" t="str">
        <f>+'POA-01'!C1:H5</f>
        <v>PLAN OPERATIVO ANUAL DE INVERSIONES - POAI - 2013</v>
      </c>
      <c r="D1" s="321"/>
      <c r="E1" s="321"/>
      <c r="F1" s="321"/>
      <c r="G1" s="321"/>
      <c r="H1" s="321"/>
      <c r="I1" s="326" t="s">
        <v>241</v>
      </c>
      <c r="J1" s="326"/>
      <c r="K1" s="88"/>
    </row>
    <row r="2" spans="1:11" ht="16.5" customHeight="1" x14ac:dyDescent="0.2">
      <c r="A2" s="316"/>
      <c r="B2" s="317"/>
      <c r="C2" s="322"/>
      <c r="D2" s="323"/>
      <c r="E2" s="323"/>
      <c r="F2" s="323"/>
      <c r="G2" s="323"/>
      <c r="H2" s="323"/>
      <c r="I2" s="326" t="s">
        <v>242</v>
      </c>
      <c r="J2" s="326"/>
      <c r="K2" s="88"/>
    </row>
    <row r="3" spans="1:11" ht="15.75" customHeight="1" x14ac:dyDescent="0.2">
      <c r="A3" s="316"/>
      <c r="B3" s="317"/>
      <c r="C3" s="322"/>
      <c r="D3" s="323"/>
      <c r="E3" s="323"/>
      <c r="F3" s="323"/>
      <c r="G3" s="323"/>
      <c r="H3" s="323"/>
      <c r="I3" s="326" t="s">
        <v>243</v>
      </c>
      <c r="J3" s="326"/>
      <c r="K3" s="88"/>
    </row>
    <row r="4" spans="1:11" ht="15.75" customHeight="1" x14ac:dyDescent="0.2">
      <c r="A4" s="316"/>
      <c r="B4" s="317"/>
      <c r="C4" s="322"/>
      <c r="D4" s="323"/>
      <c r="E4" s="323"/>
      <c r="F4" s="323"/>
      <c r="G4" s="323"/>
      <c r="H4" s="323"/>
      <c r="I4" s="326" t="s">
        <v>244</v>
      </c>
      <c r="J4" s="326"/>
      <c r="K4" s="88"/>
    </row>
    <row r="5" spans="1:11" ht="15.75" customHeight="1" x14ac:dyDescent="0.2">
      <c r="A5" s="316"/>
      <c r="B5" s="317"/>
      <c r="C5" s="324"/>
      <c r="D5" s="325"/>
      <c r="E5" s="325"/>
      <c r="F5" s="325"/>
      <c r="G5" s="325"/>
      <c r="H5" s="325"/>
      <c r="I5" s="326" t="s">
        <v>245</v>
      </c>
      <c r="J5" s="326"/>
      <c r="K5" s="88"/>
    </row>
    <row r="6" spans="1:1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ht="15" customHeight="1" x14ac:dyDescent="0.2">
      <c r="A8" s="318"/>
      <c r="B8" s="319"/>
      <c r="C8" s="331"/>
      <c r="D8" s="332"/>
      <c r="E8" s="332"/>
      <c r="F8" s="334"/>
      <c r="G8" s="334"/>
      <c r="H8" s="334"/>
      <c r="I8" s="336"/>
      <c r="J8" s="336"/>
      <c r="K8" s="90"/>
    </row>
    <row r="9" spans="1:11" s="5" customFormat="1" ht="16.5" x14ac:dyDescent="0.15">
      <c r="A9" s="147" t="s">
        <v>7</v>
      </c>
      <c r="B9" s="147"/>
      <c r="C9" s="359" t="str">
        <f>+'POA-01'!C9:D9</f>
        <v>MONITOREO DE LA CALIDAD DEL RECURSO HÍDRICO</v>
      </c>
      <c r="D9" s="359"/>
      <c r="E9" s="359"/>
      <c r="F9" s="80"/>
      <c r="G9" s="124" t="s">
        <v>118</v>
      </c>
      <c r="H9" s="124"/>
      <c r="I9" s="198" t="str">
        <f>+'POA-01'!J10</f>
        <v>0530-0904-2</v>
      </c>
    </row>
    <row r="10" spans="1:11" s="5" customFormat="1" ht="16.5" x14ac:dyDescent="0.3">
      <c r="A10" s="347" t="s">
        <v>8</v>
      </c>
      <c r="B10" s="347"/>
      <c r="C10" s="74">
        <f>+'POA-01'!C10</f>
        <v>411534765.69657493</v>
      </c>
      <c r="D10" s="80"/>
      <c r="E10" s="80"/>
      <c r="F10" s="80"/>
      <c r="G10" s="80"/>
      <c r="H10" s="80"/>
      <c r="I10" s="80"/>
    </row>
    <row r="11" spans="1:11" s="5" customFormat="1" ht="16.5" x14ac:dyDescent="0.3">
      <c r="A11" s="347" t="s">
        <v>10</v>
      </c>
      <c r="B11" s="347"/>
      <c r="C11" s="76">
        <f>'POA-01'!D11</f>
        <v>0</v>
      </c>
      <c r="D11" s="80"/>
      <c r="E11" s="80"/>
      <c r="F11" s="80"/>
      <c r="G11" s="80"/>
      <c r="H11" s="80"/>
      <c r="I11" s="80"/>
    </row>
    <row r="12" spans="1:11" s="5" customFormat="1" ht="16.5" x14ac:dyDescent="0.3">
      <c r="A12" s="347" t="s">
        <v>9</v>
      </c>
      <c r="B12" s="347"/>
      <c r="C12" s="74">
        <f>+C10</f>
        <v>411534765.69657493</v>
      </c>
      <c r="D12" s="80"/>
      <c r="E12" s="80"/>
      <c r="F12" s="80"/>
      <c r="G12" s="80"/>
      <c r="H12" s="80"/>
      <c r="I12" s="80"/>
    </row>
    <row r="13" spans="1:11" s="5" customFormat="1" ht="16.5" x14ac:dyDescent="0.2">
      <c r="A13" s="64"/>
      <c r="B13" s="64"/>
      <c r="C13" s="74"/>
      <c r="D13" s="64"/>
      <c r="E13" s="64"/>
      <c r="F13" s="64"/>
      <c r="G13" s="64"/>
      <c r="H13" s="64"/>
      <c r="I13" s="64"/>
    </row>
    <row r="14" spans="1:11" s="5" customFormat="1" ht="14.25" thickBot="1" x14ac:dyDescent="0.3">
      <c r="A14" s="81" t="s">
        <v>41</v>
      </c>
      <c r="B14" s="81"/>
      <c r="C14" s="81"/>
      <c r="D14" s="81"/>
      <c r="E14" s="81"/>
      <c r="F14" s="81"/>
      <c r="G14" s="81"/>
      <c r="H14" s="81"/>
      <c r="I14" s="82" t="s">
        <v>47</v>
      </c>
    </row>
    <row r="15" spans="1:11" s="5" customFormat="1" ht="13.5" x14ac:dyDescent="0.15">
      <c r="A15" s="311" t="s">
        <v>50</v>
      </c>
      <c r="B15" s="308" t="s">
        <v>16</v>
      </c>
      <c r="C15" s="308" t="s">
        <v>27</v>
      </c>
      <c r="D15" s="365" t="s">
        <v>0</v>
      </c>
      <c r="E15" s="366"/>
      <c r="F15" s="367"/>
      <c r="G15" s="368" t="s">
        <v>44</v>
      </c>
      <c r="H15" s="368" t="s">
        <v>43</v>
      </c>
      <c r="I15" s="298" t="s">
        <v>3</v>
      </c>
    </row>
    <row r="16" spans="1:11" s="5" customFormat="1" ht="18.75" thickBot="1" x14ac:dyDescent="0.2">
      <c r="A16" s="312"/>
      <c r="B16" s="309"/>
      <c r="C16" s="309"/>
      <c r="D16" s="115" t="s">
        <v>42</v>
      </c>
      <c r="E16" s="115" t="s">
        <v>4</v>
      </c>
      <c r="F16" s="115" t="s">
        <v>5</v>
      </c>
      <c r="G16" s="369"/>
      <c r="H16" s="369"/>
      <c r="I16" s="299"/>
    </row>
    <row r="17" spans="1:13" s="5" customFormat="1" ht="13.5" x14ac:dyDescent="0.15">
      <c r="A17" s="361" t="s">
        <v>45</v>
      </c>
      <c r="B17" s="361"/>
      <c r="C17" s="361"/>
      <c r="D17" s="361"/>
      <c r="E17" s="361"/>
      <c r="F17" s="361"/>
      <c r="G17" s="361"/>
      <c r="H17" s="361"/>
      <c r="I17" s="361"/>
    </row>
    <row r="18" spans="1:13" s="5" customFormat="1" ht="81" x14ac:dyDescent="0.15">
      <c r="A18" s="95"/>
      <c r="B18" s="199" t="s">
        <v>253</v>
      </c>
      <c r="C18" s="109">
        <v>37855850</v>
      </c>
      <c r="D18" s="67" t="s">
        <v>57</v>
      </c>
      <c r="E18" s="67" t="s">
        <v>66</v>
      </c>
      <c r="F18" s="67">
        <v>10</v>
      </c>
      <c r="G18" s="199" t="s">
        <v>193</v>
      </c>
      <c r="H18" s="199" t="s">
        <v>192</v>
      </c>
      <c r="I18" s="67" t="s">
        <v>194</v>
      </c>
    </row>
    <row r="19" spans="1:13" s="5" customFormat="1" ht="13.5" x14ac:dyDescent="0.15">
      <c r="A19" s="362" t="s">
        <v>31</v>
      </c>
      <c r="B19" s="362"/>
      <c r="C19" s="117">
        <f>SUM(C18:C18)</f>
        <v>37855850</v>
      </c>
      <c r="D19" s="96"/>
      <c r="E19" s="96"/>
      <c r="F19" s="96"/>
      <c r="G19" s="96"/>
      <c r="H19" s="96"/>
      <c r="I19" s="96"/>
    </row>
    <row r="20" spans="1:13" s="5" customFormat="1" ht="13.5" customHeight="1" x14ac:dyDescent="0.15">
      <c r="A20" s="363" t="s">
        <v>46</v>
      </c>
      <c r="B20" s="364"/>
      <c r="C20" s="96"/>
      <c r="D20" s="96"/>
      <c r="E20" s="96"/>
      <c r="F20" s="96"/>
      <c r="G20" s="96"/>
      <c r="H20" s="96"/>
      <c r="I20" s="96"/>
      <c r="K20" s="168"/>
    </row>
    <row r="21" spans="1:13" s="5" customFormat="1" ht="40.5" x14ac:dyDescent="0.15">
      <c r="A21" s="67">
        <v>1</v>
      </c>
      <c r="B21" s="174" t="s">
        <v>195</v>
      </c>
      <c r="C21" s="201">
        <f>1.16*8000000+2033301</f>
        <v>11313301</v>
      </c>
      <c r="D21" s="145" t="s">
        <v>57</v>
      </c>
      <c r="E21" s="145" t="s">
        <v>57</v>
      </c>
      <c r="F21" s="67">
        <v>1</v>
      </c>
      <c r="G21" s="95" t="s">
        <v>333</v>
      </c>
      <c r="H21" s="174" t="s">
        <v>197</v>
      </c>
      <c r="I21" s="67" t="s">
        <v>194</v>
      </c>
      <c r="K21" s="165"/>
      <c r="M21" s="169"/>
    </row>
    <row r="22" spans="1:13" s="5" customFormat="1" ht="40.5" x14ac:dyDescent="0.15">
      <c r="A22" s="67">
        <v>2</v>
      </c>
      <c r="B22" s="174" t="s">
        <v>196</v>
      </c>
      <c r="C22" s="201">
        <f>4500000+900000</f>
        <v>5400000</v>
      </c>
      <c r="D22" s="145" t="s">
        <v>57</v>
      </c>
      <c r="E22" s="145" t="s">
        <v>57</v>
      </c>
      <c r="F22" s="67">
        <v>1</v>
      </c>
      <c r="G22" s="95" t="s">
        <v>333</v>
      </c>
      <c r="H22" s="174" t="s">
        <v>198</v>
      </c>
      <c r="I22" s="67" t="s">
        <v>194</v>
      </c>
      <c r="J22" s="166"/>
      <c r="K22" s="165"/>
    </row>
    <row r="23" spans="1:13" s="5" customFormat="1" ht="27" x14ac:dyDescent="0.15">
      <c r="A23" s="67">
        <v>3</v>
      </c>
      <c r="B23" s="174" t="s">
        <v>307</v>
      </c>
      <c r="C23" s="201">
        <f>17000000-900000</f>
        <v>16100000</v>
      </c>
      <c r="D23" s="145" t="s">
        <v>249</v>
      </c>
      <c r="E23" s="145" t="s">
        <v>66</v>
      </c>
      <c r="F23" s="67">
        <v>6</v>
      </c>
      <c r="G23" s="95" t="s">
        <v>333</v>
      </c>
      <c r="H23" s="174" t="s">
        <v>332</v>
      </c>
      <c r="I23" s="67" t="s">
        <v>194</v>
      </c>
      <c r="J23" s="166"/>
      <c r="K23" s="165"/>
    </row>
    <row r="24" spans="1:13" s="5" customFormat="1" ht="13.5" x14ac:dyDescent="0.15">
      <c r="A24" s="92">
        <v>4</v>
      </c>
      <c r="B24" s="174" t="s">
        <v>334</v>
      </c>
      <c r="C24" s="200">
        <f>'POA-03'!I88+'POA-04'!H23</f>
        <v>137427244.79657492</v>
      </c>
      <c r="D24" s="145"/>
      <c r="E24" s="145"/>
      <c r="F24" s="67"/>
      <c r="G24" s="96"/>
      <c r="H24" s="174"/>
      <c r="I24" s="67"/>
      <c r="J24" s="166"/>
      <c r="K24" s="165"/>
    </row>
    <row r="25" spans="1:13" s="5" customFormat="1" ht="13.5" x14ac:dyDescent="0.15">
      <c r="A25" s="360" t="s">
        <v>31</v>
      </c>
      <c r="B25" s="360"/>
      <c r="C25" s="117">
        <f>SUM(C21:C24)</f>
        <v>170240545.79657492</v>
      </c>
      <c r="D25" s="116"/>
      <c r="E25" s="116"/>
      <c r="F25" s="116"/>
      <c r="G25" s="113"/>
      <c r="H25" s="113"/>
      <c r="I25" s="113"/>
      <c r="J25" s="17"/>
      <c r="K25" s="167"/>
      <c r="L25" s="17"/>
      <c r="M25" s="166"/>
    </row>
    <row r="26" spans="1:13" s="5" customFormat="1" ht="11.25" x14ac:dyDescent="0.15">
      <c r="A26" s="11"/>
      <c r="B26" s="11"/>
      <c r="C26" s="11"/>
      <c r="D26" s="11"/>
      <c r="E26" s="11"/>
      <c r="F26" s="11"/>
      <c r="G26" s="11"/>
      <c r="H26" s="11"/>
      <c r="I26" s="11"/>
    </row>
    <row r="27" spans="1:13" s="5" customFormat="1" ht="11.25" x14ac:dyDescent="0.15">
      <c r="A27" s="17" t="s">
        <v>159</v>
      </c>
      <c r="B27" s="17"/>
      <c r="C27" s="17"/>
    </row>
    <row r="28" spans="1:13" s="5" customFormat="1" ht="11.25" x14ac:dyDescent="0.15"/>
    <row r="29" spans="1:13" s="5" customFormat="1" ht="11.25" x14ac:dyDescent="0.15"/>
    <row r="30" spans="1:13" s="5" customFormat="1" ht="11.25" x14ac:dyDescent="0.15"/>
    <row r="31" spans="1:13" s="5" customFormat="1" ht="11.25" x14ac:dyDescent="0.15"/>
    <row r="32" spans="1:13" s="5" customFormat="1" ht="11.25" x14ac:dyDescent="0.15"/>
    <row r="33" s="5" customFormat="1" ht="11.25" x14ac:dyDescent="0.15"/>
    <row r="34" s="5" customFormat="1" ht="11.25" x14ac:dyDescent="0.15"/>
    <row r="35" s="5" customFormat="1" ht="11.25" x14ac:dyDescent="0.15"/>
    <row r="36" s="5" customFormat="1" ht="11.25" x14ac:dyDescent="0.15"/>
    <row r="37" s="5" customFormat="1" ht="11.25" x14ac:dyDescent="0.15"/>
    <row r="38" s="5" customFormat="1" ht="11.25" x14ac:dyDescent="0.15"/>
    <row r="39" s="5" customFormat="1" ht="11.25" x14ac:dyDescent="0.15"/>
    <row r="40" s="5" customFormat="1" ht="11.25" x14ac:dyDescent="0.15"/>
    <row r="41" s="5" customFormat="1" ht="11.25" x14ac:dyDescent="0.15"/>
    <row r="42" s="5" customFormat="1" ht="11.25" x14ac:dyDescent="0.15"/>
    <row r="43" s="5" customFormat="1" ht="11.25" x14ac:dyDescent="0.15"/>
    <row r="44" s="5" customFormat="1" ht="11.25" x14ac:dyDescent="0.15"/>
    <row r="45" s="5" customFormat="1" ht="11.25" x14ac:dyDescent="0.15"/>
    <row r="46" s="5" customFormat="1" ht="11.25" x14ac:dyDescent="0.15"/>
    <row r="47" s="5" customFormat="1" ht="11.25" x14ac:dyDescent="0.15"/>
    <row r="48" s="5" customFormat="1" ht="11.25" x14ac:dyDescent="0.15"/>
    <row r="49" s="5" customFormat="1" ht="11.25" x14ac:dyDescent="0.15"/>
    <row r="50" s="5" customFormat="1" ht="11.25" x14ac:dyDescent="0.15"/>
    <row r="51" s="5" customFormat="1" ht="11.25" x14ac:dyDescent="0.15"/>
    <row r="52" s="5" customFormat="1" ht="11.25" x14ac:dyDescent="0.15"/>
    <row r="53" s="5" customFormat="1" ht="11.25" x14ac:dyDescent="0.15"/>
    <row r="54" s="5" customFormat="1" ht="11.25" x14ac:dyDescent="0.15"/>
    <row r="55" s="5" customFormat="1" ht="11.25" x14ac:dyDescent="0.15"/>
    <row r="56" s="5" customFormat="1" ht="11.25" x14ac:dyDescent="0.15"/>
    <row r="57" s="5" customFormat="1" ht="11.25" x14ac:dyDescent="0.15"/>
    <row r="58" s="5" customFormat="1" ht="11.25" x14ac:dyDescent="0.15"/>
    <row r="59" s="5" customFormat="1" ht="11.25" x14ac:dyDescent="0.15"/>
    <row r="60" s="5" customFormat="1" ht="11.25" x14ac:dyDescent="0.15"/>
    <row r="61" s="5" customFormat="1" ht="11.25" x14ac:dyDescent="0.15"/>
    <row r="62" s="5" customFormat="1" ht="11.25" x14ac:dyDescent="0.15"/>
    <row r="63" s="5" customFormat="1" ht="11.25" x14ac:dyDescent="0.15"/>
    <row r="64" s="5" customFormat="1" ht="11.25" x14ac:dyDescent="0.15"/>
    <row r="65" s="5" customFormat="1" ht="11.25" x14ac:dyDescent="0.15"/>
    <row r="66" s="5" customFormat="1" ht="11.25" x14ac:dyDescent="0.15"/>
    <row r="67" s="5" customFormat="1" ht="11.25" x14ac:dyDescent="0.15"/>
    <row r="68" s="5" customFormat="1" ht="11.25" x14ac:dyDescent="0.15"/>
    <row r="69" s="5" customFormat="1" ht="11.25" x14ac:dyDescent="0.15"/>
    <row r="70" s="5" customFormat="1" ht="11.25" x14ac:dyDescent="0.15"/>
    <row r="71" s="5" customFormat="1" ht="11.25" x14ac:dyDescent="0.15"/>
    <row r="72" s="5" customFormat="1" ht="11.25" x14ac:dyDescent="0.15"/>
    <row r="73" s="5" customFormat="1" ht="11.25" x14ac:dyDescent="0.15"/>
    <row r="74" s="5" customFormat="1" ht="11.25" x14ac:dyDescent="0.15"/>
    <row r="75" s="5" customFormat="1" ht="11.25" x14ac:dyDescent="0.15"/>
    <row r="76" s="5" customFormat="1" ht="11.25" x14ac:dyDescent="0.15"/>
    <row r="77" s="5" customFormat="1" ht="11.25" x14ac:dyDescent="0.15"/>
    <row r="78" s="5" customFormat="1" ht="11.25" x14ac:dyDescent="0.15"/>
    <row r="79" s="5" customFormat="1" ht="11.25" x14ac:dyDescent="0.15"/>
    <row r="80" s="5" customFormat="1" ht="11.25" x14ac:dyDescent="0.15"/>
    <row r="81" s="5" customFormat="1" ht="11.25" x14ac:dyDescent="0.15"/>
    <row r="82" s="5" customFormat="1" ht="11.25" x14ac:dyDescent="0.15"/>
    <row r="83" s="5" customFormat="1" ht="11.25" x14ac:dyDescent="0.15"/>
    <row r="84" s="5" customFormat="1" ht="11.25" x14ac:dyDescent="0.15"/>
    <row r="85" s="5" customFormat="1" ht="11.25" x14ac:dyDescent="0.15"/>
    <row r="86" s="5" customFormat="1" ht="11.25" x14ac:dyDescent="0.15"/>
    <row r="87" s="5" customFormat="1" ht="11.25" x14ac:dyDescent="0.15"/>
    <row r="88" s="5" customFormat="1" ht="11.25" x14ac:dyDescent="0.15"/>
    <row r="89" s="5" customFormat="1" ht="11.25" x14ac:dyDescent="0.15"/>
    <row r="90" s="5" customFormat="1" ht="11.25" x14ac:dyDescent="0.15"/>
    <row r="91" s="5" customFormat="1" ht="11.25" x14ac:dyDescent="0.15"/>
    <row r="92" s="5" customFormat="1" ht="11.25" x14ac:dyDescent="0.15"/>
    <row r="93" s="5" customFormat="1" ht="11.25" x14ac:dyDescent="0.15"/>
    <row r="94" s="5" customFormat="1" ht="11.25" x14ac:dyDescent="0.15"/>
    <row r="95" s="5" customFormat="1" ht="11.25" x14ac:dyDescent="0.15"/>
    <row r="96" s="5" customFormat="1" ht="11.25" x14ac:dyDescent="0.15"/>
    <row r="97" s="5" customFormat="1" ht="11.25" x14ac:dyDescent="0.15"/>
    <row r="98" s="5" customFormat="1" ht="11.25" x14ac:dyDescent="0.15"/>
    <row r="99" s="5" customFormat="1" ht="11.25" x14ac:dyDescent="0.15"/>
    <row r="100" s="5" customFormat="1" ht="11.25" x14ac:dyDescent="0.15"/>
    <row r="101" s="5" customFormat="1" ht="11.25" x14ac:dyDescent="0.15"/>
    <row r="102" s="5" customFormat="1" ht="11.25" x14ac:dyDescent="0.15"/>
    <row r="103" s="5" customFormat="1" ht="11.25" x14ac:dyDescent="0.15"/>
    <row r="104" s="5" customFormat="1" ht="11.25" x14ac:dyDescent="0.15"/>
    <row r="105" s="5" customFormat="1" ht="11.25" x14ac:dyDescent="0.15"/>
    <row r="106" s="5" customFormat="1" ht="11.25" x14ac:dyDescent="0.15"/>
    <row r="107" s="5" customFormat="1" ht="11.25" x14ac:dyDescent="0.15"/>
    <row r="108" s="5" customFormat="1" ht="11.25" x14ac:dyDescent="0.15"/>
    <row r="109" s="5" customFormat="1" ht="11.25" x14ac:dyDescent="0.15"/>
    <row r="110" s="5" customFormat="1" ht="11.25" x14ac:dyDescent="0.15"/>
    <row r="111" s="5" customFormat="1" ht="11.25" x14ac:dyDescent="0.15"/>
    <row r="112" s="5" customFormat="1" ht="11.25" x14ac:dyDescent="0.15"/>
    <row r="113" s="5" customFormat="1" ht="11.25" x14ac:dyDescent="0.15"/>
    <row r="114" s="5" customFormat="1" ht="11.25" x14ac:dyDescent="0.15"/>
    <row r="115" s="5" customFormat="1" ht="11.25" x14ac:dyDescent="0.15"/>
    <row r="116" s="5" customFormat="1" ht="11.25" x14ac:dyDescent="0.15"/>
    <row r="117" s="5" customFormat="1" ht="11.25" x14ac:dyDescent="0.15"/>
    <row r="118" s="5" customFormat="1" ht="11.25" x14ac:dyDescent="0.15"/>
    <row r="119" s="5" customFormat="1" ht="11.25" x14ac:dyDescent="0.15"/>
    <row r="120" s="5" customFormat="1" ht="11.25" x14ac:dyDescent="0.15"/>
    <row r="121" s="5" customFormat="1" ht="11.25" x14ac:dyDescent="0.15"/>
    <row r="122" s="5" customFormat="1" ht="11.25" x14ac:dyDescent="0.15"/>
    <row r="123" s="5" customFormat="1" ht="11.25" x14ac:dyDescent="0.15"/>
    <row r="124" s="5" customFormat="1" ht="11.25" x14ac:dyDescent="0.15"/>
    <row r="125" s="5" customFormat="1" ht="11.25" x14ac:dyDescent="0.15"/>
    <row r="126" s="5" customFormat="1" ht="11.25" x14ac:dyDescent="0.15"/>
    <row r="127" s="5" customFormat="1" ht="11.25" x14ac:dyDescent="0.15"/>
    <row r="128" s="5" customFormat="1" ht="11.25" x14ac:dyDescent="0.15"/>
    <row r="129" s="5" customFormat="1" ht="11.25" x14ac:dyDescent="0.15"/>
    <row r="130" s="5" customFormat="1" ht="11.25" x14ac:dyDescent="0.15"/>
    <row r="131" s="5" customFormat="1" ht="11.25" x14ac:dyDescent="0.15"/>
    <row r="132" s="5" customFormat="1" ht="11.25" x14ac:dyDescent="0.15"/>
    <row r="133" s="5" customFormat="1" ht="11.25" x14ac:dyDescent="0.15"/>
    <row r="134" s="5" customFormat="1" ht="11.25" x14ac:dyDescent="0.15"/>
    <row r="135" s="5" customFormat="1" ht="11.25" x14ac:dyDescent="0.15"/>
    <row r="136" s="5" customFormat="1" ht="11.25" x14ac:dyDescent="0.15"/>
    <row r="137" s="5" customFormat="1" ht="11.25" x14ac:dyDescent="0.15"/>
    <row r="138" s="5" customFormat="1" ht="11.25" x14ac:dyDescent="0.15"/>
    <row r="139" s="5" customFormat="1" ht="11.25" x14ac:dyDescent="0.15"/>
    <row r="140" s="5" customFormat="1" ht="11.25" x14ac:dyDescent="0.15"/>
    <row r="141" s="5" customFormat="1" ht="11.25" x14ac:dyDescent="0.15"/>
    <row r="142" s="5" customFormat="1" ht="11.25" x14ac:dyDescent="0.15"/>
    <row r="143" s="5" customFormat="1" ht="11.25" x14ac:dyDescent="0.15"/>
    <row r="144" s="5" customFormat="1" ht="11.25" x14ac:dyDescent="0.15"/>
    <row r="145" s="5" customFormat="1" ht="11.25" x14ac:dyDescent="0.15"/>
    <row r="146" s="5" customFormat="1" ht="11.25" x14ac:dyDescent="0.15"/>
    <row r="147" s="5" customFormat="1" ht="11.25" x14ac:dyDescent="0.15"/>
    <row r="148" s="5" customFormat="1" ht="11.25" x14ac:dyDescent="0.15"/>
    <row r="149" s="5" customFormat="1" ht="11.25" x14ac:dyDescent="0.15"/>
    <row r="150" s="5" customFormat="1" ht="11.25" x14ac:dyDescent="0.15"/>
    <row r="151" s="5" customFormat="1" ht="11.25" x14ac:dyDescent="0.15"/>
    <row r="152" s="5" customFormat="1" ht="11.25" x14ac:dyDescent="0.15"/>
    <row r="153" s="5" customFormat="1" ht="11.25" x14ac:dyDescent="0.15"/>
    <row r="154" s="5" customFormat="1" ht="11.25" x14ac:dyDescent="0.15"/>
    <row r="155" s="5" customFormat="1" ht="11.25" x14ac:dyDescent="0.15"/>
    <row r="156" s="5" customFormat="1" ht="11.25" x14ac:dyDescent="0.15"/>
    <row r="157" s="5" customFormat="1" ht="11.25" x14ac:dyDescent="0.15"/>
    <row r="158" s="5" customFormat="1" ht="11.25" x14ac:dyDescent="0.15"/>
    <row r="159" s="5" customFormat="1" ht="11.25" x14ac:dyDescent="0.15"/>
    <row r="160" s="5" customFormat="1" ht="11.25" x14ac:dyDescent="0.15"/>
    <row r="161" s="5" customFormat="1" ht="11.25" x14ac:dyDescent="0.15"/>
    <row r="162" s="5" customFormat="1" ht="11.25" x14ac:dyDescent="0.15"/>
    <row r="163" s="5" customFormat="1" ht="11.25" x14ac:dyDescent="0.15"/>
    <row r="164" s="5" customFormat="1" ht="11.25" x14ac:dyDescent="0.15"/>
    <row r="165" s="5" customFormat="1" ht="11.25" x14ac:dyDescent="0.15"/>
    <row r="166" s="5" customFormat="1" ht="11.25" x14ac:dyDescent="0.15"/>
    <row r="167" s="5" customFormat="1" ht="11.25" x14ac:dyDescent="0.15"/>
    <row r="168" s="5" customFormat="1" ht="11.25" x14ac:dyDescent="0.15"/>
    <row r="169" s="5" customFormat="1" ht="11.25" x14ac:dyDescent="0.15"/>
    <row r="170" s="5" customFormat="1" ht="11.25" x14ac:dyDescent="0.15"/>
    <row r="171" s="5" customFormat="1" ht="11.25" x14ac:dyDescent="0.15"/>
    <row r="172" s="5" customFormat="1" ht="11.25" x14ac:dyDescent="0.15"/>
    <row r="173" s="5" customFormat="1" ht="11.25" x14ac:dyDescent="0.15"/>
    <row r="174" s="5" customFormat="1" ht="11.25" x14ac:dyDescent="0.15"/>
    <row r="175" s="5" customFormat="1" ht="11.25" x14ac:dyDescent="0.15"/>
    <row r="176" s="5" customFormat="1" ht="11.25" x14ac:dyDescent="0.15"/>
    <row r="177" s="5" customFormat="1" ht="11.25" x14ac:dyDescent="0.15"/>
    <row r="178" s="5" customFormat="1" ht="11.25" x14ac:dyDescent="0.15"/>
    <row r="179" s="5" customFormat="1" ht="11.25" x14ac:dyDescent="0.15"/>
    <row r="180" s="5" customFormat="1" ht="11.25" x14ac:dyDescent="0.15"/>
    <row r="181" s="5" customFormat="1" ht="11.25" x14ac:dyDescent="0.15"/>
    <row r="182" s="5" customFormat="1" ht="11.25" x14ac:dyDescent="0.15"/>
    <row r="183" s="5" customFormat="1" ht="11.25" x14ac:dyDescent="0.15"/>
    <row r="184" s="5" customFormat="1" ht="11.25" x14ac:dyDescent="0.15"/>
    <row r="185" s="5" customFormat="1" ht="11.25" x14ac:dyDescent="0.15"/>
    <row r="186" s="5" customFormat="1" ht="11.25" x14ac:dyDescent="0.15"/>
    <row r="187" s="5" customFormat="1" ht="11.25" x14ac:dyDescent="0.15"/>
    <row r="188" s="5" customFormat="1" ht="11.25" x14ac:dyDescent="0.15"/>
    <row r="189" s="5" customFormat="1" ht="11.25" x14ac:dyDescent="0.15"/>
    <row r="190" s="5" customFormat="1" ht="11.25" x14ac:dyDescent="0.15"/>
    <row r="191" s="5" customFormat="1" ht="11.25" x14ac:dyDescent="0.15"/>
    <row r="192" s="5" customFormat="1" ht="11.25" x14ac:dyDescent="0.15"/>
    <row r="193" s="5" customFormat="1" ht="11.25" x14ac:dyDescent="0.15"/>
    <row r="194" s="5" customFormat="1" ht="11.25" x14ac:dyDescent="0.15"/>
    <row r="195" s="5" customFormat="1" ht="11.25" x14ac:dyDescent="0.15"/>
    <row r="196" s="5" customFormat="1" ht="11.25" x14ac:dyDescent="0.15"/>
    <row r="197" s="5" customFormat="1" ht="11.25" x14ac:dyDescent="0.15"/>
    <row r="198" s="5" customFormat="1" ht="11.25" x14ac:dyDescent="0.15"/>
    <row r="199" s="5" customFormat="1" ht="11.25" x14ac:dyDescent="0.15"/>
    <row r="200" s="5" customFormat="1" ht="11.25" x14ac:dyDescent="0.15"/>
    <row r="201" s="5" customFormat="1" ht="11.25" x14ac:dyDescent="0.15"/>
    <row r="202" s="5" customFormat="1" ht="11.25" x14ac:dyDescent="0.15"/>
    <row r="203" s="5" customFormat="1" ht="11.25" x14ac:dyDescent="0.15"/>
    <row r="204" s="5" customFormat="1" ht="11.25" x14ac:dyDescent="0.15"/>
    <row r="205" s="5" customFormat="1" ht="11.25" x14ac:dyDescent="0.15"/>
    <row r="206" s="5" customFormat="1" ht="11.25" x14ac:dyDescent="0.15"/>
    <row r="207" s="5" customFormat="1" ht="11.25" x14ac:dyDescent="0.15"/>
    <row r="208" s="5" customFormat="1" ht="11.25" x14ac:dyDescent="0.15"/>
    <row r="209" s="5" customFormat="1" ht="11.25" x14ac:dyDescent="0.15"/>
    <row r="210" s="5" customFormat="1" ht="11.25" x14ac:dyDescent="0.15"/>
    <row r="211" s="5" customFormat="1" ht="11.25" x14ac:dyDescent="0.15"/>
    <row r="212" s="5" customFormat="1" ht="11.25" x14ac:dyDescent="0.15"/>
    <row r="213" s="5" customFormat="1" ht="11.25" x14ac:dyDescent="0.15"/>
    <row r="214" s="5" customFormat="1" ht="11.25" x14ac:dyDescent="0.15"/>
    <row r="215" s="5" customFormat="1" ht="11.25" x14ac:dyDescent="0.15"/>
    <row r="216" s="5" customFormat="1" ht="11.25" x14ac:dyDescent="0.15"/>
    <row r="217" s="5" customFormat="1" ht="11.25" x14ac:dyDescent="0.15"/>
    <row r="218" s="5" customFormat="1" ht="11.25" x14ac:dyDescent="0.15"/>
    <row r="219" s="5" customFormat="1" ht="11.25" x14ac:dyDescent="0.15"/>
    <row r="220" s="5" customFormat="1" ht="11.25" x14ac:dyDescent="0.15"/>
    <row r="221" s="5" customFormat="1" ht="11.25" x14ac:dyDescent="0.15"/>
    <row r="222" s="5" customFormat="1" ht="11.25" x14ac:dyDescent="0.15"/>
    <row r="223" s="5" customFormat="1" ht="11.25" x14ac:dyDescent="0.15"/>
    <row r="224" s="5" customFormat="1" ht="11.25" x14ac:dyDescent="0.15"/>
    <row r="225" s="5" customFormat="1" ht="11.25" x14ac:dyDescent="0.15"/>
    <row r="226" s="5" customFormat="1" ht="11.25" x14ac:dyDescent="0.15"/>
    <row r="227" s="5" customFormat="1" ht="11.25" x14ac:dyDescent="0.15"/>
    <row r="228" s="5" customFormat="1" ht="11.25" x14ac:dyDescent="0.15"/>
    <row r="229" s="5" customFormat="1" ht="11.25" x14ac:dyDescent="0.15"/>
    <row r="230" s="5" customFormat="1" ht="11.25" x14ac:dyDescent="0.15"/>
    <row r="231" s="5" customFormat="1" ht="11.25" x14ac:dyDescent="0.15"/>
    <row r="232" s="5" customFormat="1" ht="11.25" x14ac:dyDescent="0.15"/>
    <row r="233" s="5" customFormat="1" ht="11.25" x14ac:dyDescent="0.15"/>
    <row r="234" s="5" customFormat="1" ht="11.25" x14ac:dyDescent="0.15"/>
    <row r="235" s="5" customFormat="1" ht="11.25" x14ac:dyDescent="0.15"/>
    <row r="236" s="5" customFormat="1" ht="11.25" x14ac:dyDescent="0.15"/>
    <row r="237" s="5" customFormat="1" ht="11.25" x14ac:dyDescent="0.15"/>
    <row r="238" s="5" customFormat="1" ht="11.25" x14ac:dyDescent="0.15"/>
    <row r="239" s="5" customFormat="1" ht="11.25" x14ac:dyDescent="0.15"/>
    <row r="240" s="5" customFormat="1" ht="11.25" x14ac:dyDescent="0.15"/>
    <row r="241" s="5" customFormat="1" ht="11.25" x14ac:dyDescent="0.15"/>
    <row r="242" s="5" customFormat="1" ht="11.25" x14ac:dyDescent="0.15"/>
    <row r="243" s="5" customFormat="1" ht="11.25" x14ac:dyDescent="0.15"/>
    <row r="244" s="5" customFormat="1" ht="11.25" x14ac:dyDescent="0.15"/>
    <row r="245" s="5" customFormat="1" ht="11.25" x14ac:dyDescent="0.15"/>
    <row r="246" s="5" customFormat="1" ht="11.25" x14ac:dyDescent="0.15"/>
    <row r="247" s="5" customFormat="1" ht="11.25" x14ac:dyDescent="0.15"/>
    <row r="248" s="5" customFormat="1" ht="11.25" x14ac:dyDescent="0.15"/>
    <row r="249" s="5" customFormat="1" ht="11.25" x14ac:dyDescent="0.15"/>
    <row r="250" s="5" customFormat="1" ht="11.25" x14ac:dyDescent="0.15"/>
    <row r="251" s="5" customFormat="1" ht="11.25" x14ac:dyDescent="0.15"/>
    <row r="252" s="5" customFormat="1" ht="11.25" x14ac:dyDescent="0.15"/>
    <row r="253" s="5" customFormat="1" ht="11.25" x14ac:dyDescent="0.15"/>
    <row r="254" s="5" customFormat="1" ht="11.25" x14ac:dyDescent="0.15"/>
    <row r="255" s="5" customFormat="1" ht="11.25" x14ac:dyDescent="0.15"/>
    <row r="256" s="5" customFormat="1" ht="11.25" x14ac:dyDescent="0.15"/>
    <row r="257" s="5" customFormat="1" ht="11.25" x14ac:dyDescent="0.15"/>
    <row r="258" s="5" customFormat="1" ht="11.25" x14ac:dyDescent="0.15"/>
    <row r="259" s="5" customFormat="1" ht="11.25" x14ac:dyDescent="0.15"/>
    <row r="260" s="5" customFormat="1" ht="11.25" x14ac:dyDescent="0.15"/>
    <row r="261" s="5" customFormat="1" ht="11.25" x14ac:dyDescent="0.15"/>
    <row r="262" s="5" customFormat="1" ht="11.25" x14ac:dyDescent="0.15"/>
    <row r="263" s="5" customFormat="1" ht="11.25" x14ac:dyDescent="0.15"/>
    <row r="264" s="5" customFormat="1" ht="11.25" x14ac:dyDescent="0.15"/>
    <row r="265" s="5" customFormat="1" ht="11.25" x14ac:dyDescent="0.15"/>
    <row r="266" s="5" customFormat="1" ht="11.25" x14ac:dyDescent="0.15"/>
    <row r="267" s="5" customFormat="1" ht="11.25" x14ac:dyDescent="0.15"/>
    <row r="268" s="5" customFormat="1" ht="11.25" x14ac:dyDescent="0.15"/>
    <row r="269" s="5" customFormat="1" ht="11.25" x14ac:dyDescent="0.15"/>
    <row r="270" s="5" customFormat="1" ht="11.25" x14ac:dyDescent="0.15"/>
    <row r="271" s="5" customFormat="1" ht="11.25" x14ac:dyDescent="0.15"/>
    <row r="272" s="5" customFormat="1" ht="11.25" x14ac:dyDescent="0.15"/>
    <row r="273" s="5" customFormat="1" ht="11.25" x14ac:dyDescent="0.15"/>
    <row r="274" s="5" customFormat="1" ht="11.25" x14ac:dyDescent="0.15"/>
    <row r="275" s="5" customFormat="1" ht="11.25" x14ac:dyDescent="0.15"/>
    <row r="276" s="5" customFormat="1" ht="11.25" x14ac:dyDescent="0.15"/>
    <row r="277" s="5" customFormat="1" ht="11.25" x14ac:dyDescent="0.15"/>
    <row r="278" s="5" customFormat="1" ht="11.25" x14ac:dyDescent="0.15"/>
    <row r="279" s="5" customFormat="1" ht="11.25" x14ac:dyDescent="0.15"/>
    <row r="280" s="5" customFormat="1" ht="11.25" x14ac:dyDescent="0.15"/>
    <row r="281" s="5" customFormat="1" ht="11.25" x14ac:dyDescent="0.15"/>
    <row r="282" s="5" customFormat="1" ht="11.25" x14ac:dyDescent="0.15"/>
    <row r="283" s="5" customFormat="1" ht="11.25" x14ac:dyDescent="0.15"/>
    <row r="284" s="5" customFormat="1" ht="11.25" x14ac:dyDescent="0.15"/>
    <row r="285" s="5" customFormat="1" ht="11.25" x14ac:dyDescent="0.15"/>
    <row r="286" s="5" customFormat="1" ht="11.25" x14ac:dyDescent="0.15"/>
    <row r="287" s="5" customFormat="1" ht="11.25" x14ac:dyDescent="0.15"/>
    <row r="288" s="5" customFormat="1" ht="11.25" x14ac:dyDescent="0.15"/>
    <row r="289" s="5" customFormat="1" ht="11.25" x14ac:dyDescent="0.15"/>
    <row r="290" s="5" customFormat="1" ht="11.25" x14ac:dyDescent="0.15"/>
    <row r="291" s="5" customFormat="1" ht="11.25" x14ac:dyDescent="0.15"/>
    <row r="292" s="5" customFormat="1" ht="11.25" x14ac:dyDescent="0.15"/>
    <row r="293" s="5" customFormat="1" ht="11.25" x14ac:dyDescent="0.15"/>
    <row r="294" s="5" customFormat="1" ht="11.25" x14ac:dyDescent="0.15"/>
    <row r="295" s="5" customFormat="1" ht="11.25" x14ac:dyDescent="0.15"/>
    <row r="296" s="5" customFormat="1" ht="11.25" x14ac:dyDescent="0.15"/>
    <row r="297" s="5" customFormat="1" ht="11.25" x14ac:dyDescent="0.15"/>
    <row r="298" s="5" customFormat="1" ht="11.25" x14ac:dyDescent="0.15"/>
    <row r="299" s="5" customFormat="1" ht="11.25" x14ac:dyDescent="0.15"/>
    <row r="300" s="5" customFormat="1" ht="11.25" x14ac:dyDescent="0.15"/>
    <row r="301" s="5" customFormat="1" ht="11.25" x14ac:dyDescent="0.15"/>
    <row r="302" s="5" customFormat="1" ht="11.25" x14ac:dyDescent="0.15"/>
    <row r="303" s="5" customFormat="1" ht="11.25" x14ac:dyDescent="0.15"/>
    <row r="304" s="5" customFormat="1" ht="11.25" x14ac:dyDescent="0.15"/>
    <row r="305" s="5" customFormat="1" ht="11.25" x14ac:dyDescent="0.15"/>
    <row r="306" s="5" customFormat="1" ht="11.25" x14ac:dyDescent="0.15"/>
    <row r="307" s="5" customFormat="1" ht="11.25" x14ac:dyDescent="0.15"/>
    <row r="308" s="5" customFormat="1" ht="11.25" x14ac:dyDescent="0.15"/>
    <row r="309" s="5" customFormat="1" ht="11.25" x14ac:dyDescent="0.15"/>
    <row r="310" s="5" customFormat="1" ht="11.25" x14ac:dyDescent="0.15"/>
    <row r="311" s="5" customFormat="1" ht="11.25" x14ac:dyDescent="0.15"/>
    <row r="312" s="5" customFormat="1" ht="11.25" x14ac:dyDescent="0.15"/>
    <row r="313" s="5" customFormat="1" ht="11.25" x14ac:dyDescent="0.15"/>
    <row r="314" s="5" customFormat="1" ht="11.25" x14ac:dyDescent="0.15"/>
    <row r="315" s="5" customFormat="1" ht="11.25" x14ac:dyDescent="0.15"/>
    <row r="316" s="5" customFormat="1" ht="11.25" x14ac:dyDescent="0.15"/>
    <row r="317" s="5" customFormat="1" ht="11.25" x14ac:dyDescent="0.15"/>
    <row r="318" s="5" customFormat="1" ht="11.25" x14ac:dyDescent="0.15"/>
    <row r="319" s="5" customFormat="1" ht="11.25" x14ac:dyDescent="0.15"/>
    <row r="320" s="5" customFormat="1" ht="11.25" x14ac:dyDescent="0.15"/>
    <row r="321" s="5" customFormat="1" ht="11.25" x14ac:dyDescent="0.15"/>
    <row r="322" s="5" customFormat="1" ht="11.25" x14ac:dyDescent="0.15"/>
    <row r="323" s="5" customFormat="1" ht="11.25" x14ac:dyDescent="0.15"/>
    <row r="324" s="5" customFormat="1" ht="11.25" x14ac:dyDescent="0.15"/>
    <row r="325" s="5" customFormat="1" ht="11.25" x14ac:dyDescent="0.15"/>
    <row r="326" s="5" customFormat="1" ht="11.25" x14ac:dyDescent="0.15"/>
    <row r="327" s="5" customFormat="1" ht="11.25" x14ac:dyDescent="0.15"/>
    <row r="328" s="5" customFormat="1" ht="11.25" x14ac:dyDescent="0.15"/>
    <row r="329" s="5" customFormat="1" ht="11.25" x14ac:dyDescent="0.15"/>
    <row r="330" s="5" customFormat="1" ht="11.25" x14ac:dyDescent="0.15"/>
    <row r="331" s="5" customFormat="1" ht="11.25" x14ac:dyDescent="0.15"/>
    <row r="332" s="5" customFormat="1" ht="11.25" x14ac:dyDescent="0.15"/>
    <row r="333" s="5" customFormat="1" ht="11.25" x14ac:dyDescent="0.15"/>
    <row r="334" s="5" customFormat="1" ht="11.25" x14ac:dyDescent="0.15"/>
    <row r="335" s="5" customFormat="1" ht="11.25" x14ac:dyDescent="0.15"/>
    <row r="336" s="5" customFormat="1" ht="11.25" x14ac:dyDescent="0.15"/>
    <row r="337" s="5" customFormat="1" ht="11.25" x14ac:dyDescent="0.15"/>
    <row r="338" s="5" customFormat="1" ht="11.25" x14ac:dyDescent="0.15"/>
    <row r="339" s="5" customFormat="1" ht="11.25" x14ac:dyDescent="0.15"/>
    <row r="340" s="5" customFormat="1" ht="11.25" x14ac:dyDescent="0.15"/>
    <row r="341" s="5" customFormat="1" ht="11.25" x14ac:dyDescent="0.15"/>
    <row r="342" s="5" customFormat="1" ht="11.25" x14ac:dyDescent="0.15"/>
    <row r="343" s="5" customFormat="1" ht="11.25" x14ac:dyDescent="0.15"/>
    <row r="344" s="5" customFormat="1" ht="11.25" x14ac:dyDescent="0.15"/>
    <row r="345" s="5" customFormat="1" ht="11.25" x14ac:dyDescent="0.15"/>
    <row r="346" s="5" customFormat="1" ht="11.25" x14ac:dyDescent="0.15"/>
    <row r="347" s="5" customFormat="1" ht="11.25" x14ac:dyDescent="0.15"/>
    <row r="348" s="5" customFormat="1" ht="11.25" x14ac:dyDescent="0.15"/>
    <row r="349" s="5" customFormat="1" ht="11.25" x14ac:dyDescent="0.15"/>
    <row r="350" s="5" customFormat="1" ht="11.25" x14ac:dyDescent="0.15"/>
    <row r="351" s="5" customFormat="1" ht="11.25" x14ac:dyDescent="0.15"/>
    <row r="352" s="5" customFormat="1" ht="11.25" x14ac:dyDescent="0.15"/>
    <row r="353" s="5" customFormat="1" ht="11.25" x14ac:dyDescent="0.15"/>
    <row r="354" s="5" customFormat="1" ht="11.25" x14ac:dyDescent="0.15"/>
    <row r="355" s="5" customFormat="1" ht="11.25" x14ac:dyDescent="0.15"/>
    <row r="356" s="5" customFormat="1" ht="11.25" x14ac:dyDescent="0.15"/>
    <row r="357" s="5" customFormat="1" ht="11.25" x14ac:dyDescent="0.15"/>
    <row r="358" s="5" customFormat="1" ht="11.25" x14ac:dyDescent="0.15"/>
    <row r="359" s="5" customFormat="1" ht="11.25" x14ac:dyDescent="0.15"/>
    <row r="360" s="5" customFormat="1" ht="11.25" x14ac:dyDescent="0.15"/>
    <row r="361" s="5" customFormat="1" ht="11.25" x14ac:dyDescent="0.15"/>
    <row r="362" s="5" customFormat="1" ht="11.25" x14ac:dyDescent="0.15"/>
    <row r="363" s="5" customFormat="1" ht="11.25" x14ac:dyDescent="0.15"/>
    <row r="364" s="5" customFormat="1" ht="11.25" x14ac:dyDescent="0.15"/>
    <row r="365" s="5" customFormat="1" ht="11.25" x14ac:dyDescent="0.15"/>
    <row r="366" s="5" customFormat="1" ht="11.25" x14ac:dyDescent="0.15"/>
    <row r="367" s="5" customFormat="1" ht="11.25" x14ac:dyDescent="0.15"/>
    <row r="368" s="5" customFormat="1" ht="11.25" x14ac:dyDescent="0.15"/>
    <row r="369" s="5" customFormat="1" ht="11.25" x14ac:dyDescent="0.15"/>
    <row r="370" s="5" customFormat="1" ht="11.25" x14ac:dyDescent="0.15"/>
    <row r="371" s="5" customFormat="1" ht="11.25" x14ac:dyDescent="0.15"/>
    <row r="372" s="5" customFormat="1" ht="11.25" x14ac:dyDescent="0.15"/>
    <row r="373" s="5" customFormat="1" ht="11.25" x14ac:dyDescent="0.15"/>
    <row r="374" s="5" customFormat="1" ht="11.25" x14ac:dyDescent="0.15"/>
    <row r="375" s="5" customFormat="1" ht="11.25" x14ac:dyDescent="0.15"/>
    <row r="376" s="5" customFormat="1" ht="11.25" x14ac:dyDescent="0.15"/>
    <row r="377" s="5" customFormat="1" ht="11.25" x14ac:dyDescent="0.15"/>
    <row r="378" s="5" customFormat="1" ht="11.25" x14ac:dyDescent="0.15"/>
    <row r="379" s="5" customFormat="1" ht="11.25" x14ac:dyDescent="0.15"/>
    <row r="380" s="5" customFormat="1" ht="11.25" x14ac:dyDescent="0.15"/>
    <row r="381" s="5" customFormat="1" ht="11.25" x14ac:dyDescent="0.15"/>
    <row r="382" s="5" customFormat="1" ht="11.25" x14ac:dyDescent="0.15"/>
    <row r="383" s="5" customFormat="1" ht="11.25" x14ac:dyDescent="0.15"/>
    <row r="384" s="5" customFormat="1" ht="11.25" x14ac:dyDescent="0.15"/>
    <row r="385" s="5" customFormat="1" ht="11.25" x14ac:dyDescent="0.15"/>
    <row r="386" s="5" customFormat="1" ht="11.25" x14ac:dyDescent="0.15"/>
    <row r="387" s="5" customFormat="1" ht="11.25" x14ac:dyDescent="0.15"/>
    <row r="388" s="5" customFormat="1" ht="11.25" x14ac:dyDescent="0.15"/>
    <row r="389" s="5" customFormat="1" ht="11.25" x14ac:dyDescent="0.15"/>
    <row r="390" s="5" customFormat="1" ht="11.25" x14ac:dyDescent="0.15"/>
    <row r="391" s="5" customFormat="1" ht="11.25" x14ac:dyDescent="0.15"/>
    <row r="392" s="5" customFormat="1" ht="11.25" x14ac:dyDescent="0.15"/>
    <row r="393" s="5" customFormat="1" ht="11.25" x14ac:dyDescent="0.15"/>
    <row r="394" s="5" customFormat="1" ht="11.25" x14ac:dyDescent="0.15"/>
    <row r="395" s="5" customFormat="1" ht="11.25" x14ac:dyDescent="0.15"/>
    <row r="396" s="5" customFormat="1" ht="11.25" x14ac:dyDescent="0.15"/>
    <row r="397" s="5" customFormat="1" ht="11.25" x14ac:dyDescent="0.15"/>
    <row r="398" s="5" customFormat="1" ht="11.25" x14ac:dyDescent="0.15"/>
    <row r="399" s="5" customFormat="1" ht="11.25" x14ac:dyDescent="0.15"/>
    <row r="400" s="5" customFormat="1" ht="11.25" x14ac:dyDescent="0.15"/>
    <row r="401" s="5" customFormat="1" ht="11.25" x14ac:dyDescent="0.15"/>
    <row r="402" s="5" customFormat="1" ht="11.25" x14ac:dyDescent="0.15"/>
    <row r="403" s="5" customFormat="1" ht="11.25" x14ac:dyDescent="0.15"/>
    <row r="404" s="5" customFormat="1" ht="11.25" x14ac:dyDescent="0.15"/>
    <row r="405" s="5" customFormat="1" ht="11.25" x14ac:dyDescent="0.15"/>
    <row r="406" s="5" customFormat="1" ht="11.25" x14ac:dyDescent="0.15"/>
    <row r="407" s="5" customFormat="1" ht="11.25" x14ac:dyDescent="0.15"/>
    <row r="408" s="5" customFormat="1" ht="11.25" x14ac:dyDescent="0.15"/>
    <row r="409" s="5" customFormat="1" ht="11.25" x14ac:dyDescent="0.15"/>
    <row r="410" s="5" customFormat="1" ht="11.25" x14ac:dyDescent="0.15"/>
    <row r="411" s="5" customFormat="1" ht="11.25" x14ac:dyDescent="0.15"/>
    <row r="412" s="5" customFormat="1" ht="11.25" x14ac:dyDescent="0.15"/>
    <row r="413" s="5" customFormat="1" ht="11.25" x14ac:dyDescent="0.15"/>
    <row r="414" s="5" customFormat="1" ht="11.25" x14ac:dyDescent="0.15"/>
    <row r="415" s="5" customFormat="1" ht="11.25" x14ac:dyDescent="0.15"/>
    <row r="416" s="5" customFormat="1" ht="11.25" x14ac:dyDescent="0.15"/>
    <row r="417" s="5" customFormat="1" ht="11.25" x14ac:dyDescent="0.15"/>
    <row r="418" s="5" customFormat="1" ht="11.25" x14ac:dyDescent="0.15"/>
    <row r="419" s="5" customFormat="1" ht="11.25" x14ac:dyDescent="0.15"/>
    <row r="420" s="5" customFormat="1" ht="11.25" x14ac:dyDescent="0.15"/>
    <row r="421" s="5" customFormat="1" ht="11.25" x14ac:dyDescent="0.15"/>
    <row r="422" s="5" customFormat="1" ht="11.25" x14ac:dyDescent="0.15"/>
    <row r="423" s="5" customFormat="1" ht="11.25" x14ac:dyDescent="0.15"/>
    <row r="424" s="5" customFormat="1" ht="11.25" x14ac:dyDescent="0.15"/>
    <row r="425" s="5" customFormat="1" ht="11.25" x14ac:dyDescent="0.15"/>
    <row r="426" s="5" customFormat="1" ht="11.25" x14ac:dyDescent="0.15"/>
    <row r="427" s="5" customFormat="1" ht="11.25" x14ac:dyDescent="0.15"/>
    <row r="428" s="5" customFormat="1" ht="11.25" x14ac:dyDescent="0.15"/>
    <row r="429" s="5" customFormat="1" ht="11.25" x14ac:dyDescent="0.15"/>
    <row r="430" s="5" customFormat="1" ht="11.25" x14ac:dyDescent="0.15"/>
    <row r="431" s="5" customFormat="1" ht="11.25" x14ac:dyDescent="0.15"/>
    <row r="432" s="5" customFormat="1" ht="11.25" x14ac:dyDescent="0.15"/>
    <row r="433" s="5" customFormat="1" ht="11.25" x14ac:dyDescent="0.15"/>
    <row r="434" s="5" customFormat="1" ht="11.25" x14ac:dyDescent="0.15"/>
    <row r="435" s="5" customFormat="1" ht="11.25" x14ac:dyDescent="0.15"/>
    <row r="436" s="5" customFormat="1" ht="11.25" x14ac:dyDescent="0.15"/>
    <row r="437" s="5" customFormat="1" ht="11.25" x14ac:dyDescent="0.15"/>
    <row r="438" s="5" customFormat="1" ht="11.25" x14ac:dyDescent="0.15"/>
    <row r="439" s="5" customFormat="1" ht="11.25" x14ac:dyDescent="0.15"/>
    <row r="440" s="5" customFormat="1" ht="11.25" x14ac:dyDescent="0.15"/>
    <row r="441" s="5" customFormat="1" ht="11.25" x14ac:dyDescent="0.15"/>
    <row r="442" s="5" customFormat="1" ht="11.25" x14ac:dyDescent="0.15"/>
    <row r="443" s="5" customFormat="1" ht="11.25" x14ac:dyDescent="0.15"/>
    <row r="444" s="5" customFormat="1" ht="11.25" x14ac:dyDescent="0.15"/>
    <row r="445" s="5" customFormat="1" ht="11.25" x14ac:dyDescent="0.15"/>
    <row r="446" s="5" customFormat="1" ht="11.25" x14ac:dyDescent="0.15"/>
    <row r="447" s="5" customFormat="1" ht="11.25" x14ac:dyDescent="0.15"/>
    <row r="448" s="5" customFormat="1" ht="11.25" x14ac:dyDescent="0.15"/>
    <row r="449" s="5" customFormat="1" ht="11.25" x14ac:dyDescent="0.15"/>
    <row r="450" s="5" customFormat="1" ht="11.25" x14ac:dyDescent="0.15"/>
    <row r="451" s="5" customFormat="1" ht="11.25" x14ac:dyDescent="0.15"/>
    <row r="452" s="5" customFormat="1" ht="11.25" x14ac:dyDescent="0.15"/>
    <row r="453" s="5" customFormat="1" ht="11.25" x14ac:dyDescent="0.15"/>
    <row r="454" s="5" customFormat="1" ht="11.25" x14ac:dyDescent="0.15"/>
    <row r="455" s="5" customFormat="1" ht="11.25" x14ac:dyDescent="0.15"/>
    <row r="456" s="5" customFormat="1" ht="11.25" x14ac:dyDescent="0.15"/>
    <row r="457" s="5" customFormat="1" ht="11.25" x14ac:dyDescent="0.15"/>
    <row r="458" s="5" customFormat="1" ht="11.25" x14ac:dyDescent="0.15"/>
    <row r="459" s="5" customFormat="1" ht="11.25" x14ac:dyDescent="0.15"/>
    <row r="460" s="5" customFormat="1" ht="11.25" x14ac:dyDescent="0.15"/>
    <row r="461" s="5" customFormat="1" ht="11.25" x14ac:dyDescent="0.15"/>
    <row r="462" s="5" customFormat="1" ht="11.25" x14ac:dyDescent="0.15"/>
    <row r="463" s="5" customFormat="1" ht="11.25" x14ac:dyDescent="0.15"/>
    <row r="464" s="5" customFormat="1" ht="11.25" x14ac:dyDescent="0.15"/>
    <row r="465" s="5" customFormat="1" ht="11.25" x14ac:dyDescent="0.15"/>
    <row r="466" s="5" customFormat="1" ht="11.25" x14ac:dyDescent="0.15"/>
    <row r="467" s="5" customFormat="1" ht="11.25" x14ac:dyDescent="0.15"/>
    <row r="468" s="5" customFormat="1" ht="11.25" x14ac:dyDescent="0.15"/>
    <row r="469" s="5" customFormat="1" ht="11.25" x14ac:dyDescent="0.15"/>
    <row r="470" s="5" customFormat="1" ht="11.25" x14ac:dyDescent="0.15"/>
    <row r="471" s="5" customFormat="1" ht="11.25" x14ac:dyDescent="0.15"/>
    <row r="472" s="5" customFormat="1" ht="11.25" x14ac:dyDescent="0.15"/>
    <row r="473" s="5" customFormat="1" ht="11.25" x14ac:dyDescent="0.15"/>
    <row r="474" s="5" customFormat="1" ht="11.25" x14ac:dyDescent="0.15"/>
    <row r="475" s="5" customFormat="1" ht="11.25" x14ac:dyDescent="0.15"/>
    <row r="476" s="5" customFormat="1" ht="11.25" x14ac:dyDescent="0.15"/>
    <row r="477" s="5" customFormat="1" ht="11.25" x14ac:dyDescent="0.15"/>
    <row r="478" s="5" customFormat="1" ht="11.25" x14ac:dyDescent="0.15"/>
    <row r="479" s="5" customFormat="1" ht="11.25" x14ac:dyDescent="0.15"/>
    <row r="480" s="5" customFormat="1" ht="11.25" x14ac:dyDescent="0.15"/>
    <row r="481" s="5" customFormat="1" ht="11.25" x14ac:dyDescent="0.15"/>
    <row r="482" s="5" customFormat="1" ht="11.25" x14ac:dyDescent="0.15"/>
    <row r="483" s="5" customFormat="1" ht="11.25" x14ac:dyDescent="0.15"/>
    <row r="484" s="5" customFormat="1" ht="11.25" x14ac:dyDescent="0.15"/>
    <row r="485" s="5" customFormat="1" ht="11.25" x14ac:dyDescent="0.15"/>
    <row r="486" s="5" customFormat="1" ht="11.25" x14ac:dyDescent="0.15"/>
    <row r="487" s="5" customFormat="1" ht="11.25" x14ac:dyDescent="0.15"/>
    <row r="488" s="5" customFormat="1" ht="11.25" x14ac:dyDescent="0.15"/>
    <row r="489" s="5" customFormat="1" ht="11.25" x14ac:dyDescent="0.15"/>
    <row r="490" s="5" customFormat="1" ht="11.25" x14ac:dyDescent="0.15"/>
    <row r="491" s="5" customFormat="1" ht="11.25" x14ac:dyDescent="0.15"/>
    <row r="492" s="5" customFormat="1" ht="11.25" x14ac:dyDescent="0.15"/>
    <row r="493" s="5" customFormat="1" ht="11.25" x14ac:dyDescent="0.15"/>
    <row r="494" s="5" customFormat="1" ht="11.25" x14ac:dyDescent="0.15"/>
    <row r="495" s="5" customFormat="1" ht="11.25" x14ac:dyDescent="0.15"/>
    <row r="496" s="5" customFormat="1" ht="11.25" x14ac:dyDescent="0.15"/>
    <row r="497" s="5" customFormat="1" ht="11.25" x14ac:dyDescent="0.15"/>
    <row r="498" s="5" customFormat="1" ht="11.25" x14ac:dyDescent="0.15"/>
    <row r="499" s="5" customFormat="1" ht="11.25" x14ac:dyDescent="0.15"/>
    <row r="500" s="5" customFormat="1" ht="11.25" x14ac:dyDescent="0.15"/>
    <row r="501" s="5" customFormat="1" ht="11.25" x14ac:dyDescent="0.15"/>
    <row r="502" s="5" customFormat="1" ht="11.25" x14ac:dyDescent="0.15"/>
    <row r="503" s="5" customFormat="1" ht="11.25" x14ac:dyDescent="0.15"/>
    <row r="504" s="5" customFormat="1" ht="11.25" x14ac:dyDescent="0.15"/>
    <row r="505" s="5" customFormat="1" ht="11.25" x14ac:dyDescent="0.15"/>
    <row r="506" s="5" customFormat="1" ht="11.25" x14ac:dyDescent="0.15"/>
    <row r="507" s="5" customFormat="1" ht="11.25" x14ac:dyDescent="0.15"/>
    <row r="508" s="5" customFormat="1" ht="11.25" x14ac:dyDescent="0.15"/>
    <row r="509" s="5" customFormat="1" ht="11.25" x14ac:dyDescent="0.15"/>
    <row r="510" s="5" customFormat="1" ht="11.25" x14ac:dyDescent="0.15"/>
    <row r="511" s="5" customFormat="1" ht="11.25" x14ac:dyDescent="0.15"/>
    <row r="512" s="5" customFormat="1" ht="11.25" x14ac:dyDescent="0.15"/>
    <row r="513" s="5" customFormat="1" ht="11.25" x14ac:dyDescent="0.15"/>
    <row r="514" s="5" customFormat="1" ht="11.25" x14ac:dyDescent="0.15"/>
    <row r="515" s="5" customFormat="1" ht="11.25" x14ac:dyDescent="0.15"/>
    <row r="516" s="5" customFormat="1" ht="11.25" x14ac:dyDescent="0.15"/>
    <row r="517" s="5" customFormat="1" ht="11.25" x14ac:dyDescent="0.15"/>
    <row r="518" s="5" customFormat="1" ht="11.25" x14ac:dyDescent="0.15"/>
    <row r="519" s="5" customFormat="1" ht="11.25" x14ac:dyDescent="0.15"/>
    <row r="520" s="5" customFormat="1" ht="11.25" x14ac:dyDescent="0.15"/>
    <row r="521" s="5" customFormat="1" ht="11.25" x14ac:dyDescent="0.15"/>
    <row r="522" s="5" customFormat="1" ht="11.25" x14ac:dyDescent="0.15"/>
    <row r="523" s="5" customFormat="1" ht="11.25" x14ac:dyDescent="0.15"/>
    <row r="524" s="5" customFormat="1" ht="11.25" x14ac:dyDescent="0.15"/>
    <row r="525" s="5" customFormat="1" ht="11.25" x14ac:dyDescent="0.15"/>
    <row r="526" s="5" customFormat="1" ht="11.25" x14ac:dyDescent="0.15"/>
    <row r="527" s="5" customFormat="1" ht="11.25" x14ac:dyDescent="0.15"/>
    <row r="528" s="5" customFormat="1" ht="11.25" x14ac:dyDescent="0.15"/>
    <row r="529" s="5" customFormat="1" ht="11.25" x14ac:dyDescent="0.15"/>
    <row r="530" s="5" customFormat="1" ht="11.25" x14ac:dyDescent="0.15"/>
    <row r="531" s="5" customFormat="1" ht="11.25" x14ac:dyDescent="0.15"/>
    <row r="532" s="5" customFormat="1" ht="11.25" x14ac:dyDescent="0.15"/>
    <row r="533" s="5" customFormat="1" ht="11.25" x14ac:dyDescent="0.15"/>
    <row r="534" s="5" customFormat="1" ht="11.25" x14ac:dyDescent="0.15"/>
    <row r="535" s="5" customFormat="1" ht="11.25" x14ac:dyDescent="0.15"/>
    <row r="536" s="5" customFormat="1" ht="11.25" x14ac:dyDescent="0.15"/>
    <row r="537" s="5" customFormat="1" ht="11.25" x14ac:dyDescent="0.15"/>
    <row r="538" s="5" customFormat="1" ht="11.25" x14ac:dyDescent="0.15"/>
    <row r="539" s="5" customFormat="1" ht="11.25" x14ac:dyDescent="0.15"/>
    <row r="540" s="5" customFormat="1" ht="11.25" x14ac:dyDescent="0.15"/>
    <row r="541" s="5" customFormat="1" ht="11.25" x14ac:dyDescent="0.15"/>
    <row r="542" s="5" customFormat="1" ht="11.25" x14ac:dyDescent="0.15"/>
    <row r="543" s="5" customFormat="1" ht="11.25" x14ac:dyDescent="0.15"/>
    <row r="544" s="5" customFormat="1" ht="11.25" x14ac:dyDescent="0.15"/>
    <row r="545" s="5" customFormat="1" ht="11.25" x14ac:dyDescent="0.15"/>
    <row r="546" s="5" customFormat="1" ht="11.25" x14ac:dyDescent="0.15"/>
    <row r="547" s="5" customFormat="1" ht="11.25" x14ac:dyDescent="0.15"/>
    <row r="548" s="5" customFormat="1" ht="11.25" x14ac:dyDescent="0.15"/>
    <row r="549" s="5" customFormat="1" ht="11.25" x14ac:dyDescent="0.15"/>
    <row r="550" s="5" customFormat="1" ht="11.25" x14ac:dyDescent="0.15"/>
    <row r="551" s="5" customFormat="1" ht="11.25" x14ac:dyDescent="0.15"/>
    <row r="552" s="5" customFormat="1" ht="11.25" x14ac:dyDescent="0.15"/>
    <row r="553" s="5" customFormat="1" ht="11.25" x14ac:dyDescent="0.15"/>
    <row r="554" s="5" customFormat="1" ht="11.25" x14ac:dyDescent="0.15"/>
    <row r="555" s="5" customFormat="1" ht="11.25" x14ac:dyDescent="0.15"/>
    <row r="556" s="5" customFormat="1" ht="11.25" x14ac:dyDescent="0.15"/>
    <row r="557" s="5" customFormat="1" ht="11.25" x14ac:dyDescent="0.15"/>
    <row r="558" s="5" customFormat="1" ht="11.25" x14ac:dyDescent="0.15"/>
    <row r="559" s="5" customFormat="1" ht="11.25" x14ac:dyDescent="0.15"/>
    <row r="560" s="5" customFormat="1" ht="11.25" x14ac:dyDescent="0.15"/>
    <row r="561" s="5" customFormat="1" ht="11.25" x14ac:dyDescent="0.15"/>
    <row r="562" s="5" customFormat="1" ht="11.25" x14ac:dyDescent="0.15"/>
    <row r="563" s="5" customFormat="1" ht="11.25" x14ac:dyDescent="0.15"/>
    <row r="564" s="5" customFormat="1" ht="11.25" x14ac:dyDescent="0.15"/>
    <row r="565" s="5" customFormat="1" ht="11.25" x14ac:dyDescent="0.15"/>
    <row r="566" s="5" customFormat="1" ht="11.25" x14ac:dyDescent="0.15"/>
    <row r="567" s="5" customFormat="1" ht="11.25" x14ac:dyDescent="0.15"/>
    <row r="568" s="5" customFormat="1" ht="11.25" x14ac:dyDescent="0.15"/>
    <row r="569" s="5" customFormat="1" ht="11.25" x14ac:dyDescent="0.15"/>
    <row r="570" s="5" customFormat="1" ht="11.25" x14ac:dyDescent="0.15"/>
    <row r="571" s="5" customFormat="1" ht="11.25" x14ac:dyDescent="0.15"/>
    <row r="572" s="5" customFormat="1" ht="11.25" x14ac:dyDescent="0.15"/>
    <row r="573" s="5" customFormat="1" ht="11.25" x14ac:dyDescent="0.15"/>
    <row r="574" s="5" customFormat="1" ht="11.25" x14ac:dyDescent="0.15"/>
    <row r="575" s="5" customFormat="1" ht="11.25" x14ac:dyDescent="0.15"/>
    <row r="576" s="5" customFormat="1" ht="11.25" x14ac:dyDescent="0.15"/>
    <row r="577" s="5" customFormat="1" ht="11.25" x14ac:dyDescent="0.15"/>
    <row r="578" s="5" customFormat="1" ht="11.25" x14ac:dyDescent="0.15"/>
    <row r="579" s="5" customFormat="1" ht="11.25" x14ac:dyDescent="0.15"/>
    <row r="580" s="5" customFormat="1" ht="11.25" x14ac:dyDescent="0.15"/>
    <row r="581" s="5" customFormat="1" ht="11.25" x14ac:dyDescent="0.15"/>
    <row r="582" s="5" customFormat="1" ht="11.25" x14ac:dyDescent="0.15"/>
    <row r="583" s="5" customFormat="1" ht="11.25" x14ac:dyDescent="0.15"/>
    <row r="584" s="5" customFormat="1" ht="11.25" x14ac:dyDescent="0.15"/>
    <row r="585" s="5" customFormat="1" ht="11.25" x14ac:dyDescent="0.15"/>
    <row r="586" s="5" customFormat="1" ht="11.25" x14ac:dyDescent="0.15"/>
    <row r="587" s="5" customFormat="1" ht="11.25" x14ac:dyDescent="0.15"/>
    <row r="588" s="5" customFormat="1" ht="11.25" x14ac:dyDescent="0.15"/>
    <row r="589" s="5" customFormat="1" ht="11.25" x14ac:dyDescent="0.15"/>
    <row r="590" s="5" customFormat="1" ht="11.25" x14ac:dyDescent="0.15"/>
    <row r="591" s="5" customFormat="1" ht="11.25" x14ac:dyDescent="0.15"/>
    <row r="592" s="5" customFormat="1" ht="11.25" x14ac:dyDescent="0.15"/>
    <row r="593" s="5" customFormat="1" ht="11.25" x14ac:dyDescent="0.15"/>
    <row r="594" s="5" customFormat="1" ht="11.25" x14ac:dyDescent="0.15"/>
    <row r="595" s="5" customFormat="1" ht="11.25" x14ac:dyDescent="0.15"/>
    <row r="596" s="5" customFormat="1" ht="11.25" x14ac:dyDescent="0.15"/>
    <row r="597" s="5" customFormat="1" ht="11.25" x14ac:dyDescent="0.15"/>
    <row r="598" s="5" customFormat="1" ht="11.25" x14ac:dyDescent="0.15"/>
    <row r="599" s="5" customFormat="1" ht="11.25" x14ac:dyDescent="0.15"/>
    <row r="600" s="5" customFormat="1" ht="11.25" x14ac:dyDescent="0.15"/>
    <row r="601" s="5" customFormat="1" ht="11.25" x14ac:dyDescent="0.15"/>
    <row r="602" s="5" customFormat="1" ht="11.25" x14ac:dyDescent="0.15"/>
    <row r="603" s="5" customFormat="1" ht="11.25" x14ac:dyDescent="0.15"/>
    <row r="604" s="5" customFormat="1" ht="11.25" x14ac:dyDescent="0.15"/>
    <row r="605" s="5" customFormat="1" ht="11.25" x14ac:dyDescent="0.15"/>
    <row r="606" s="5" customFormat="1" ht="11.25" x14ac:dyDescent="0.15"/>
    <row r="607" s="5" customFormat="1" ht="11.25" x14ac:dyDescent="0.15"/>
    <row r="608" s="5" customFormat="1" ht="11.25" x14ac:dyDescent="0.15"/>
    <row r="609" s="5" customFormat="1" ht="11.25" x14ac:dyDescent="0.15"/>
    <row r="610" s="5" customFormat="1" ht="11.25" x14ac:dyDescent="0.15"/>
    <row r="611" s="5" customFormat="1" ht="11.25" x14ac:dyDescent="0.15"/>
    <row r="612" s="5" customFormat="1" ht="11.25" x14ac:dyDescent="0.15"/>
    <row r="613" s="5" customFormat="1" ht="11.25" x14ac:dyDescent="0.15"/>
    <row r="614" s="5" customFormat="1" ht="11.25" x14ac:dyDescent="0.15"/>
    <row r="615" s="5" customFormat="1" ht="11.25" x14ac:dyDescent="0.15"/>
    <row r="616" s="5" customFormat="1" ht="11.25" x14ac:dyDescent="0.15"/>
    <row r="617" s="5" customFormat="1" ht="11.25" x14ac:dyDescent="0.15"/>
    <row r="618" s="5" customFormat="1" ht="11.25" x14ac:dyDescent="0.15"/>
    <row r="619" s="5" customFormat="1" ht="11.25" x14ac:dyDescent="0.15"/>
    <row r="620" s="5" customFormat="1" ht="11.25" x14ac:dyDescent="0.15"/>
    <row r="621" s="5" customFormat="1" ht="11.25" x14ac:dyDescent="0.15"/>
    <row r="622" s="5" customFormat="1" ht="11.25" x14ac:dyDescent="0.15"/>
    <row r="623" s="5" customFormat="1" ht="11.25" x14ac:dyDescent="0.15"/>
    <row r="624" s="5" customFormat="1" ht="11.25" x14ac:dyDescent="0.15"/>
    <row r="625" s="5" customFormat="1" ht="11.25" x14ac:dyDescent="0.15"/>
    <row r="626" s="5" customFormat="1" ht="11.25" x14ac:dyDescent="0.15"/>
    <row r="627" s="5" customFormat="1" ht="11.25" x14ac:dyDescent="0.15"/>
    <row r="628" s="5" customFormat="1" ht="11.25" x14ac:dyDescent="0.15"/>
    <row r="629" s="5" customFormat="1" ht="11.25" x14ac:dyDescent="0.15"/>
    <row r="630" s="5" customFormat="1" ht="11.25" x14ac:dyDescent="0.15"/>
    <row r="631" s="5" customFormat="1" ht="11.25" x14ac:dyDescent="0.15"/>
    <row r="632" s="5" customFormat="1" ht="11.25" x14ac:dyDescent="0.15"/>
    <row r="633" s="5" customFormat="1" ht="11.25" x14ac:dyDescent="0.15"/>
    <row r="634" s="5" customFormat="1" ht="11.25" x14ac:dyDescent="0.15"/>
    <row r="635" s="5" customFormat="1" ht="11.25" x14ac:dyDescent="0.15"/>
    <row r="636" s="5" customFormat="1" ht="11.25" x14ac:dyDescent="0.15"/>
    <row r="637" s="5" customFormat="1" ht="11.25" x14ac:dyDescent="0.15"/>
    <row r="638" s="5" customFormat="1" ht="11.25" x14ac:dyDescent="0.15"/>
    <row r="639" s="5" customFormat="1" ht="11.25" x14ac:dyDescent="0.15"/>
    <row r="640" s="5" customFormat="1" ht="11.25" x14ac:dyDescent="0.15"/>
    <row r="641" s="5" customFormat="1" ht="11.25" x14ac:dyDescent="0.15"/>
    <row r="642" s="5" customFormat="1" ht="11.25" x14ac:dyDescent="0.15"/>
    <row r="643" s="5" customFormat="1" ht="11.25" x14ac:dyDescent="0.15"/>
    <row r="644" s="5" customFormat="1" ht="11.25" x14ac:dyDescent="0.15"/>
    <row r="645" s="5" customFormat="1" ht="11.25" x14ac:dyDescent="0.15"/>
    <row r="646" s="5" customFormat="1" ht="11.25" x14ac:dyDescent="0.15"/>
    <row r="647" s="5" customFormat="1" ht="11.25" x14ac:dyDescent="0.15"/>
    <row r="648" s="5" customFormat="1" ht="11.25" x14ac:dyDescent="0.15"/>
    <row r="649" s="5" customFormat="1" ht="11.25" x14ac:dyDescent="0.15"/>
    <row r="650" s="5" customFormat="1" ht="11.25" x14ac:dyDescent="0.15"/>
    <row r="651" s="5" customFormat="1" ht="11.25" x14ac:dyDescent="0.15"/>
    <row r="652" s="5" customFormat="1" ht="11.25" x14ac:dyDescent="0.15"/>
    <row r="653" s="5" customFormat="1" ht="11.25" x14ac:dyDescent="0.15"/>
    <row r="654" s="5" customFormat="1" ht="11.25" x14ac:dyDescent="0.15"/>
    <row r="655" s="5" customFormat="1" ht="11.25" x14ac:dyDescent="0.15"/>
    <row r="656" s="5" customFormat="1" ht="11.25" x14ac:dyDescent="0.15"/>
    <row r="657" s="5" customFormat="1" ht="11.25" x14ac:dyDescent="0.15"/>
    <row r="658" s="5" customFormat="1" ht="11.25" x14ac:dyDescent="0.15"/>
    <row r="659" s="5" customFormat="1" ht="11.25" x14ac:dyDescent="0.15"/>
    <row r="660" s="5" customFormat="1" ht="11.25" x14ac:dyDescent="0.15"/>
    <row r="661" s="5" customFormat="1" ht="11.25" x14ac:dyDescent="0.15"/>
    <row r="662" s="5" customFormat="1" ht="11.25" x14ac:dyDescent="0.15"/>
    <row r="663" s="5" customFormat="1" ht="11.25" x14ac:dyDescent="0.15"/>
    <row r="664" s="5" customFormat="1" ht="11.25" x14ac:dyDescent="0.15"/>
    <row r="665" s="5" customFormat="1" ht="11.25" x14ac:dyDescent="0.15"/>
    <row r="666" s="5" customFormat="1" ht="11.25" x14ac:dyDescent="0.15"/>
    <row r="667" s="5" customFormat="1" ht="11.25" x14ac:dyDescent="0.15"/>
    <row r="668" s="5" customFormat="1" ht="11.25" x14ac:dyDescent="0.15"/>
    <row r="669" s="5" customFormat="1" ht="11.25" x14ac:dyDescent="0.15"/>
    <row r="670" s="5" customFormat="1" ht="11.25" x14ac:dyDescent="0.15"/>
    <row r="671" s="5" customFormat="1" ht="11.25" x14ac:dyDescent="0.15"/>
    <row r="672" s="5" customFormat="1" ht="11.25" x14ac:dyDescent="0.15"/>
    <row r="673" s="5" customFormat="1" ht="11.25" x14ac:dyDescent="0.15"/>
    <row r="674" s="5" customFormat="1" ht="11.25" x14ac:dyDescent="0.15"/>
    <row r="675" s="5" customFormat="1" ht="11.25" x14ac:dyDescent="0.15"/>
    <row r="676" s="5" customFormat="1" ht="11.25" x14ac:dyDescent="0.15"/>
    <row r="677" s="5" customFormat="1" ht="11.25" x14ac:dyDescent="0.15"/>
    <row r="678" s="5" customFormat="1" ht="11.25" x14ac:dyDescent="0.15"/>
    <row r="679" s="5" customFormat="1" ht="11.25" x14ac:dyDescent="0.15"/>
    <row r="680" s="5" customFormat="1" ht="11.25" x14ac:dyDescent="0.15"/>
    <row r="681" s="5" customFormat="1" ht="11.25" x14ac:dyDescent="0.15"/>
    <row r="682" s="5" customFormat="1" ht="11.25" x14ac:dyDescent="0.15"/>
    <row r="683" s="5" customFormat="1" ht="11.25" x14ac:dyDescent="0.15"/>
    <row r="684" s="5" customFormat="1" ht="11.25" x14ac:dyDescent="0.15"/>
    <row r="685" s="5" customFormat="1" ht="11.25" x14ac:dyDescent="0.15"/>
    <row r="686" s="5" customFormat="1" ht="11.25" x14ac:dyDescent="0.15"/>
    <row r="687" s="5" customFormat="1" ht="11.25" x14ac:dyDescent="0.15"/>
    <row r="688" s="5" customFormat="1" ht="11.25" x14ac:dyDescent="0.15"/>
    <row r="689" s="5" customFormat="1" ht="11.25" x14ac:dyDescent="0.15"/>
    <row r="690" s="5" customFormat="1" ht="11.25" x14ac:dyDescent="0.15"/>
    <row r="691" s="5" customFormat="1" ht="11.25" x14ac:dyDescent="0.15"/>
    <row r="692" s="5" customFormat="1" ht="11.25" x14ac:dyDescent="0.15"/>
    <row r="693" s="5" customFormat="1" ht="11.25" x14ac:dyDescent="0.15"/>
    <row r="694" s="5" customFormat="1" ht="11.25" x14ac:dyDescent="0.15"/>
    <row r="695" s="5" customFormat="1" ht="11.25" x14ac:dyDescent="0.15"/>
    <row r="696" s="5" customFormat="1" ht="11.25" x14ac:dyDescent="0.15"/>
    <row r="697" s="5" customFormat="1" ht="11.25" x14ac:dyDescent="0.15"/>
    <row r="698" s="5" customFormat="1" ht="11.25" x14ac:dyDescent="0.15"/>
    <row r="699" s="5" customFormat="1" ht="11.25" x14ac:dyDescent="0.15"/>
    <row r="700" s="5" customFormat="1" ht="11.25" x14ac:dyDescent="0.15"/>
    <row r="701" s="5" customFormat="1" ht="11.25" x14ac:dyDescent="0.15"/>
    <row r="702" s="5" customFormat="1" ht="11.25" x14ac:dyDescent="0.15"/>
    <row r="703" s="5" customFormat="1" ht="11.25" x14ac:dyDescent="0.15"/>
    <row r="704" s="5" customFormat="1" ht="11.25" x14ac:dyDescent="0.15"/>
    <row r="705" s="5" customFormat="1" ht="11.25" x14ac:dyDescent="0.15"/>
    <row r="706" s="5" customFormat="1" ht="11.25" x14ac:dyDescent="0.15"/>
    <row r="707" s="5" customFormat="1" ht="11.25" x14ac:dyDescent="0.15"/>
    <row r="708" s="5" customFormat="1" ht="11.25" x14ac:dyDescent="0.15"/>
    <row r="709" s="5" customFormat="1" ht="11.25" x14ac:dyDescent="0.15"/>
    <row r="710" s="5" customFormat="1" ht="11.25" x14ac:dyDescent="0.15"/>
    <row r="711" s="5" customFormat="1" ht="11.25" x14ac:dyDescent="0.15"/>
    <row r="712" s="5" customFormat="1" ht="11.25" x14ac:dyDescent="0.15"/>
    <row r="713" s="5" customFormat="1" ht="11.25" x14ac:dyDescent="0.15"/>
    <row r="714" s="5" customFormat="1" ht="11.25" x14ac:dyDescent="0.15"/>
    <row r="715" s="5" customFormat="1" ht="11.25" x14ac:dyDescent="0.15"/>
    <row r="716" s="5" customFormat="1" ht="11.25" x14ac:dyDescent="0.15"/>
    <row r="717" s="5" customFormat="1" ht="11.25" x14ac:dyDescent="0.15"/>
    <row r="718" s="5" customFormat="1" ht="11.25" x14ac:dyDescent="0.15"/>
    <row r="719" s="5" customFormat="1" ht="11.25" x14ac:dyDescent="0.15"/>
    <row r="720" s="5" customFormat="1" ht="11.25" x14ac:dyDescent="0.15"/>
    <row r="721" s="5" customFormat="1" ht="11.25" x14ac:dyDescent="0.15"/>
    <row r="722" s="5" customFormat="1" ht="11.25" x14ac:dyDescent="0.15"/>
    <row r="723" s="5" customFormat="1" ht="11.25" x14ac:dyDescent="0.15"/>
    <row r="724" s="5" customFormat="1" ht="11.25" x14ac:dyDescent="0.15"/>
    <row r="725" s="5" customFormat="1" ht="11.25" x14ac:dyDescent="0.15"/>
    <row r="726" s="5" customFormat="1" ht="11.25" x14ac:dyDescent="0.15"/>
    <row r="727" s="5" customFormat="1" ht="11.25" x14ac:dyDescent="0.15"/>
    <row r="728" s="5" customFormat="1" ht="11.25" x14ac:dyDescent="0.15"/>
    <row r="729" s="5" customFormat="1" ht="11.25" x14ac:dyDescent="0.15"/>
    <row r="730" s="5" customFormat="1" ht="11.25" x14ac:dyDescent="0.15"/>
    <row r="731" s="5" customFormat="1" ht="11.25" x14ac:dyDescent="0.15"/>
    <row r="732" s="5" customFormat="1" ht="11.25" x14ac:dyDescent="0.15"/>
    <row r="733" s="5" customFormat="1" ht="11.25" x14ac:dyDescent="0.15"/>
    <row r="734" s="5" customFormat="1" ht="11.25" x14ac:dyDescent="0.15"/>
    <row r="735" s="5" customFormat="1" ht="11.25" x14ac:dyDescent="0.15"/>
    <row r="736" s="5" customFormat="1" ht="11.25" x14ac:dyDescent="0.15"/>
    <row r="737" s="5" customFormat="1" ht="11.25" x14ac:dyDescent="0.15"/>
    <row r="738" s="5" customFormat="1" ht="11.25" x14ac:dyDescent="0.15"/>
    <row r="739" s="5" customFormat="1" ht="11.25" x14ac:dyDescent="0.15"/>
    <row r="740" s="5" customFormat="1" ht="11.25" x14ac:dyDescent="0.15"/>
    <row r="741" s="5" customFormat="1" ht="11.25" x14ac:dyDescent="0.15"/>
    <row r="742" s="5" customFormat="1" ht="11.25" x14ac:dyDescent="0.15"/>
    <row r="743" s="5" customFormat="1" ht="11.25" x14ac:dyDescent="0.15"/>
    <row r="744" s="5" customFormat="1" ht="11.25" x14ac:dyDescent="0.15"/>
    <row r="745" s="5" customFormat="1" ht="11.25" x14ac:dyDescent="0.15"/>
    <row r="746" s="5" customFormat="1" ht="11.25" x14ac:dyDescent="0.15"/>
    <row r="747" s="5" customFormat="1" ht="11.25" x14ac:dyDescent="0.15"/>
    <row r="748" s="5" customFormat="1" ht="11.25" x14ac:dyDescent="0.15"/>
    <row r="749" s="5" customFormat="1" ht="11.25" x14ac:dyDescent="0.15"/>
    <row r="750" s="5" customFormat="1" ht="11.25" x14ac:dyDescent="0.15"/>
    <row r="751" s="5" customFormat="1" ht="11.25" x14ac:dyDescent="0.15"/>
    <row r="752" s="5" customFormat="1" ht="11.25" x14ac:dyDescent="0.15"/>
    <row r="753" s="5" customFormat="1" ht="11.25" x14ac:dyDescent="0.15"/>
    <row r="754" s="5" customFormat="1" ht="11.25" x14ac:dyDescent="0.15"/>
    <row r="755" s="5" customFormat="1" ht="11.25" x14ac:dyDescent="0.15"/>
    <row r="756" s="5" customFormat="1" ht="11.25" x14ac:dyDescent="0.15"/>
    <row r="757" s="5" customFormat="1" ht="11.25" x14ac:dyDescent="0.15"/>
    <row r="758" s="5" customFormat="1" ht="11.25" x14ac:dyDescent="0.15"/>
    <row r="759" s="5" customFormat="1" ht="11.25" x14ac:dyDescent="0.15"/>
    <row r="760" s="5" customFormat="1" ht="11.25" x14ac:dyDescent="0.15"/>
    <row r="761" s="5" customFormat="1" ht="11.25" x14ac:dyDescent="0.15"/>
    <row r="762" s="5" customFormat="1" ht="11.25" x14ac:dyDescent="0.15"/>
    <row r="763" s="5" customFormat="1" ht="11.25" x14ac:dyDescent="0.15"/>
    <row r="764" s="5" customFormat="1" ht="11.25" x14ac:dyDescent="0.15"/>
    <row r="765" s="5" customFormat="1" ht="11.25" x14ac:dyDescent="0.15"/>
    <row r="766" s="5" customFormat="1" ht="11.25" x14ac:dyDescent="0.15"/>
    <row r="767" s="5" customFormat="1" ht="11.25" x14ac:dyDescent="0.15"/>
    <row r="768" s="5" customFormat="1" ht="11.25" x14ac:dyDescent="0.15"/>
    <row r="769" s="5" customFormat="1" ht="11.25" x14ac:dyDescent="0.15"/>
    <row r="770" s="5" customFormat="1" ht="11.25" x14ac:dyDescent="0.15"/>
    <row r="771" s="5" customFormat="1" ht="11.25" x14ac:dyDescent="0.15"/>
    <row r="772" s="5" customFormat="1" ht="11.25" x14ac:dyDescent="0.15"/>
    <row r="773" s="5" customFormat="1" ht="11.25" x14ac:dyDescent="0.15"/>
    <row r="774" s="5" customFormat="1" ht="11.25" x14ac:dyDescent="0.15"/>
    <row r="775" s="5" customFormat="1" ht="11.25" x14ac:dyDescent="0.15"/>
    <row r="776" s="5" customFormat="1" ht="11.25" x14ac:dyDescent="0.15"/>
    <row r="777" s="5" customFormat="1" ht="11.25" x14ac:dyDescent="0.15"/>
    <row r="778" s="5" customFormat="1" ht="11.25" x14ac:dyDescent="0.15"/>
    <row r="779" s="5" customFormat="1" ht="11.25" x14ac:dyDescent="0.15"/>
    <row r="780" s="5" customFormat="1" ht="11.25" x14ac:dyDescent="0.15"/>
    <row r="781" s="5" customFormat="1" ht="11.25" x14ac:dyDescent="0.15"/>
    <row r="782" s="5" customFormat="1" ht="11.25" x14ac:dyDescent="0.15"/>
    <row r="783" s="5" customFormat="1" ht="11.25" x14ac:dyDescent="0.15"/>
    <row r="784" s="5" customFormat="1" ht="11.25" x14ac:dyDescent="0.15"/>
    <row r="785" s="5" customFormat="1" ht="11.25" x14ac:dyDescent="0.15"/>
    <row r="786" s="5" customFormat="1" ht="11.25" x14ac:dyDescent="0.15"/>
    <row r="787" s="5" customFormat="1" ht="11.25" x14ac:dyDescent="0.15"/>
    <row r="788" s="5" customFormat="1" ht="11.25" x14ac:dyDescent="0.15"/>
    <row r="789" s="5" customFormat="1" ht="11.25" x14ac:dyDescent="0.15"/>
    <row r="790" s="5" customFormat="1" ht="11.25" x14ac:dyDescent="0.15"/>
    <row r="791" s="5" customFormat="1" ht="11.25" x14ac:dyDescent="0.15"/>
    <row r="792" s="5" customFormat="1" ht="11.25" x14ac:dyDescent="0.15"/>
    <row r="793" s="5" customFormat="1" ht="11.25" x14ac:dyDescent="0.15"/>
    <row r="794" s="5" customFormat="1" ht="11.25" x14ac:dyDescent="0.15"/>
    <row r="795" s="5" customFormat="1" ht="11.25" x14ac:dyDescent="0.15"/>
    <row r="796" s="5" customFormat="1" ht="11.25" x14ac:dyDescent="0.15"/>
    <row r="797" s="5" customFormat="1" ht="11.25" x14ac:dyDescent="0.15"/>
    <row r="798" s="5" customFormat="1" ht="11.25" x14ac:dyDescent="0.15"/>
    <row r="799" s="5" customFormat="1" ht="11.25" x14ac:dyDescent="0.15"/>
    <row r="800" s="5" customFormat="1" ht="11.25" x14ac:dyDescent="0.15"/>
    <row r="801" s="5" customFormat="1" ht="11.25" x14ac:dyDescent="0.15"/>
    <row r="802" s="5" customFormat="1" ht="11.25" x14ac:dyDescent="0.15"/>
    <row r="803" s="5" customFormat="1" ht="11.25" x14ac:dyDescent="0.15"/>
    <row r="804" s="5" customFormat="1" ht="11.25" x14ac:dyDescent="0.15"/>
    <row r="805" s="5" customFormat="1" ht="11.25" x14ac:dyDescent="0.15"/>
    <row r="806" s="5" customFormat="1" ht="11.25" x14ac:dyDescent="0.15"/>
    <row r="807" s="5" customFormat="1" ht="11.25" x14ac:dyDescent="0.15"/>
    <row r="808" s="5" customFormat="1" ht="11.25" x14ac:dyDescent="0.15"/>
    <row r="809" s="5" customFormat="1" ht="11.25" x14ac:dyDescent="0.15"/>
    <row r="810" s="5" customFormat="1" ht="11.25" x14ac:dyDescent="0.15"/>
    <row r="811" s="5" customFormat="1" ht="11.25" x14ac:dyDescent="0.15"/>
    <row r="812" s="5" customFormat="1" ht="11.25" x14ac:dyDescent="0.15"/>
    <row r="813" s="5" customFormat="1" ht="11.25" x14ac:dyDescent="0.15"/>
    <row r="814" s="5" customFormat="1" ht="11.25" x14ac:dyDescent="0.15"/>
    <row r="815" s="5" customFormat="1" ht="11.25" x14ac:dyDescent="0.15"/>
    <row r="816" s="5" customFormat="1" ht="11.25" x14ac:dyDescent="0.15"/>
    <row r="817" s="5" customFormat="1" ht="11.25" x14ac:dyDescent="0.15"/>
    <row r="818" s="5" customFormat="1" ht="11.25" x14ac:dyDescent="0.15"/>
    <row r="819" s="5" customFormat="1" ht="11.25" x14ac:dyDescent="0.15"/>
    <row r="820" s="5" customFormat="1" ht="11.25" x14ac:dyDescent="0.15"/>
    <row r="821" s="5" customFormat="1" ht="11.25" x14ac:dyDescent="0.15"/>
    <row r="822" s="5" customFormat="1" ht="11.25" x14ac:dyDescent="0.15"/>
    <row r="823" s="5" customFormat="1" ht="11.25" x14ac:dyDescent="0.15"/>
    <row r="824" s="5" customFormat="1" ht="11.25" x14ac:dyDescent="0.15"/>
    <row r="825" s="5" customFormat="1" ht="11.25" x14ac:dyDescent="0.15"/>
    <row r="826" s="5" customFormat="1" ht="11.25" x14ac:dyDescent="0.15"/>
    <row r="827" s="5" customFormat="1" ht="11.25" x14ac:dyDescent="0.15"/>
    <row r="828" s="5" customFormat="1" ht="11.25" x14ac:dyDescent="0.15"/>
    <row r="829" s="5" customFormat="1" ht="11.25" x14ac:dyDescent="0.15"/>
    <row r="830" s="5" customFormat="1" ht="11.25" x14ac:dyDescent="0.15"/>
    <row r="831" s="5" customFormat="1" ht="11.25" x14ac:dyDescent="0.15"/>
    <row r="832" s="5" customFormat="1" ht="11.25" x14ac:dyDescent="0.15"/>
    <row r="833" s="5" customFormat="1" ht="11.25" x14ac:dyDescent="0.15"/>
    <row r="834" s="5" customFormat="1" ht="11.25" x14ac:dyDescent="0.15"/>
    <row r="835" s="5" customFormat="1" ht="11.25" x14ac:dyDescent="0.15"/>
    <row r="836" s="5" customFormat="1" ht="11.25" x14ac:dyDescent="0.15"/>
    <row r="837" s="5" customFormat="1" ht="11.25" x14ac:dyDescent="0.15"/>
    <row r="838" s="5" customFormat="1" ht="11.25" x14ac:dyDescent="0.15"/>
    <row r="839" s="5" customFormat="1" ht="11.25" x14ac:dyDescent="0.15"/>
    <row r="840" s="5" customFormat="1" ht="11.25" x14ac:dyDescent="0.15"/>
    <row r="841" s="5" customFormat="1" ht="11.25" x14ac:dyDescent="0.15"/>
    <row r="842" s="5" customFormat="1" ht="11.25" x14ac:dyDescent="0.15"/>
    <row r="843" s="5" customFormat="1" ht="11.25" x14ac:dyDescent="0.15"/>
    <row r="844" s="5" customFormat="1" ht="11.25" x14ac:dyDescent="0.15"/>
    <row r="845" s="5" customFormat="1" ht="11.25" x14ac:dyDescent="0.15"/>
    <row r="846" s="5" customFormat="1" ht="11.25" x14ac:dyDescent="0.15"/>
    <row r="847" s="5" customFormat="1" ht="11.25" x14ac:dyDescent="0.15"/>
    <row r="848" s="5" customFormat="1" ht="11.25" x14ac:dyDescent="0.15"/>
    <row r="849" s="5" customFormat="1" ht="11.25" x14ac:dyDescent="0.15"/>
    <row r="850" s="5" customFormat="1" ht="11.25" x14ac:dyDescent="0.15"/>
    <row r="851" s="5" customFormat="1" ht="11.25" x14ac:dyDescent="0.15"/>
    <row r="852" s="5" customFormat="1" ht="11.25" x14ac:dyDescent="0.15"/>
    <row r="853" s="5" customFormat="1" ht="11.25" x14ac:dyDescent="0.15"/>
    <row r="854" s="5" customFormat="1" ht="11.25" x14ac:dyDescent="0.15"/>
    <row r="855" s="5" customFormat="1" ht="11.25" x14ac:dyDescent="0.15"/>
    <row r="856" s="5" customFormat="1" ht="11.25" x14ac:dyDescent="0.15"/>
    <row r="857" s="5" customFormat="1" ht="11.25" x14ac:dyDescent="0.15"/>
    <row r="858" s="5" customFormat="1" ht="11.25" x14ac:dyDescent="0.15"/>
    <row r="859" s="5" customFormat="1" ht="11.25" x14ac:dyDescent="0.15"/>
    <row r="860" s="5" customFormat="1" ht="11.25" x14ac:dyDescent="0.15"/>
    <row r="861" s="5" customFormat="1" ht="11.25" x14ac:dyDescent="0.15"/>
    <row r="862" s="5" customFormat="1" ht="11.25" x14ac:dyDescent="0.15"/>
    <row r="863" s="5" customFormat="1" ht="11.25" x14ac:dyDescent="0.15"/>
    <row r="864" s="5" customFormat="1" ht="11.25" x14ac:dyDescent="0.15"/>
    <row r="865" s="5" customFormat="1" ht="11.25" x14ac:dyDescent="0.15"/>
    <row r="866" s="5" customFormat="1" ht="11.25" x14ac:dyDescent="0.15"/>
    <row r="867" s="5" customFormat="1" ht="11.25" x14ac:dyDescent="0.15"/>
    <row r="868" s="5" customFormat="1" ht="11.25" x14ac:dyDescent="0.15"/>
    <row r="869" s="5" customFormat="1" ht="11.25" x14ac:dyDescent="0.15"/>
    <row r="870" s="5" customFormat="1" ht="11.25" x14ac:dyDescent="0.15"/>
    <row r="871" s="5" customFormat="1" ht="11.25" x14ac:dyDescent="0.15"/>
    <row r="872" s="5" customFormat="1" ht="11.25" x14ac:dyDescent="0.15"/>
    <row r="873" s="5" customFormat="1" ht="11.25" x14ac:dyDescent="0.15"/>
    <row r="874" s="5" customFormat="1" ht="11.25" x14ac:dyDescent="0.15"/>
    <row r="875" s="5" customFormat="1" ht="11.25" x14ac:dyDescent="0.15"/>
    <row r="876" s="5" customFormat="1" ht="11.25" x14ac:dyDescent="0.15"/>
    <row r="877" s="5" customFormat="1" ht="11.25" x14ac:dyDescent="0.15"/>
    <row r="878" s="5" customFormat="1" ht="11.25" x14ac:dyDescent="0.15"/>
    <row r="879" s="5" customFormat="1" ht="11.25" x14ac:dyDescent="0.15"/>
    <row r="880" s="5" customFormat="1" ht="11.25" x14ac:dyDescent="0.15"/>
    <row r="881" s="5" customFormat="1" ht="11.25" x14ac:dyDescent="0.15"/>
    <row r="882" s="5" customFormat="1" ht="11.25" x14ac:dyDescent="0.15"/>
    <row r="883" s="5" customFormat="1" ht="11.25" x14ac:dyDescent="0.15"/>
    <row r="884" s="5" customFormat="1" ht="11.25" x14ac:dyDescent="0.15"/>
    <row r="885" s="5" customFormat="1" ht="11.25" x14ac:dyDescent="0.15"/>
    <row r="886" s="5" customFormat="1" ht="11.25" x14ac:dyDescent="0.15"/>
    <row r="887" s="5" customFormat="1" ht="11.25" x14ac:dyDescent="0.15"/>
    <row r="888" s="5" customFormat="1" ht="11.25" x14ac:dyDescent="0.15"/>
    <row r="889" s="5" customFormat="1" ht="11.25" x14ac:dyDescent="0.15"/>
    <row r="890" s="5" customFormat="1" ht="11.25" x14ac:dyDescent="0.15"/>
    <row r="891" s="5" customFormat="1" ht="11.25" x14ac:dyDescent="0.15"/>
    <row r="892" s="5" customFormat="1" ht="11.25" x14ac:dyDescent="0.15"/>
    <row r="893" s="5" customFormat="1" ht="11.25" x14ac:dyDescent="0.15"/>
    <row r="894" s="5" customFormat="1" ht="11.25" x14ac:dyDescent="0.15"/>
    <row r="895" s="5" customFormat="1" ht="11.25" x14ac:dyDescent="0.15"/>
    <row r="896" s="5" customFormat="1" ht="11.25" x14ac:dyDescent="0.15"/>
    <row r="897" s="5" customFormat="1" ht="11.25" x14ac:dyDescent="0.15"/>
    <row r="898" s="5" customFormat="1" ht="11.25" x14ac:dyDescent="0.15"/>
    <row r="899" s="5" customFormat="1" ht="11.25" x14ac:dyDescent="0.15"/>
    <row r="900" s="5" customFormat="1" ht="11.25" x14ac:dyDescent="0.15"/>
    <row r="901" s="5" customFormat="1" ht="11.25" x14ac:dyDescent="0.15"/>
    <row r="902" s="5" customFormat="1" ht="11.25" x14ac:dyDescent="0.15"/>
    <row r="903" s="5" customFormat="1" ht="11.25" x14ac:dyDescent="0.15"/>
    <row r="904" s="5" customFormat="1" ht="11.25" x14ac:dyDescent="0.15"/>
    <row r="905" s="5" customFormat="1" ht="11.25" x14ac:dyDescent="0.15"/>
    <row r="906" s="5" customFormat="1" ht="11.25" x14ac:dyDescent="0.15"/>
    <row r="907" s="5" customFormat="1" ht="11.25" x14ac:dyDescent="0.15"/>
    <row r="908" s="5" customFormat="1" ht="11.25" x14ac:dyDescent="0.15"/>
    <row r="909" s="5" customFormat="1" ht="11.25" x14ac:dyDescent="0.15"/>
    <row r="910" s="5" customFormat="1" ht="11.25" x14ac:dyDescent="0.15"/>
    <row r="911" s="5" customFormat="1" ht="11.25" x14ac:dyDescent="0.15"/>
    <row r="912" s="5" customFormat="1" ht="11.25" x14ac:dyDescent="0.15"/>
    <row r="913" s="5" customFormat="1" ht="11.25" x14ac:dyDescent="0.15"/>
    <row r="914" s="5" customFormat="1" ht="11.25" x14ac:dyDescent="0.15"/>
    <row r="915" s="5" customFormat="1" ht="11.25" x14ac:dyDescent="0.15"/>
    <row r="916" s="5" customFormat="1" ht="11.25" x14ac:dyDescent="0.15"/>
    <row r="917" s="5" customFormat="1" ht="11.25" x14ac:dyDescent="0.15"/>
    <row r="918" s="5" customFormat="1" ht="11.25" x14ac:dyDescent="0.15"/>
    <row r="919" s="5" customFormat="1" ht="11.25" x14ac:dyDescent="0.15"/>
    <row r="920" s="5" customFormat="1" ht="11.25" x14ac:dyDescent="0.15"/>
    <row r="921" s="5" customFormat="1" ht="11.25" x14ac:dyDescent="0.15"/>
    <row r="922" s="5" customFormat="1" ht="11.25" x14ac:dyDescent="0.15"/>
    <row r="923" s="5" customFormat="1" ht="11.25" x14ac:dyDescent="0.15"/>
    <row r="924" s="5" customFormat="1" ht="11.25" x14ac:dyDescent="0.15"/>
    <row r="925" s="5" customFormat="1" ht="11.25" x14ac:dyDescent="0.15"/>
    <row r="926" s="5" customFormat="1" ht="11.25" x14ac:dyDescent="0.15"/>
    <row r="927" s="5" customFormat="1" ht="11.25" x14ac:dyDescent="0.15"/>
    <row r="928" s="5" customFormat="1" ht="11.25" x14ac:dyDescent="0.15"/>
    <row r="929" s="5" customFormat="1" ht="11.25" x14ac:dyDescent="0.15"/>
    <row r="930" s="5" customFormat="1" ht="11.25" x14ac:dyDescent="0.15"/>
    <row r="931" s="5" customFormat="1" ht="11.25" x14ac:dyDescent="0.15"/>
    <row r="932" s="5" customFormat="1" ht="11.25" x14ac:dyDescent="0.15"/>
    <row r="933" s="5" customFormat="1" ht="11.25" x14ac:dyDescent="0.15"/>
    <row r="934" s="5" customFormat="1" ht="11.25" x14ac:dyDescent="0.15"/>
    <row r="935" s="5" customFormat="1" ht="11.25" x14ac:dyDescent="0.15"/>
    <row r="936" s="5" customFormat="1" ht="11.25" x14ac:dyDescent="0.15"/>
    <row r="937" s="5" customFormat="1" ht="11.25" x14ac:dyDescent="0.15"/>
    <row r="938" s="5" customFormat="1" ht="11.25" x14ac:dyDescent="0.15"/>
    <row r="939" s="5" customFormat="1" ht="11.25" x14ac:dyDescent="0.15"/>
    <row r="940" s="5" customFormat="1" ht="11.25" x14ac:dyDescent="0.15"/>
    <row r="941" s="5" customFormat="1" ht="11.25" x14ac:dyDescent="0.15"/>
    <row r="942" s="5" customFormat="1" ht="11.25" x14ac:dyDescent="0.15"/>
    <row r="943" s="5" customFormat="1" ht="11.25" x14ac:dyDescent="0.15"/>
    <row r="944" s="5" customFormat="1" ht="11.25" x14ac:dyDescent="0.15"/>
    <row r="945" s="5" customFormat="1" ht="11.25" x14ac:dyDescent="0.15"/>
    <row r="946" s="5" customFormat="1" ht="11.25" x14ac:dyDescent="0.15"/>
    <row r="947" s="5" customFormat="1" ht="11.25" x14ac:dyDescent="0.15"/>
    <row r="948" s="5" customFormat="1" ht="11.25" x14ac:dyDescent="0.15"/>
    <row r="949" s="5" customFormat="1" ht="11.25" x14ac:dyDescent="0.15"/>
    <row r="950" s="5" customFormat="1" ht="11.25" x14ac:dyDescent="0.15"/>
    <row r="951" s="5" customFormat="1" ht="11.25" x14ac:dyDescent="0.15"/>
    <row r="952" s="5" customFormat="1" ht="11.25" x14ac:dyDescent="0.15"/>
    <row r="953" s="5" customFormat="1" ht="11.25" x14ac:dyDescent="0.15"/>
    <row r="954" s="5" customFormat="1" ht="11.25" x14ac:dyDescent="0.15"/>
    <row r="955" s="5" customFormat="1" ht="11.25" x14ac:dyDescent="0.15"/>
    <row r="956" s="5" customFormat="1" ht="11.25" x14ac:dyDescent="0.15"/>
    <row r="957" s="5" customFormat="1" ht="11.25" x14ac:dyDescent="0.15"/>
    <row r="958" s="5" customFormat="1" ht="11.25" x14ac:dyDescent="0.15"/>
    <row r="959" s="5" customFormat="1" ht="11.25" x14ac:dyDescent="0.15"/>
    <row r="960" s="5" customFormat="1" ht="11.25" x14ac:dyDescent="0.15"/>
    <row r="961" s="5" customFormat="1" ht="11.25" x14ac:dyDescent="0.15"/>
    <row r="962" s="5" customFormat="1" ht="11.25" x14ac:dyDescent="0.15"/>
    <row r="963" s="5" customFormat="1" ht="11.25" x14ac:dyDescent="0.15"/>
    <row r="964" s="5" customFormat="1" ht="11.25" x14ac:dyDescent="0.15"/>
    <row r="965" s="5" customFormat="1" ht="11.25" x14ac:dyDescent="0.15"/>
    <row r="966" s="5" customFormat="1" ht="11.25" x14ac:dyDescent="0.15"/>
    <row r="967" s="5" customFormat="1" ht="11.25" x14ac:dyDescent="0.15"/>
    <row r="968" s="5" customFormat="1" ht="11.25" x14ac:dyDescent="0.15"/>
    <row r="969" s="5" customFormat="1" ht="11.25" x14ac:dyDescent="0.15"/>
    <row r="970" s="5" customFormat="1" ht="11.25" x14ac:dyDescent="0.15"/>
    <row r="971" s="5" customFormat="1" ht="11.25" x14ac:dyDescent="0.15"/>
    <row r="972" s="5" customFormat="1" ht="11.25" x14ac:dyDescent="0.15"/>
    <row r="973" s="5" customFormat="1" ht="11.25" x14ac:dyDescent="0.15"/>
    <row r="974" s="5" customFormat="1" ht="11.25" x14ac:dyDescent="0.15"/>
    <row r="975" s="5" customFormat="1" ht="11.25" x14ac:dyDescent="0.15"/>
    <row r="976" s="5" customFormat="1" ht="11.25" x14ac:dyDescent="0.15"/>
    <row r="977" s="5" customFormat="1" ht="11.25" x14ac:dyDescent="0.15"/>
    <row r="978" s="5" customFormat="1" ht="11.25" x14ac:dyDescent="0.15"/>
    <row r="979" s="5" customFormat="1" ht="11.25" x14ac:dyDescent="0.15"/>
    <row r="980" s="5" customFormat="1" ht="11.25" x14ac:dyDescent="0.15"/>
    <row r="981" s="5" customFormat="1" ht="11.25" x14ac:dyDescent="0.15"/>
    <row r="982" s="5" customFormat="1" ht="11.25" x14ac:dyDescent="0.15"/>
    <row r="983" s="5" customFormat="1" ht="11.25" x14ac:dyDescent="0.15"/>
    <row r="984" s="5" customFormat="1" ht="11.25" x14ac:dyDescent="0.15"/>
    <row r="985" s="5" customFormat="1" ht="11.25" x14ac:dyDescent="0.15"/>
    <row r="986" s="5" customFormat="1" ht="11.25" x14ac:dyDescent="0.15"/>
    <row r="987" s="5" customFormat="1" ht="11.25" x14ac:dyDescent="0.15"/>
    <row r="988" s="5" customFormat="1" ht="11.25" x14ac:dyDescent="0.15"/>
    <row r="989" s="5" customFormat="1" ht="11.25" x14ac:dyDescent="0.15"/>
    <row r="990" s="5" customFormat="1" ht="11.25" x14ac:dyDescent="0.15"/>
    <row r="991" s="5" customFormat="1" ht="11.25" x14ac:dyDescent="0.15"/>
    <row r="992" s="5" customFormat="1" ht="11.25" x14ac:dyDescent="0.15"/>
    <row r="993" s="5" customFormat="1" ht="11.25" x14ac:dyDescent="0.15"/>
    <row r="994" s="5" customFormat="1" ht="11.25" x14ac:dyDescent="0.15"/>
    <row r="995" s="5" customFormat="1" ht="11.25" x14ac:dyDescent="0.15"/>
    <row r="996" s="5" customFormat="1" ht="11.25" x14ac:dyDescent="0.15"/>
    <row r="997" s="5" customFormat="1" ht="11.25" x14ac:dyDescent="0.15"/>
    <row r="998" s="5" customFormat="1" ht="11.25" x14ac:dyDescent="0.15"/>
    <row r="999" s="5" customFormat="1" ht="11.25" x14ac:dyDescent="0.15"/>
    <row r="1000" s="5" customFormat="1" ht="11.25" x14ac:dyDescent="0.15"/>
    <row r="1001" s="5" customFormat="1" ht="11.25" x14ac:dyDescent="0.15"/>
    <row r="1002" s="5" customFormat="1" ht="11.25" x14ac:dyDescent="0.15"/>
    <row r="1003" s="5" customFormat="1" ht="11.25" x14ac:dyDescent="0.15"/>
    <row r="1004" s="5" customFormat="1" ht="11.25" x14ac:dyDescent="0.15"/>
    <row r="1005" s="5" customFormat="1" ht="11.25" x14ac:dyDescent="0.15"/>
    <row r="1006" s="5" customFormat="1" ht="11.25" x14ac:dyDescent="0.15"/>
    <row r="1007" s="5" customFormat="1" ht="11.25" x14ac:dyDescent="0.15"/>
    <row r="1008" s="5" customFormat="1" ht="11.25" x14ac:dyDescent="0.15"/>
    <row r="1009" s="5" customFormat="1" ht="11.25" x14ac:dyDescent="0.15"/>
    <row r="1010" s="5" customFormat="1" ht="11.25" x14ac:dyDescent="0.15"/>
    <row r="1011" s="5" customFormat="1" ht="11.25" x14ac:dyDescent="0.15"/>
    <row r="1012" s="5" customFormat="1" ht="11.25" x14ac:dyDescent="0.15"/>
    <row r="1013" s="5" customFormat="1" ht="11.25" x14ac:dyDescent="0.15"/>
    <row r="1014" s="5" customFormat="1" ht="11.25" x14ac:dyDescent="0.15"/>
    <row r="1015" s="5" customFormat="1" ht="11.25" x14ac:dyDescent="0.15"/>
    <row r="1016" s="5" customFormat="1" ht="11.25" x14ac:dyDescent="0.15"/>
    <row r="1017" s="5" customFormat="1" ht="11.25" x14ac:dyDescent="0.15"/>
    <row r="1018" s="5" customFormat="1" ht="11.25" x14ac:dyDescent="0.15"/>
    <row r="1019" s="5" customFormat="1" ht="11.25" x14ac:dyDescent="0.15"/>
    <row r="1020" s="5" customFormat="1" ht="11.25" x14ac:dyDescent="0.15"/>
    <row r="1021" s="5" customFormat="1" ht="11.25" x14ac:dyDescent="0.15"/>
    <row r="1022" s="5" customFormat="1" ht="11.25" x14ac:dyDescent="0.15"/>
    <row r="1023" s="5" customFormat="1" ht="11.25" x14ac:dyDescent="0.15"/>
    <row r="1024" s="5" customFormat="1" ht="11.25" x14ac:dyDescent="0.15"/>
    <row r="1025" s="5" customFormat="1" ht="11.25" x14ac:dyDescent="0.15"/>
    <row r="1026" s="5" customFormat="1" ht="11.25" x14ac:dyDescent="0.15"/>
    <row r="1027" s="5" customFormat="1" ht="11.25" x14ac:dyDescent="0.15"/>
    <row r="1028" s="5" customFormat="1" ht="11.25" x14ac:dyDescent="0.15"/>
    <row r="1029" s="5" customFormat="1" ht="11.25" x14ac:dyDescent="0.15"/>
    <row r="1030" s="5" customFormat="1" ht="11.25" x14ac:dyDescent="0.15"/>
    <row r="1031" s="5" customFormat="1" ht="11.25" x14ac:dyDescent="0.15"/>
    <row r="1032" s="5" customFormat="1" ht="11.25" x14ac:dyDescent="0.15"/>
    <row r="1033" s="5" customFormat="1" ht="11.25" x14ac:dyDescent="0.15"/>
    <row r="1034" s="5" customFormat="1" ht="11.25" x14ac:dyDescent="0.15"/>
    <row r="1035" s="5" customFormat="1" ht="11.25" x14ac:dyDescent="0.15"/>
    <row r="1036" s="5" customFormat="1" ht="11.25" x14ac:dyDescent="0.15"/>
    <row r="1037" s="5" customFormat="1" ht="11.25" x14ac:dyDescent="0.15"/>
    <row r="1038" s="5" customFormat="1" ht="11.25" x14ac:dyDescent="0.15"/>
    <row r="1039" s="5" customFormat="1" ht="11.25" x14ac:dyDescent="0.15"/>
    <row r="1040" s="5" customFormat="1" ht="11.25" x14ac:dyDescent="0.15"/>
    <row r="1041" s="5" customFormat="1" ht="11.25" x14ac:dyDescent="0.15"/>
    <row r="1042" s="5" customFormat="1" ht="11.25" x14ac:dyDescent="0.15"/>
    <row r="1043" s="5" customFormat="1" ht="11.25" x14ac:dyDescent="0.15"/>
    <row r="1044" s="5" customFormat="1" ht="11.25" x14ac:dyDescent="0.15"/>
    <row r="1045" s="5" customFormat="1" ht="11.25" x14ac:dyDescent="0.15"/>
    <row r="1046" s="5" customFormat="1" ht="11.25" x14ac:dyDescent="0.15"/>
    <row r="1047" s="5" customFormat="1" ht="11.25" x14ac:dyDescent="0.15"/>
    <row r="1048" s="5" customFormat="1" ht="11.25" x14ac:dyDescent="0.15"/>
    <row r="1049" s="5" customFormat="1" ht="11.25" x14ac:dyDescent="0.15"/>
    <row r="1050" s="5" customFormat="1" ht="11.25" x14ac:dyDescent="0.15"/>
    <row r="1051" s="5" customFormat="1" ht="11.25" x14ac:dyDescent="0.15"/>
    <row r="1052" s="5" customFormat="1" ht="11.25" x14ac:dyDescent="0.15"/>
    <row r="1053" s="5" customFormat="1" ht="11.25" x14ac:dyDescent="0.15"/>
    <row r="1054" s="5" customFormat="1" ht="11.25" x14ac:dyDescent="0.15"/>
    <row r="1055" s="5" customFormat="1" ht="11.25" x14ac:dyDescent="0.15"/>
    <row r="1056" s="5" customFormat="1" ht="11.25" x14ac:dyDescent="0.15"/>
    <row r="1057" s="5" customFormat="1" ht="11.25" x14ac:dyDescent="0.15"/>
    <row r="1058" s="5" customFormat="1" ht="11.25" x14ac:dyDescent="0.15"/>
    <row r="1059" s="5" customFormat="1" ht="11.25" x14ac:dyDescent="0.15"/>
    <row r="1060" s="5" customFormat="1" ht="11.25" x14ac:dyDescent="0.15"/>
    <row r="1061" s="5" customFormat="1" ht="11.25" x14ac:dyDescent="0.15"/>
    <row r="1062" s="5" customFormat="1" ht="11.25" x14ac:dyDescent="0.15"/>
    <row r="1063" s="5" customFormat="1" ht="11.25" x14ac:dyDescent="0.15"/>
    <row r="1064" s="5" customFormat="1" ht="11.25" x14ac:dyDescent="0.15"/>
    <row r="1065" s="5" customFormat="1" ht="11.25" x14ac:dyDescent="0.15"/>
    <row r="1066" s="5" customFormat="1" ht="11.25" x14ac:dyDescent="0.15"/>
    <row r="1067" s="5" customFormat="1" ht="11.25" x14ac:dyDescent="0.15"/>
    <row r="1068" s="5" customFormat="1" ht="11.25" x14ac:dyDescent="0.15"/>
    <row r="1069" s="5" customFormat="1" ht="11.25" x14ac:dyDescent="0.15"/>
    <row r="1070" s="5" customFormat="1" ht="11.25" x14ac:dyDescent="0.15"/>
    <row r="1071" s="5" customFormat="1" ht="11.25" x14ac:dyDescent="0.15"/>
    <row r="1072" s="5" customFormat="1" ht="11.25" x14ac:dyDescent="0.15"/>
    <row r="1073" s="5" customFormat="1" ht="11.25" x14ac:dyDescent="0.15"/>
    <row r="1074" s="5" customFormat="1" ht="11.25" x14ac:dyDescent="0.15"/>
    <row r="1075" s="5" customFormat="1" ht="11.25" x14ac:dyDescent="0.15"/>
    <row r="1076" s="5" customFormat="1" ht="11.25" x14ac:dyDescent="0.15"/>
    <row r="1077" s="5" customFormat="1" ht="11.25" x14ac:dyDescent="0.15"/>
    <row r="1078" s="5" customFormat="1" ht="11.25" x14ac:dyDescent="0.15"/>
    <row r="1079" s="5" customFormat="1" ht="11.25" x14ac:dyDescent="0.15"/>
    <row r="1080" s="5" customFormat="1" ht="11.25" x14ac:dyDescent="0.15"/>
    <row r="1081" s="5" customFormat="1" ht="11.25" x14ac:dyDescent="0.15"/>
    <row r="1082" s="5" customFormat="1" ht="11.25" x14ac:dyDescent="0.15"/>
    <row r="1083" s="5" customFormat="1" ht="11.25" x14ac:dyDescent="0.15"/>
    <row r="1084" s="5" customFormat="1" ht="11.25" x14ac:dyDescent="0.15"/>
    <row r="1085" s="5" customFormat="1" ht="11.25" x14ac:dyDescent="0.15"/>
    <row r="1086" s="5" customFormat="1" ht="11.25" x14ac:dyDescent="0.15"/>
    <row r="1087" s="5" customFormat="1" ht="11.25" x14ac:dyDescent="0.15"/>
    <row r="1088" s="5" customFormat="1" ht="11.25" x14ac:dyDescent="0.15"/>
    <row r="1089" s="5" customFormat="1" ht="11.25" x14ac:dyDescent="0.15"/>
    <row r="1090" s="5" customFormat="1" ht="11.25" x14ac:dyDescent="0.15"/>
    <row r="1091" s="5" customFormat="1" ht="11.25" x14ac:dyDescent="0.15"/>
    <row r="1092" s="5" customFormat="1" ht="11.25" x14ac:dyDescent="0.15"/>
    <row r="1093" s="5" customFormat="1" ht="11.25" x14ac:dyDescent="0.15"/>
    <row r="1094" s="5" customFormat="1" ht="11.25" x14ac:dyDescent="0.15"/>
    <row r="1095" s="5" customFormat="1" ht="11.25" x14ac:dyDescent="0.15"/>
    <row r="1096" s="5" customFormat="1" ht="11.25" x14ac:dyDescent="0.15"/>
    <row r="1097" s="5" customFormat="1" ht="11.25" x14ac:dyDescent="0.15"/>
    <row r="1098" s="5" customFormat="1" ht="11.25" x14ac:dyDescent="0.15"/>
    <row r="1099" s="5" customFormat="1" ht="11.25" x14ac:dyDescent="0.15"/>
    <row r="1100" s="5" customFormat="1" ht="11.25" x14ac:dyDescent="0.15"/>
    <row r="1101" s="5" customFormat="1" ht="11.25" x14ac:dyDescent="0.15"/>
    <row r="1102" s="5" customFormat="1" ht="11.25" x14ac:dyDescent="0.15"/>
    <row r="1103" s="5" customFormat="1" ht="11.25" x14ac:dyDescent="0.15"/>
    <row r="1104" s="5" customFormat="1" ht="11.25" x14ac:dyDescent="0.15"/>
    <row r="1105" s="5" customFormat="1" ht="11.25" x14ac:dyDescent="0.15"/>
    <row r="1106" s="5" customFormat="1" ht="11.25" x14ac:dyDescent="0.15"/>
    <row r="1107" s="5" customFormat="1" ht="11.25" x14ac:dyDescent="0.15"/>
    <row r="1108" s="5" customFormat="1" ht="11.25" x14ac:dyDescent="0.15"/>
    <row r="1109" s="5" customFormat="1" ht="11.25" x14ac:dyDescent="0.15"/>
  </sheetData>
  <mergeCells count="25">
    <mergeCell ref="A1:B8"/>
    <mergeCell ref="C1:H5"/>
    <mergeCell ref="I1:J1"/>
    <mergeCell ref="I2:J2"/>
    <mergeCell ref="I3:J3"/>
    <mergeCell ref="I4:J4"/>
    <mergeCell ref="I5:J5"/>
    <mergeCell ref="C6:E8"/>
    <mergeCell ref="F6:H8"/>
    <mergeCell ref="I6:J8"/>
    <mergeCell ref="C9:E9"/>
    <mergeCell ref="A12:B12"/>
    <mergeCell ref="A10:B10"/>
    <mergeCell ref="A11:B11"/>
    <mergeCell ref="A25:B25"/>
    <mergeCell ref="A15:A16"/>
    <mergeCell ref="B15:B16"/>
    <mergeCell ref="C15:C16"/>
    <mergeCell ref="A17:I17"/>
    <mergeCell ref="A19:B19"/>
    <mergeCell ref="I15:I16"/>
    <mergeCell ref="A20:B20"/>
    <mergeCell ref="D15:F15"/>
    <mergeCell ref="H15:H16"/>
    <mergeCell ref="G15:G16"/>
  </mergeCells>
  <phoneticPr fontId="0"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2"/>
  <sheetViews>
    <sheetView showGridLines="0" zoomScale="75" zoomScaleNormal="120" workbookViewId="0">
      <selection activeCell="D17" sqref="D17"/>
    </sheetView>
  </sheetViews>
  <sheetFormatPr baseColWidth="10" defaultRowHeight="12.75" x14ac:dyDescent="0.2"/>
  <cols>
    <col min="1" max="1" width="7.5703125" style="4" customWidth="1"/>
    <col min="2" max="2" width="16.85546875" style="4" customWidth="1"/>
    <col min="3" max="3" width="27.28515625" style="4" customWidth="1"/>
    <col min="4" max="4" width="13.5703125" style="4" customWidth="1"/>
    <col min="5" max="5" width="7.42578125" style="4" hidden="1" customWidth="1"/>
    <col min="6" max="6" width="9.5703125" style="4" customWidth="1"/>
    <col min="7" max="7" width="9.85546875" style="4" customWidth="1"/>
    <col min="8" max="8" width="5.7109375" style="4" customWidth="1"/>
    <col min="9" max="9" width="13.28515625" style="4" customWidth="1"/>
    <col min="10" max="10" width="9.5703125" style="4" customWidth="1"/>
    <col min="11" max="11" width="10.42578125" style="4" customWidth="1"/>
    <col min="12" max="12" width="9.42578125" style="4" customWidth="1"/>
    <col min="13" max="13" width="8.5703125" style="4" customWidth="1"/>
    <col min="14" max="14" width="8.42578125" style="4" customWidth="1"/>
    <col min="15" max="16384" width="11.42578125" style="4"/>
  </cols>
  <sheetData>
    <row r="1" spans="1:11" ht="12.75" customHeight="1" x14ac:dyDescent="0.2">
      <c r="A1" s="314"/>
      <c r="B1" s="315"/>
      <c r="C1" s="320" t="str">
        <f>+'POA-01'!C1:H5</f>
        <v>PLAN OPERATIVO ANUAL DE INVERSIONES - POAI - 2013</v>
      </c>
      <c r="D1" s="321"/>
      <c r="E1" s="321"/>
      <c r="F1" s="321"/>
      <c r="G1" s="321"/>
      <c r="H1" s="321"/>
      <c r="I1" s="326" t="s">
        <v>241</v>
      </c>
      <c r="J1" s="326"/>
      <c r="K1" s="88"/>
    </row>
    <row r="2" spans="1:11" ht="16.5" customHeight="1" x14ac:dyDescent="0.2">
      <c r="A2" s="316"/>
      <c r="B2" s="317"/>
      <c r="C2" s="322"/>
      <c r="D2" s="323"/>
      <c r="E2" s="323"/>
      <c r="F2" s="323"/>
      <c r="G2" s="323"/>
      <c r="H2" s="323"/>
      <c r="I2" s="326" t="s">
        <v>242</v>
      </c>
      <c r="J2" s="326"/>
      <c r="K2" s="88"/>
    </row>
    <row r="3" spans="1:11" ht="15.75" customHeight="1" x14ac:dyDescent="0.2">
      <c r="A3" s="316"/>
      <c r="B3" s="317"/>
      <c r="C3" s="322"/>
      <c r="D3" s="323"/>
      <c r="E3" s="323"/>
      <c r="F3" s="323"/>
      <c r="G3" s="323"/>
      <c r="H3" s="323"/>
      <c r="I3" s="326" t="s">
        <v>243</v>
      </c>
      <c r="J3" s="326"/>
      <c r="K3" s="88"/>
    </row>
    <row r="4" spans="1:11" ht="15.75" customHeight="1" x14ac:dyDescent="0.2">
      <c r="A4" s="316"/>
      <c r="B4" s="317"/>
      <c r="C4" s="322"/>
      <c r="D4" s="323"/>
      <c r="E4" s="323"/>
      <c r="F4" s="323"/>
      <c r="G4" s="323"/>
      <c r="H4" s="323"/>
      <c r="I4" s="326" t="s">
        <v>244</v>
      </c>
      <c r="J4" s="326"/>
      <c r="K4" s="88"/>
    </row>
    <row r="5" spans="1:11" ht="15.75" customHeight="1" x14ac:dyDescent="0.2">
      <c r="A5" s="316"/>
      <c r="B5" s="317"/>
      <c r="C5" s="324"/>
      <c r="D5" s="325"/>
      <c r="E5" s="325"/>
      <c r="F5" s="325"/>
      <c r="G5" s="325"/>
      <c r="H5" s="325"/>
      <c r="I5" s="326" t="s">
        <v>245</v>
      </c>
      <c r="J5" s="326"/>
      <c r="K5" s="88"/>
    </row>
    <row r="6" spans="1:1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ht="15" customHeight="1" x14ac:dyDescent="0.2">
      <c r="A8" s="318"/>
      <c r="B8" s="319"/>
      <c r="C8" s="331"/>
      <c r="D8" s="332"/>
      <c r="E8" s="332"/>
      <c r="F8" s="334"/>
      <c r="G8" s="334"/>
      <c r="H8" s="334"/>
      <c r="I8" s="336"/>
      <c r="J8" s="336"/>
      <c r="K8" s="90"/>
    </row>
    <row r="9" spans="1:11" s="6" customFormat="1" ht="15" customHeight="1" x14ac:dyDescent="0.2">
      <c r="A9" s="378" t="s">
        <v>154</v>
      </c>
      <c r="B9" s="378"/>
      <c r="C9" s="378"/>
      <c r="D9" s="378"/>
      <c r="E9" s="10"/>
      <c r="F9" s="10"/>
      <c r="G9" s="124" t="s">
        <v>118</v>
      </c>
      <c r="H9" s="379"/>
      <c r="I9" s="379"/>
      <c r="J9" s="7"/>
    </row>
    <row r="10" spans="1:11" s="6" customFormat="1" ht="16.5" x14ac:dyDescent="0.2">
      <c r="A10" s="380" t="s">
        <v>8</v>
      </c>
      <c r="B10" s="380"/>
      <c r="C10" s="72">
        <f>+'POA-01'!C10</f>
        <v>411534765.69657493</v>
      </c>
      <c r="D10" s="80"/>
      <c r="E10" s="10"/>
      <c r="F10" s="10"/>
      <c r="G10" s="10"/>
      <c r="H10" s="10"/>
      <c r="I10" s="10"/>
      <c r="J10" s="7"/>
    </row>
    <row r="11" spans="1:11" s="6" customFormat="1" ht="16.5" x14ac:dyDescent="0.2">
      <c r="A11" s="380" t="s">
        <v>10</v>
      </c>
      <c r="B11" s="380"/>
      <c r="C11" s="241">
        <f>'POA-01'!C11</f>
        <v>0</v>
      </c>
      <c r="D11" s="80"/>
      <c r="E11" s="10"/>
      <c r="F11" s="10"/>
      <c r="G11" s="10"/>
      <c r="H11" s="10"/>
      <c r="I11" s="10"/>
      <c r="J11" s="7"/>
    </row>
    <row r="12" spans="1:11" s="6" customFormat="1" ht="15" customHeight="1" x14ac:dyDescent="0.2">
      <c r="A12" s="380" t="s">
        <v>152</v>
      </c>
      <c r="B12" s="380"/>
      <c r="C12" s="73">
        <f>+C11+C10</f>
        <v>411534765.69657493</v>
      </c>
      <c r="D12" s="80"/>
      <c r="E12" s="10"/>
      <c r="F12" s="10"/>
      <c r="G12" s="10"/>
      <c r="H12" s="10"/>
      <c r="I12" s="10"/>
      <c r="J12" s="7"/>
    </row>
    <row r="13" spans="1:11" s="5" customFormat="1" ht="12.75" customHeight="1" x14ac:dyDescent="0.25">
      <c r="A13" s="98"/>
      <c r="B13" s="98"/>
      <c r="C13" s="98"/>
      <c r="D13" s="98"/>
    </row>
    <row r="14" spans="1:11" s="8" customFormat="1" ht="14.25" thickBot="1" x14ac:dyDescent="0.3">
      <c r="A14" s="81" t="s">
        <v>48</v>
      </c>
      <c r="B14" s="81"/>
      <c r="C14" s="81"/>
      <c r="D14" s="82" t="s">
        <v>49</v>
      </c>
    </row>
    <row r="15" spans="1:11" s="5" customFormat="1" ht="12.75" customHeight="1" thickBot="1" x14ac:dyDescent="0.2">
      <c r="A15" s="118" t="s">
        <v>50</v>
      </c>
      <c r="B15" s="374" t="s">
        <v>35</v>
      </c>
      <c r="C15" s="375"/>
      <c r="D15" s="119" t="s">
        <v>27</v>
      </c>
    </row>
    <row r="16" spans="1:11" s="5" customFormat="1" ht="13.5" x14ac:dyDescent="0.15">
      <c r="A16" s="120">
        <v>2</v>
      </c>
      <c r="B16" s="376" t="s">
        <v>134</v>
      </c>
      <c r="C16" s="377"/>
      <c r="D16" s="121">
        <f>SUM(D17:D30)</f>
        <v>46100000</v>
      </c>
    </row>
    <row r="17" spans="1:9" s="5" customFormat="1" ht="13.5" x14ac:dyDescent="0.15">
      <c r="A17" s="93" t="s">
        <v>121</v>
      </c>
      <c r="B17" s="370" t="s">
        <v>199</v>
      </c>
      <c r="C17" s="371"/>
      <c r="D17" s="94">
        <v>4000000</v>
      </c>
    </row>
    <row r="18" spans="1:9" s="5" customFormat="1" ht="13.5" x14ac:dyDescent="0.15">
      <c r="A18" s="93" t="s">
        <v>122</v>
      </c>
      <c r="B18" s="370" t="s">
        <v>200</v>
      </c>
      <c r="C18" s="371"/>
      <c r="D18" s="94">
        <v>0</v>
      </c>
    </row>
    <row r="19" spans="1:9" s="5" customFormat="1" ht="13.5" x14ac:dyDescent="0.15">
      <c r="A19" s="93" t="s">
        <v>123</v>
      </c>
      <c r="B19" s="370" t="s">
        <v>201</v>
      </c>
      <c r="C19" s="371"/>
      <c r="D19" s="94">
        <v>0</v>
      </c>
      <c r="I19" s="242"/>
    </row>
    <row r="20" spans="1:9" s="5" customFormat="1" ht="13.5" x14ac:dyDescent="0.25">
      <c r="A20" s="93" t="s">
        <v>124</v>
      </c>
      <c r="B20" s="370" t="s">
        <v>202</v>
      </c>
      <c r="C20" s="371"/>
      <c r="D20" s="122">
        <f>35900000</f>
        <v>35900000</v>
      </c>
    </row>
    <row r="21" spans="1:9" s="5" customFormat="1" ht="13.5" customHeight="1" x14ac:dyDescent="0.25">
      <c r="A21" s="93" t="s">
        <v>125</v>
      </c>
      <c r="B21" s="370" t="s">
        <v>203</v>
      </c>
      <c r="C21" s="371"/>
      <c r="D21" s="122">
        <v>0</v>
      </c>
    </row>
    <row r="22" spans="1:9" s="5" customFormat="1" ht="13.5" customHeight="1" x14ac:dyDescent="0.25">
      <c r="A22" s="93" t="s">
        <v>126</v>
      </c>
      <c r="B22" s="370" t="s">
        <v>204</v>
      </c>
      <c r="C22" s="371"/>
      <c r="D22" s="122">
        <v>0</v>
      </c>
    </row>
    <row r="23" spans="1:9" s="5" customFormat="1" ht="13.5" x14ac:dyDescent="0.15">
      <c r="A23" s="93" t="s">
        <v>127</v>
      </c>
      <c r="B23" s="370" t="s">
        <v>205</v>
      </c>
      <c r="C23" s="371"/>
      <c r="D23" s="94">
        <v>0</v>
      </c>
    </row>
    <row r="24" spans="1:9" s="5" customFormat="1" ht="13.5" customHeight="1" x14ac:dyDescent="0.15">
      <c r="A24" s="93" t="s">
        <v>128</v>
      </c>
      <c r="B24" s="370" t="s">
        <v>206</v>
      </c>
      <c r="C24" s="371"/>
      <c r="D24" s="94">
        <v>0</v>
      </c>
    </row>
    <row r="25" spans="1:9" s="5" customFormat="1" ht="13.5" customHeight="1" x14ac:dyDescent="0.25">
      <c r="A25" s="93" t="s">
        <v>129</v>
      </c>
      <c r="B25" s="370" t="s">
        <v>207</v>
      </c>
      <c r="C25" s="371"/>
      <c r="D25" s="123">
        <v>0</v>
      </c>
    </row>
    <row r="26" spans="1:9" s="5" customFormat="1" ht="13.5" x14ac:dyDescent="0.15">
      <c r="A26" s="93" t="s">
        <v>130</v>
      </c>
      <c r="B26" s="370" t="s">
        <v>212</v>
      </c>
      <c r="C26" s="371"/>
      <c r="D26" s="94">
        <v>0</v>
      </c>
    </row>
    <row r="27" spans="1:9" s="5" customFormat="1" ht="13.5" customHeight="1" x14ac:dyDescent="0.15">
      <c r="A27" s="93" t="s">
        <v>131</v>
      </c>
      <c r="B27" s="370" t="s">
        <v>208</v>
      </c>
      <c r="C27" s="371"/>
      <c r="D27" s="94">
        <v>0</v>
      </c>
    </row>
    <row r="28" spans="1:9" s="5" customFormat="1" ht="13.5" x14ac:dyDescent="0.15">
      <c r="A28" s="93" t="s">
        <v>132</v>
      </c>
      <c r="B28" s="370" t="s">
        <v>209</v>
      </c>
      <c r="C28" s="371"/>
      <c r="D28" s="94">
        <v>5000000</v>
      </c>
    </row>
    <row r="29" spans="1:9" s="5" customFormat="1" ht="13.5" x14ac:dyDescent="0.15">
      <c r="A29" s="93" t="s">
        <v>133</v>
      </c>
      <c r="B29" s="370" t="s">
        <v>210</v>
      </c>
      <c r="C29" s="371"/>
      <c r="D29" s="94">
        <v>1200000</v>
      </c>
    </row>
    <row r="30" spans="1:9" s="5" customFormat="1" ht="13.5" x14ac:dyDescent="0.15">
      <c r="A30" s="93" t="s">
        <v>135</v>
      </c>
      <c r="B30" s="370" t="s">
        <v>211</v>
      </c>
      <c r="C30" s="371"/>
      <c r="D30" s="94">
        <v>0</v>
      </c>
    </row>
    <row r="31" spans="1:9" s="5" customFormat="1" ht="13.5" x14ac:dyDescent="0.15">
      <c r="A31" s="93"/>
      <c r="B31" s="372"/>
      <c r="C31" s="373"/>
      <c r="D31" s="94"/>
    </row>
    <row r="32" spans="1:9" s="5" customFormat="1" ht="13.5" x14ac:dyDescent="0.15">
      <c r="A32" s="93"/>
      <c r="B32" s="370"/>
      <c r="C32" s="371"/>
      <c r="D32" s="94"/>
    </row>
    <row r="33" spans="1:4" s="5" customFormat="1" ht="13.5" x14ac:dyDescent="0.15">
      <c r="A33" s="93"/>
      <c r="B33" s="370"/>
      <c r="C33" s="371"/>
      <c r="D33" s="94"/>
    </row>
    <row r="34" spans="1:4" s="5" customFormat="1" ht="13.5" x14ac:dyDescent="0.15">
      <c r="A34" s="93"/>
      <c r="B34" s="370"/>
      <c r="C34" s="371"/>
      <c r="D34" s="94"/>
    </row>
    <row r="35" spans="1:4" s="5" customFormat="1" ht="13.5" x14ac:dyDescent="0.15">
      <c r="A35" s="93"/>
      <c r="B35" s="370"/>
      <c r="C35" s="371"/>
      <c r="D35" s="94"/>
    </row>
    <row r="36" spans="1:4" s="5" customFormat="1" ht="11.25" x14ac:dyDescent="0.15">
      <c r="A36" s="16"/>
    </row>
    <row r="37" spans="1:4" s="5" customFormat="1" ht="11.25" x14ac:dyDescent="0.15"/>
    <row r="38" spans="1:4" s="5" customFormat="1" ht="11.25" x14ac:dyDescent="0.15"/>
    <row r="39" spans="1:4" s="5" customFormat="1" ht="11.25" x14ac:dyDescent="0.15"/>
    <row r="40" spans="1:4" s="5" customFormat="1" ht="11.25" x14ac:dyDescent="0.15"/>
    <row r="41" spans="1:4" s="5" customFormat="1" ht="11.25" x14ac:dyDescent="0.15"/>
    <row r="42" spans="1:4" s="5" customFormat="1" ht="11.25" x14ac:dyDescent="0.15"/>
    <row r="43" spans="1:4" s="5" customFormat="1" ht="11.25" x14ac:dyDescent="0.15"/>
    <row r="44" spans="1:4" s="5" customFormat="1" ht="11.25" x14ac:dyDescent="0.15"/>
    <row r="45" spans="1:4" s="5" customFormat="1" ht="11.25" x14ac:dyDescent="0.15"/>
    <row r="46" spans="1:4" s="5" customFormat="1" ht="11.25" x14ac:dyDescent="0.15"/>
    <row r="47" spans="1:4" s="5" customFormat="1" ht="11.25" x14ac:dyDescent="0.15"/>
    <row r="48" spans="1:4" s="5" customFormat="1" ht="11.25" x14ac:dyDescent="0.15"/>
    <row r="49" s="5" customFormat="1" ht="12" customHeight="1" x14ac:dyDescent="0.15"/>
    <row r="50" s="5" customFormat="1" ht="11.25" x14ac:dyDescent="0.15"/>
    <row r="51" s="5" customFormat="1" ht="11.25" x14ac:dyDescent="0.15"/>
    <row r="52" s="5" customFormat="1" ht="11.25" x14ac:dyDescent="0.15"/>
    <row r="53" s="5" customFormat="1" ht="11.25" x14ac:dyDescent="0.15"/>
    <row r="54" s="5" customFormat="1" ht="11.25" x14ac:dyDescent="0.15"/>
    <row r="55" s="5" customFormat="1" ht="11.25" x14ac:dyDescent="0.15"/>
    <row r="56" s="5" customFormat="1" ht="11.25" x14ac:dyDescent="0.15"/>
    <row r="57" s="5" customFormat="1" ht="11.25" x14ac:dyDescent="0.15"/>
    <row r="58" s="5" customFormat="1" ht="11.25" x14ac:dyDescent="0.15"/>
    <row r="59" s="5" customFormat="1" ht="11.25" x14ac:dyDescent="0.15"/>
    <row r="60" s="5" customFormat="1" ht="15" customHeight="1" x14ac:dyDescent="0.15"/>
    <row r="61" s="5" customFormat="1" ht="11.25" x14ac:dyDescent="0.15"/>
    <row r="62" s="5" customFormat="1" ht="11.25" x14ac:dyDescent="0.15"/>
    <row r="63" s="5" customFormat="1" ht="11.25" x14ac:dyDescent="0.15"/>
    <row r="64" s="5" customFormat="1" ht="11.25" x14ac:dyDescent="0.15"/>
    <row r="65" s="5" customFormat="1" ht="11.25" x14ac:dyDescent="0.15"/>
    <row r="66" s="5" customFormat="1" ht="11.25" x14ac:dyDescent="0.15"/>
    <row r="67" s="5" customFormat="1" ht="11.25" x14ac:dyDescent="0.15"/>
    <row r="68" s="5" customFormat="1" ht="11.25" x14ac:dyDescent="0.15"/>
    <row r="69" s="5" customFormat="1" ht="11.25" x14ac:dyDescent="0.15"/>
    <row r="70" s="5" customFormat="1" ht="11.25" x14ac:dyDescent="0.15"/>
    <row r="71" s="5" customFormat="1" ht="11.25" x14ac:dyDescent="0.15"/>
    <row r="72" s="5" customFormat="1" ht="11.25" x14ac:dyDescent="0.15"/>
    <row r="73" s="5" customFormat="1" ht="11.25" x14ac:dyDescent="0.15"/>
    <row r="74" s="5" customFormat="1" ht="11.25" x14ac:dyDescent="0.15"/>
    <row r="75" s="5" customFormat="1" ht="11.25" x14ac:dyDescent="0.15"/>
    <row r="76" s="5" customFormat="1" ht="11.25" x14ac:dyDescent="0.15"/>
    <row r="77" s="5" customFormat="1" ht="11.25" x14ac:dyDescent="0.15"/>
    <row r="78" s="5" customFormat="1" ht="11.25" x14ac:dyDescent="0.15"/>
    <row r="79" s="5" customFormat="1" ht="11.25" x14ac:dyDescent="0.15"/>
    <row r="80" s="5" customFormat="1" ht="11.25" x14ac:dyDescent="0.15"/>
    <row r="81" s="5" customFormat="1" ht="11.25" x14ac:dyDescent="0.15"/>
    <row r="82" s="5" customFormat="1" ht="11.25" x14ac:dyDescent="0.15"/>
    <row r="83" s="5" customFormat="1" ht="11.25" x14ac:dyDescent="0.15"/>
    <row r="84" s="5" customFormat="1" ht="11.25" x14ac:dyDescent="0.15"/>
    <row r="85" s="5" customFormat="1" ht="11.25" x14ac:dyDescent="0.15"/>
    <row r="86" s="5" customFormat="1" ht="11.25" x14ac:dyDescent="0.15"/>
    <row r="87" s="5" customFormat="1" ht="11.25" x14ac:dyDescent="0.15"/>
    <row r="88" s="5" customFormat="1" ht="11.25" x14ac:dyDescent="0.15"/>
    <row r="89" s="5" customFormat="1" ht="11.25" x14ac:dyDescent="0.15"/>
    <row r="90" s="5" customFormat="1" ht="11.25" x14ac:dyDescent="0.15"/>
    <row r="91" s="5" customFormat="1" ht="11.25" x14ac:dyDescent="0.15"/>
    <row r="92" s="5" customFormat="1" ht="11.25" x14ac:dyDescent="0.15"/>
    <row r="93" s="5" customFormat="1" ht="11.25" x14ac:dyDescent="0.15"/>
    <row r="94" s="5" customFormat="1" ht="11.25" x14ac:dyDescent="0.15"/>
    <row r="95" s="5" customFormat="1" ht="11.25" x14ac:dyDescent="0.15"/>
    <row r="96" s="5" customFormat="1" ht="11.25" x14ac:dyDescent="0.15"/>
    <row r="97" s="5" customFormat="1" ht="11.25" x14ac:dyDescent="0.15"/>
    <row r="98" s="5" customFormat="1" ht="11.25" x14ac:dyDescent="0.15"/>
    <row r="99" s="5" customFormat="1" ht="11.25" x14ac:dyDescent="0.15"/>
    <row r="100" s="5" customFormat="1" ht="11.25" x14ac:dyDescent="0.15"/>
    <row r="101" s="5" customFormat="1" ht="11.25" x14ac:dyDescent="0.15"/>
    <row r="102" s="5" customFormat="1" ht="11.25" x14ac:dyDescent="0.15"/>
    <row r="103" s="5" customFormat="1" ht="11.25" x14ac:dyDescent="0.15"/>
    <row r="104" s="5" customFormat="1" ht="11.25" x14ac:dyDescent="0.15"/>
    <row r="105" s="5" customFormat="1" ht="11.25" x14ac:dyDescent="0.15"/>
    <row r="106" s="5" customFormat="1" ht="11.25" x14ac:dyDescent="0.15"/>
    <row r="107" s="5" customFormat="1" ht="11.25" x14ac:dyDescent="0.15"/>
    <row r="108" s="5" customFormat="1" ht="11.25" x14ac:dyDescent="0.15"/>
    <row r="109" s="5" customFormat="1" ht="11.25" x14ac:dyDescent="0.15"/>
    <row r="110" s="5" customFormat="1" ht="11.25" x14ac:dyDescent="0.15"/>
    <row r="111" s="5" customFormat="1" ht="11.25" x14ac:dyDescent="0.15"/>
    <row r="112" s="5" customFormat="1" ht="11.25" x14ac:dyDescent="0.15"/>
    <row r="113" s="5" customFormat="1" ht="11.25" x14ac:dyDescent="0.15"/>
    <row r="114" s="5" customFormat="1" ht="11.25" x14ac:dyDescent="0.15"/>
    <row r="115" s="5" customFormat="1" ht="11.25" x14ac:dyDescent="0.15"/>
    <row r="116" s="5" customFormat="1" ht="11.25" x14ac:dyDescent="0.15"/>
    <row r="117" s="5" customFormat="1" ht="11.25" x14ac:dyDescent="0.15"/>
    <row r="118" s="5" customFormat="1" ht="11.25" x14ac:dyDescent="0.15"/>
    <row r="119" s="5" customFormat="1" ht="11.25" x14ac:dyDescent="0.15"/>
    <row r="120" s="5" customFormat="1" ht="11.25" x14ac:dyDescent="0.15"/>
    <row r="121" s="5" customFormat="1" ht="11.25" x14ac:dyDescent="0.15"/>
    <row r="122" s="5" customFormat="1" ht="11.25" x14ac:dyDescent="0.15"/>
    <row r="123" s="5" customFormat="1" ht="11.25" x14ac:dyDescent="0.15"/>
    <row r="124" s="5" customFormat="1" ht="11.25" x14ac:dyDescent="0.15"/>
    <row r="125" s="5" customFormat="1" ht="11.25" x14ac:dyDescent="0.15"/>
    <row r="126" s="5" customFormat="1" ht="11.25" x14ac:dyDescent="0.15"/>
    <row r="127" s="5" customFormat="1" ht="11.25" x14ac:dyDescent="0.15"/>
    <row r="128" s="5" customFormat="1" ht="11.25" x14ac:dyDescent="0.15"/>
    <row r="129" s="5" customFormat="1" ht="11.25" x14ac:dyDescent="0.15"/>
    <row r="130" s="5" customFormat="1" ht="11.25" x14ac:dyDescent="0.15"/>
    <row r="131" s="5" customFormat="1" ht="11.25" x14ac:dyDescent="0.15"/>
    <row r="132" s="5" customFormat="1" ht="11.25" x14ac:dyDescent="0.15"/>
    <row r="133" s="5" customFormat="1" ht="11.25" x14ac:dyDescent="0.15"/>
    <row r="134" s="5" customFormat="1" ht="11.25" x14ac:dyDescent="0.15"/>
    <row r="135" s="5" customFormat="1" ht="11.25" x14ac:dyDescent="0.15"/>
    <row r="136" s="5" customFormat="1" ht="11.25" x14ac:dyDescent="0.15"/>
    <row r="137" s="5" customFormat="1" ht="11.25" x14ac:dyDescent="0.15"/>
    <row r="138" s="5" customFormat="1" ht="11.25" x14ac:dyDescent="0.15"/>
    <row r="139" s="5" customFormat="1" ht="11.25" x14ac:dyDescent="0.15"/>
    <row r="140" s="5" customFormat="1" ht="11.25" x14ac:dyDescent="0.15"/>
    <row r="141" s="5" customFormat="1" ht="11.25" x14ac:dyDescent="0.15"/>
    <row r="142" s="5" customFormat="1" ht="11.25" x14ac:dyDescent="0.15"/>
    <row r="143" s="5" customFormat="1" ht="11.25" x14ac:dyDescent="0.15"/>
    <row r="144" s="5" customFormat="1" ht="11.25" x14ac:dyDescent="0.15"/>
    <row r="145" s="5" customFormat="1" ht="11.25" x14ac:dyDescent="0.15"/>
    <row r="146" s="5" customFormat="1" ht="11.25" x14ac:dyDescent="0.15"/>
    <row r="147" s="5" customFormat="1" ht="11.25" x14ac:dyDescent="0.15"/>
    <row r="148" s="5" customFormat="1" ht="11.25" x14ac:dyDescent="0.15"/>
    <row r="149" s="5" customFormat="1" ht="11.25" x14ac:dyDescent="0.15"/>
    <row r="150" s="5" customFormat="1" ht="11.25" x14ac:dyDescent="0.15"/>
    <row r="151" s="5" customFormat="1" ht="11.25" x14ac:dyDescent="0.15"/>
    <row r="152" s="5" customFormat="1" ht="11.25" x14ac:dyDescent="0.15"/>
    <row r="153" s="5" customFormat="1" ht="11.25" x14ac:dyDescent="0.15"/>
    <row r="154" s="5" customFormat="1" ht="11.25" x14ac:dyDescent="0.15"/>
    <row r="155" s="5" customFormat="1" ht="11.25" x14ac:dyDescent="0.15"/>
    <row r="156" s="5" customFormat="1" ht="11.25" x14ac:dyDescent="0.15"/>
    <row r="157" s="5" customFormat="1" ht="11.25" x14ac:dyDescent="0.15"/>
    <row r="158" s="5" customFormat="1" ht="11.25" x14ac:dyDescent="0.15"/>
    <row r="159" s="5" customFormat="1" ht="11.25" x14ac:dyDescent="0.15"/>
    <row r="160" s="5" customFormat="1" ht="11.25" x14ac:dyDescent="0.15"/>
    <row r="161" s="5" customFormat="1" ht="11.25" x14ac:dyDescent="0.15"/>
    <row r="162" s="5" customFormat="1" ht="11.25" x14ac:dyDescent="0.15"/>
    <row r="163" s="5" customFormat="1" ht="11.25" x14ac:dyDescent="0.15"/>
    <row r="164" s="5" customFormat="1" ht="11.25" x14ac:dyDescent="0.15"/>
    <row r="165" s="5" customFormat="1" ht="11.25" x14ac:dyDescent="0.15"/>
    <row r="166" s="5" customFormat="1" ht="11.25" x14ac:dyDescent="0.15"/>
    <row r="167" s="5" customFormat="1" ht="11.25" x14ac:dyDescent="0.15"/>
    <row r="168" s="5" customFormat="1" ht="11.25" x14ac:dyDescent="0.15"/>
    <row r="169" s="5" customFormat="1" ht="11.25" x14ac:dyDescent="0.15"/>
    <row r="170" s="5" customFormat="1" ht="11.25" x14ac:dyDescent="0.15"/>
    <row r="171" s="5" customFormat="1" ht="11.25" x14ac:dyDescent="0.15"/>
    <row r="172" s="5" customFormat="1" ht="11.25" x14ac:dyDescent="0.15"/>
    <row r="173" s="5" customFormat="1" ht="11.25" x14ac:dyDescent="0.15"/>
    <row r="174" s="5" customFormat="1" ht="11.25" x14ac:dyDescent="0.15"/>
    <row r="175" s="5" customFormat="1" ht="11.25" x14ac:dyDescent="0.15"/>
    <row r="176" s="5" customFormat="1" ht="11.25" x14ac:dyDescent="0.15"/>
    <row r="177" s="5" customFormat="1" ht="11.25" x14ac:dyDescent="0.15"/>
    <row r="178" s="5" customFormat="1" ht="11.25" x14ac:dyDescent="0.15"/>
    <row r="179" s="5" customFormat="1" ht="11.25" x14ac:dyDescent="0.15"/>
    <row r="180" s="5" customFormat="1" ht="11.25" x14ac:dyDescent="0.15"/>
    <row r="181" s="5" customFormat="1" ht="11.25" x14ac:dyDescent="0.15"/>
    <row r="182" s="5" customFormat="1" ht="11.25" x14ac:dyDescent="0.15"/>
    <row r="183" s="5" customFormat="1" ht="11.25" x14ac:dyDescent="0.15"/>
    <row r="184" s="5" customFormat="1" ht="11.25" x14ac:dyDescent="0.15"/>
    <row r="185" s="5" customFormat="1" ht="11.25" x14ac:dyDescent="0.15"/>
    <row r="186" s="5" customFormat="1" ht="11.25" x14ac:dyDescent="0.15"/>
    <row r="187" s="5" customFormat="1" ht="11.25" x14ac:dyDescent="0.15"/>
    <row r="188" s="5" customFormat="1" ht="11.25" x14ac:dyDescent="0.15"/>
    <row r="189" s="5" customFormat="1" ht="11.25" x14ac:dyDescent="0.15"/>
    <row r="190" s="5" customFormat="1" ht="11.25" x14ac:dyDescent="0.15"/>
    <row r="191" s="5" customFormat="1" ht="11.25" x14ac:dyDescent="0.15"/>
    <row r="192" s="5" customFormat="1" ht="11.25" x14ac:dyDescent="0.15"/>
    <row r="193" s="5" customFormat="1" ht="11.25" x14ac:dyDescent="0.15"/>
    <row r="194" s="5" customFormat="1" ht="11.25" x14ac:dyDescent="0.15"/>
    <row r="195" s="5" customFormat="1" ht="11.25" x14ac:dyDescent="0.15"/>
    <row r="196" s="5" customFormat="1" ht="11.25" x14ac:dyDescent="0.15"/>
    <row r="197" s="5" customFormat="1" ht="11.25" x14ac:dyDescent="0.15"/>
    <row r="198" s="5" customFormat="1" ht="11.25" x14ac:dyDescent="0.15"/>
    <row r="199" s="5" customFormat="1" ht="11.25" x14ac:dyDescent="0.15"/>
    <row r="200" s="5" customFormat="1" ht="11.25" x14ac:dyDescent="0.15"/>
    <row r="201" s="5" customFormat="1" ht="11.25" x14ac:dyDescent="0.15"/>
    <row r="202" s="5" customFormat="1" ht="11.25" x14ac:dyDescent="0.15"/>
    <row r="203" s="5" customFormat="1" ht="11.25" x14ac:dyDescent="0.15"/>
    <row r="204" s="5" customFormat="1" ht="11.25" x14ac:dyDescent="0.15"/>
    <row r="205" s="5" customFormat="1" ht="11.25" x14ac:dyDescent="0.15"/>
    <row r="206" s="5" customFormat="1" ht="11.25" x14ac:dyDescent="0.15"/>
    <row r="207" s="5" customFormat="1" ht="11.25" x14ac:dyDescent="0.15"/>
    <row r="208" s="5" customFormat="1" ht="11.25" x14ac:dyDescent="0.15"/>
    <row r="209" s="5" customFormat="1" ht="11.25" x14ac:dyDescent="0.15"/>
    <row r="210" s="5" customFormat="1" ht="11.25" x14ac:dyDescent="0.15"/>
    <row r="211" s="5" customFormat="1" ht="11.25" x14ac:dyDescent="0.15"/>
    <row r="212" s="5" customFormat="1" ht="11.25" x14ac:dyDescent="0.15"/>
    <row r="213" s="5" customFormat="1" ht="11.25" x14ac:dyDescent="0.15"/>
    <row r="214" s="5" customFormat="1" ht="11.25" x14ac:dyDescent="0.15"/>
    <row r="215" s="5" customFormat="1" ht="11.25" x14ac:dyDescent="0.15"/>
    <row r="216" s="5" customFormat="1" ht="11.25" x14ac:dyDescent="0.15"/>
    <row r="217" s="5" customFormat="1" ht="11.25" x14ac:dyDescent="0.15"/>
    <row r="218" s="5" customFormat="1" ht="11.25" x14ac:dyDescent="0.15"/>
    <row r="219" s="5" customFormat="1" ht="11.25" x14ac:dyDescent="0.15"/>
    <row r="220" s="5" customFormat="1" ht="11.25" x14ac:dyDescent="0.15"/>
    <row r="221" s="5" customFormat="1" ht="11.25" x14ac:dyDescent="0.15"/>
    <row r="222" s="5" customFormat="1" ht="11.25" x14ac:dyDescent="0.15"/>
    <row r="223" s="5" customFormat="1" ht="11.25" x14ac:dyDescent="0.15"/>
    <row r="224" s="5" customFormat="1" ht="11.25" x14ac:dyDescent="0.15"/>
    <row r="225" s="5" customFormat="1" ht="11.25" x14ac:dyDescent="0.15"/>
    <row r="226" s="5" customFormat="1" ht="11.25" x14ac:dyDescent="0.15"/>
    <row r="227" s="5" customFormat="1" ht="11.25" x14ac:dyDescent="0.15"/>
    <row r="228" s="5" customFormat="1" ht="11.25" x14ac:dyDescent="0.15"/>
    <row r="229" s="5" customFormat="1" ht="11.25" x14ac:dyDescent="0.15"/>
    <row r="230" s="5" customFormat="1" ht="11.25" x14ac:dyDescent="0.15"/>
    <row r="231" s="5" customFormat="1" ht="11.25" x14ac:dyDescent="0.15"/>
    <row r="232" s="5" customFormat="1" ht="11.25" x14ac:dyDescent="0.15"/>
    <row r="233" s="5" customFormat="1" ht="11.25" x14ac:dyDescent="0.15"/>
    <row r="234" s="5" customFormat="1" ht="11.25" x14ac:dyDescent="0.15"/>
    <row r="235" s="5" customFormat="1" ht="11.25" x14ac:dyDescent="0.15"/>
    <row r="236" s="5" customFormat="1" ht="11.25" x14ac:dyDescent="0.15"/>
    <row r="237" s="5" customFormat="1" ht="11.25" x14ac:dyDescent="0.15"/>
    <row r="238" s="5" customFormat="1" ht="11.25" x14ac:dyDescent="0.15"/>
    <row r="239" s="5" customFormat="1" ht="11.25" x14ac:dyDescent="0.15"/>
    <row r="240" s="5" customFormat="1" ht="11.25" x14ac:dyDescent="0.15"/>
    <row r="241" s="5" customFormat="1" ht="11.25" x14ac:dyDescent="0.15"/>
    <row r="242" s="5" customFormat="1" ht="11.25" x14ac:dyDescent="0.15"/>
    <row r="243" s="5" customFormat="1" ht="11.25" x14ac:dyDescent="0.15"/>
    <row r="244" s="5" customFormat="1" ht="11.25" x14ac:dyDescent="0.15"/>
    <row r="245" s="5" customFormat="1" ht="11.25" x14ac:dyDescent="0.15"/>
    <row r="246" s="5" customFormat="1" ht="11.25" x14ac:dyDescent="0.15"/>
    <row r="247" s="5" customFormat="1" ht="11.25" x14ac:dyDescent="0.15"/>
    <row r="248" s="5" customFormat="1" ht="11.25" x14ac:dyDescent="0.15"/>
    <row r="249" s="5" customFormat="1" ht="11.25" x14ac:dyDescent="0.15"/>
    <row r="250" s="5" customFormat="1" ht="11.25" x14ac:dyDescent="0.15"/>
    <row r="251" s="5" customFormat="1" ht="11.25" x14ac:dyDescent="0.15"/>
    <row r="252" s="5" customFormat="1" ht="11.25" x14ac:dyDescent="0.15"/>
    <row r="253" s="5" customFormat="1" ht="11.25" x14ac:dyDescent="0.15"/>
    <row r="254" s="5" customFormat="1" ht="11.25" x14ac:dyDescent="0.15"/>
    <row r="255" s="5" customFormat="1" ht="11.25" x14ac:dyDescent="0.15"/>
    <row r="256" s="5" customFormat="1" ht="11.25" x14ac:dyDescent="0.15"/>
    <row r="257" s="5" customFormat="1" ht="11.25" x14ac:dyDescent="0.15"/>
    <row r="258" s="5" customFormat="1" ht="11.25" x14ac:dyDescent="0.15"/>
    <row r="259" s="5" customFormat="1" ht="11.25" x14ac:dyDescent="0.15"/>
    <row r="260" s="5" customFormat="1" ht="11.25" x14ac:dyDescent="0.15"/>
    <row r="261" s="5" customFormat="1" ht="11.25" x14ac:dyDescent="0.15"/>
    <row r="262" s="5" customFormat="1" ht="11.25" x14ac:dyDescent="0.15"/>
    <row r="263" s="5" customFormat="1" ht="11.25" x14ac:dyDescent="0.15"/>
    <row r="264" s="5" customFormat="1" ht="11.25" x14ac:dyDescent="0.15"/>
    <row r="265" s="5" customFormat="1" ht="11.25" x14ac:dyDescent="0.15"/>
    <row r="266" s="5" customFormat="1" ht="11.25" x14ac:dyDescent="0.15"/>
    <row r="267" s="5" customFormat="1" ht="11.25" x14ac:dyDescent="0.15"/>
    <row r="268" s="5" customFormat="1" ht="11.25" x14ac:dyDescent="0.15"/>
    <row r="269" s="5" customFormat="1" ht="11.25" x14ac:dyDescent="0.15"/>
    <row r="270" s="5" customFormat="1" ht="11.25" x14ac:dyDescent="0.15"/>
    <row r="271" s="5" customFormat="1" ht="11.25" x14ac:dyDescent="0.15"/>
    <row r="272" s="5" customFormat="1" ht="11.25" x14ac:dyDescent="0.15"/>
    <row r="273" s="5" customFormat="1" ht="11.25" x14ac:dyDescent="0.15"/>
    <row r="274" s="5" customFormat="1" ht="11.25" x14ac:dyDescent="0.15"/>
    <row r="275" s="5" customFormat="1" ht="11.25" x14ac:dyDescent="0.15"/>
    <row r="276" s="5" customFormat="1" ht="11.25" x14ac:dyDescent="0.15"/>
    <row r="277" s="5" customFormat="1" ht="11.25" x14ac:dyDescent="0.15"/>
    <row r="278" s="5" customFormat="1" ht="11.25" x14ac:dyDescent="0.15"/>
    <row r="279" s="5" customFormat="1" ht="11.25" x14ac:dyDescent="0.15"/>
    <row r="280" s="5" customFormat="1" ht="11.25" x14ac:dyDescent="0.15"/>
    <row r="281" s="5" customFormat="1" ht="11.25" x14ac:dyDescent="0.15"/>
    <row r="282" s="5" customFormat="1" ht="11.25" x14ac:dyDescent="0.15"/>
    <row r="283" s="5" customFormat="1" ht="11.25" x14ac:dyDescent="0.15"/>
    <row r="284" s="5" customFormat="1" ht="11.25" x14ac:dyDescent="0.15"/>
    <row r="285" s="5" customFormat="1" ht="11.25" x14ac:dyDescent="0.15"/>
    <row r="286" s="5" customFormat="1" ht="11.25" x14ac:dyDescent="0.15"/>
    <row r="287" s="5" customFormat="1" ht="11.25" x14ac:dyDescent="0.15"/>
    <row r="288" s="5" customFormat="1" ht="11.25" x14ac:dyDescent="0.15"/>
    <row r="289" s="5" customFormat="1" ht="11.25" x14ac:dyDescent="0.15"/>
    <row r="290" s="5" customFormat="1" ht="11.25" x14ac:dyDescent="0.15"/>
    <row r="291" s="5" customFormat="1" ht="11.25" x14ac:dyDescent="0.15"/>
    <row r="292" s="5" customFormat="1" ht="11.25" x14ac:dyDescent="0.15"/>
    <row r="293" s="5" customFormat="1" ht="11.25" x14ac:dyDescent="0.15"/>
    <row r="294" s="5" customFormat="1" ht="11.25" x14ac:dyDescent="0.15"/>
    <row r="295" s="5" customFormat="1" ht="11.25" x14ac:dyDescent="0.15"/>
    <row r="296" s="5" customFormat="1" ht="11.25" x14ac:dyDescent="0.15"/>
    <row r="297" s="5" customFormat="1" ht="11.25" x14ac:dyDescent="0.15"/>
    <row r="298" s="5" customFormat="1" ht="11.25" x14ac:dyDescent="0.15"/>
    <row r="299" s="5" customFormat="1" ht="11.25" x14ac:dyDescent="0.15"/>
    <row r="300" s="5" customFormat="1" ht="11.25" x14ac:dyDescent="0.15"/>
    <row r="301" s="5" customFormat="1" ht="11.25" x14ac:dyDescent="0.15"/>
    <row r="302" s="5" customFormat="1" ht="11.25" x14ac:dyDescent="0.15"/>
    <row r="303" s="5" customFormat="1" ht="11.25" x14ac:dyDescent="0.15"/>
    <row r="304" s="5" customFormat="1" ht="11.25" x14ac:dyDescent="0.15"/>
    <row r="305" s="5" customFormat="1" ht="11.25" x14ac:dyDescent="0.15"/>
    <row r="306" s="5" customFormat="1" ht="11.25" x14ac:dyDescent="0.15"/>
    <row r="307" s="5" customFormat="1" ht="11.25" x14ac:dyDescent="0.15"/>
    <row r="308" s="5" customFormat="1" ht="11.25" x14ac:dyDescent="0.15"/>
    <row r="309" s="5" customFormat="1" ht="11.25" x14ac:dyDescent="0.15"/>
    <row r="310" s="5" customFormat="1" ht="11.25" x14ac:dyDescent="0.15"/>
    <row r="311" s="5" customFormat="1" ht="11.25" x14ac:dyDescent="0.15"/>
    <row r="312" s="5" customFormat="1" ht="11.25" x14ac:dyDescent="0.15"/>
    <row r="313" s="5" customFormat="1" ht="11.25" x14ac:dyDescent="0.15"/>
    <row r="314" s="5" customFormat="1" ht="11.25" x14ac:dyDescent="0.15"/>
    <row r="315" s="5" customFormat="1" ht="11.25" x14ac:dyDescent="0.15"/>
    <row r="316" s="5" customFormat="1" ht="11.25" x14ac:dyDescent="0.15"/>
    <row r="317" s="5" customFormat="1" ht="11.25" x14ac:dyDescent="0.15"/>
    <row r="318" s="5" customFormat="1" ht="11.25" x14ac:dyDescent="0.15"/>
    <row r="319" s="5" customFormat="1" ht="11.25" x14ac:dyDescent="0.15"/>
    <row r="320" s="5" customFormat="1" ht="11.25" x14ac:dyDescent="0.15"/>
    <row r="321" s="5" customFormat="1" ht="11.25" x14ac:dyDescent="0.15"/>
    <row r="322" s="5" customFormat="1" ht="11.25" x14ac:dyDescent="0.15"/>
    <row r="323" s="5" customFormat="1" ht="11.25" x14ac:dyDescent="0.15"/>
    <row r="324" s="5" customFormat="1" ht="11.25" x14ac:dyDescent="0.15"/>
    <row r="325" s="5" customFormat="1" ht="11.25" x14ac:dyDescent="0.15"/>
    <row r="326" s="5" customFormat="1" ht="11.25" x14ac:dyDescent="0.15"/>
    <row r="327" s="5" customFormat="1" ht="11.25" x14ac:dyDescent="0.15"/>
    <row r="328" s="5" customFormat="1" ht="11.25" x14ac:dyDescent="0.15"/>
    <row r="329" s="5" customFormat="1" ht="11.25" x14ac:dyDescent="0.15"/>
    <row r="330" s="5" customFormat="1" ht="11.25" x14ac:dyDescent="0.15"/>
    <row r="331" s="5" customFormat="1" ht="11.25" x14ac:dyDescent="0.15"/>
    <row r="332" s="5" customFormat="1" ht="11.25" x14ac:dyDescent="0.15"/>
    <row r="333" s="5" customFormat="1" ht="11.25" x14ac:dyDescent="0.15"/>
    <row r="334" s="5" customFormat="1" ht="11.25" x14ac:dyDescent="0.15"/>
    <row r="335" s="5" customFormat="1" ht="11.25" x14ac:dyDescent="0.15"/>
    <row r="336" s="5" customFormat="1" ht="11.25" x14ac:dyDescent="0.15"/>
    <row r="337" s="5" customFormat="1" ht="11.25" x14ac:dyDescent="0.15"/>
    <row r="338" s="5" customFormat="1" ht="11.25" x14ac:dyDescent="0.15"/>
    <row r="339" s="5" customFormat="1" ht="11.25" x14ac:dyDescent="0.15"/>
    <row r="340" s="5" customFormat="1" ht="11.25" x14ac:dyDescent="0.15"/>
    <row r="341" s="5" customFormat="1" ht="11.25" x14ac:dyDescent="0.15"/>
    <row r="342" s="5" customFormat="1" ht="11.25" x14ac:dyDescent="0.15"/>
    <row r="343" s="5" customFormat="1" ht="11.25" x14ac:dyDescent="0.15"/>
    <row r="344" s="5" customFormat="1" ht="11.25" x14ac:dyDescent="0.15"/>
    <row r="345" s="5" customFormat="1" ht="11.25" x14ac:dyDescent="0.15"/>
    <row r="346" s="5" customFormat="1" ht="11.25" x14ac:dyDescent="0.15"/>
    <row r="347" s="5" customFormat="1" ht="11.25" x14ac:dyDescent="0.15"/>
    <row r="348" s="5" customFormat="1" ht="11.25" x14ac:dyDescent="0.15"/>
    <row r="349" s="5" customFormat="1" ht="11.25" x14ac:dyDescent="0.15"/>
    <row r="350" s="5" customFormat="1" ht="11.25" x14ac:dyDescent="0.15"/>
    <row r="351" s="5" customFormat="1" ht="11.25" x14ac:dyDescent="0.15"/>
    <row r="352" s="5" customFormat="1" ht="11.25" x14ac:dyDescent="0.15"/>
    <row r="353" s="5" customFormat="1" ht="11.25" x14ac:dyDescent="0.15"/>
    <row r="354" s="5" customFormat="1" ht="11.25" x14ac:dyDescent="0.15"/>
    <row r="355" s="5" customFormat="1" ht="11.25" x14ac:dyDescent="0.15"/>
    <row r="356" s="5" customFormat="1" ht="11.25" x14ac:dyDescent="0.15"/>
    <row r="357" s="5" customFormat="1" ht="11.25" x14ac:dyDescent="0.15"/>
    <row r="358" s="5" customFormat="1" ht="11.25" x14ac:dyDescent="0.15"/>
    <row r="359" s="5" customFormat="1" ht="11.25" x14ac:dyDescent="0.15"/>
    <row r="360" s="5" customFormat="1" ht="11.25" x14ac:dyDescent="0.15"/>
    <row r="361" s="5" customFormat="1" ht="11.25" x14ac:dyDescent="0.15"/>
    <row r="362" s="5" customFormat="1" ht="11.25" x14ac:dyDescent="0.15"/>
  </sheetData>
  <mergeCells count="37">
    <mergeCell ref="A12:B12"/>
    <mergeCell ref="A1:B8"/>
    <mergeCell ref="C1:H5"/>
    <mergeCell ref="I1:J1"/>
    <mergeCell ref="I2:J2"/>
    <mergeCell ref="I3:J3"/>
    <mergeCell ref="I4:J4"/>
    <mergeCell ref="I5:J5"/>
    <mergeCell ref="C6:E8"/>
    <mergeCell ref="F6:H8"/>
    <mergeCell ref="I6:J8"/>
    <mergeCell ref="C9:D9"/>
    <mergeCell ref="A9:B9"/>
    <mergeCell ref="H9:I9"/>
    <mergeCell ref="A10:B10"/>
    <mergeCell ref="A11:B11"/>
    <mergeCell ref="B18:C18"/>
    <mergeCell ref="B15:C15"/>
    <mergeCell ref="B16:C16"/>
    <mergeCell ref="B17:C17"/>
    <mergeCell ref="B26:C26"/>
    <mergeCell ref="B19:C19"/>
    <mergeCell ref="B20:C20"/>
    <mergeCell ref="B21:C21"/>
    <mergeCell ref="B22:C22"/>
    <mergeCell ref="B23:C23"/>
    <mergeCell ref="B30:C30"/>
    <mergeCell ref="B24:C24"/>
    <mergeCell ref="B25:C25"/>
    <mergeCell ref="B35:C35"/>
    <mergeCell ref="B31:C31"/>
    <mergeCell ref="B32:C32"/>
    <mergeCell ref="B33:C33"/>
    <mergeCell ref="B34:C34"/>
    <mergeCell ref="B27:C27"/>
    <mergeCell ref="B28:C28"/>
    <mergeCell ref="B29:C29"/>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topLeftCell="A28" workbookViewId="0">
      <selection activeCell="P57" sqref="P57"/>
    </sheetView>
  </sheetViews>
  <sheetFormatPr baseColWidth="10" defaultRowHeight="10.5" x14ac:dyDescent="0.15"/>
  <cols>
    <col min="1" max="1" width="7" style="18" customWidth="1"/>
    <col min="2" max="2" width="18.7109375" style="18" customWidth="1"/>
    <col min="3" max="3" width="11.28515625" style="18" customWidth="1"/>
    <col min="4" max="5" width="10.28515625" style="18" bestFit="1" customWidth="1"/>
    <col min="6" max="6" width="11" style="18" bestFit="1" customWidth="1"/>
    <col min="7" max="7" width="11" style="18" customWidth="1"/>
    <col min="8" max="8" width="11.140625" style="18" customWidth="1"/>
    <col min="9" max="14" width="10.28515625" style="18" bestFit="1" customWidth="1"/>
    <col min="15" max="15" width="10.42578125" style="18" customWidth="1"/>
    <col min="16" max="16" width="10.85546875" style="18" customWidth="1"/>
    <col min="17" max="17" width="13.5703125" style="18" bestFit="1" customWidth="1"/>
    <col min="18" max="16384" width="11.42578125" style="18"/>
  </cols>
  <sheetData>
    <row r="1" spans="1:24" s="4" customFormat="1" ht="12.75" customHeight="1" x14ac:dyDescent="0.2">
      <c r="A1" s="314"/>
      <c r="B1" s="315"/>
      <c r="C1" s="320" t="str">
        <f>+'POA-01'!C1:H5</f>
        <v>PLAN OPERATIVO ANUAL DE INVERSIONES - POAI - 2013</v>
      </c>
      <c r="D1" s="321"/>
      <c r="E1" s="321"/>
      <c r="F1" s="321"/>
      <c r="G1" s="321"/>
      <c r="H1" s="321"/>
      <c r="I1" s="326" t="s">
        <v>241</v>
      </c>
      <c r="J1" s="326"/>
      <c r="K1" s="88"/>
    </row>
    <row r="2" spans="1:24" s="4" customFormat="1" ht="16.5" customHeight="1" x14ac:dyDescent="0.2">
      <c r="A2" s="316"/>
      <c r="B2" s="317"/>
      <c r="C2" s="322"/>
      <c r="D2" s="323"/>
      <c r="E2" s="323"/>
      <c r="F2" s="323"/>
      <c r="G2" s="323"/>
      <c r="H2" s="323"/>
      <c r="I2" s="326" t="s">
        <v>242</v>
      </c>
      <c r="J2" s="326"/>
      <c r="K2" s="88"/>
    </row>
    <row r="3" spans="1:24" s="4" customFormat="1" ht="15.75" customHeight="1" x14ac:dyDescent="0.2">
      <c r="A3" s="316"/>
      <c r="B3" s="317"/>
      <c r="C3" s="322"/>
      <c r="D3" s="323"/>
      <c r="E3" s="323"/>
      <c r="F3" s="323"/>
      <c r="G3" s="323"/>
      <c r="H3" s="323"/>
      <c r="I3" s="326" t="s">
        <v>243</v>
      </c>
      <c r="J3" s="326"/>
      <c r="K3" s="88"/>
    </row>
    <row r="4" spans="1:24" s="4" customFormat="1" ht="15.75" customHeight="1" x14ac:dyDescent="0.2">
      <c r="A4" s="316"/>
      <c r="B4" s="317"/>
      <c r="C4" s="322"/>
      <c r="D4" s="323"/>
      <c r="E4" s="323"/>
      <c r="F4" s="323"/>
      <c r="G4" s="323"/>
      <c r="H4" s="323"/>
      <c r="I4" s="326" t="s">
        <v>244</v>
      </c>
      <c r="J4" s="326"/>
      <c r="K4" s="88"/>
    </row>
    <row r="5" spans="1:24" s="4" customFormat="1" ht="15.75" customHeight="1" x14ac:dyDescent="0.2">
      <c r="A5" s="316"/>
      <c r="B5" s="317"/>
      <c r="C5" s="324"/>
      <c r="D5" s="325"/>
      <c r="E5" s="325"/>
      <c r="F5" s="325"/>
      <c r="G5" s="325"/>
      <c r="H5" s="325"/>
      <c r="I5" s="326" t="s">
        <v>245</v>
      </c>
      <c r="J5" s="326"/>
      <c r="K5" s="88"/>
    </row>
    <row r="6" spans="1:24" s="4" customFormat="1" ht="12.75" x14ac:dyDescent="0.2">
      <c r="A6" s="316"/>
      <c r="B6" s="317"/>
      <c r="C6" s="327" t="s">
        <v>246</v>
      </c>
      <c r="D6" s="328"/>
      <c r="E6" s="328"/>
      <c r="F6" s="333" t="s">
        <v>247</v>
      </c>
      <c r="G6" s="334"/>
      <c r="H6" s="334"/>
      <c r="I6" s="335" t="s">
        <v>248</v>
      </c>
      <c r="J6" s="336"/>
      <c r="K6" s="88"/>
    </row>
    <row r="7" spans="1:24" s="13" customFormat="1" ht="19.5" customHeight="1" x14ac:dyDescent="0.25">
      <c r="A7" s="316"/>
      <c r="B7" s="317"/>
      <c r="C7" s="329"/>
      <c r="D7" s="330"/>
      <c r="E7" s="330"/>
      <c r="F7" s="334"/>
      <c r="G7" s="334"/>
      <c r="H7" s="334"/>
      <c r="I7" s="336"/>
      <c r="J7" s="336"/>
      <c r="K7" s="89"/>
    </row>
    <row r="8" spans="1:24" s="4" customFormat="1" ht="15" customHeight="1" x14ac:dyDescent="0.2">
      <c r="A8" s="318"/>
      <c r="B8" s="319"/>
      <c r="C8" s="331"/>
      <c r="D8" s="332"/>
      <c r="E8" s="332"/>
      <c r="F8" s="334"/>
      <c r="G8" s="334"/>
      <c r="H8" s="334"/>
      <c r="I8" s="336"/>
      <c r="J8" s="336"/>
      <c r="K8" s="90"/>
    </row>
    <row r="9" spans="1:24" ht="13.5" x14ac:dyDescent="0.25">
      <c r="A9" s="384"/>
      <c r="B9" s="384"/>
      <c r="C9" s="384"/>
      <c r="D9" s="384"/>
      <c r="E9" s="384"/>
      <c r="F9" s="384"/>
      <c r="G9" s="384"/>
      <c r="H9" s="384"/>
      <c r="I9" s="384"/>
      <c r="J9" s="384"/>
      <c r="K9" s="384"/>
      <c r="L9" s="384"/>
      <c r="M9" s="384"/>
      <c r="N9" s="384"/>
      <c r="O9" s="384"/>
      <c r="P9" s="125"/>
    </row>
    <row r="10" spans="1:24" ht="12.75" customHeight="1" thickBot="1" x14ac:dyDescent="0.3">
      <c r="A10" s="383" t="s">
        <v>120</v>
      </c>
      <c r="B10" s="383"/>
      <c r="C10" s="383"/>
      <c r="D10" s="383"/>
      <c r="E10" s="383"/>
      <c r="F10" s="383"/>
      <c r="G10" s="383"/>
      <c r="H10" s="383"/>
      <c r="I10" s="383"/>
      <c r="J10" s="383"/>
      <c r="K10" s="383"/>
      <c r="L10" s="383"/>
      <c r="M10" s="383"/>
      <c r="N10" s="383"/>
      <c r="O10" s="383"/>
      <c r="P10" s="126"/>
      <c r="Q10" s="45"/>
      <c r="R10" s="45"/>
      <c r="S10" s="45"/>
      <c r="T10" s="45"/>
      <c r="U10" s="45"/>
      <c r="V10" s="45"/>
      <c r="W10" s="45"/>
      <c r="X10" s="45"/>
    </row>
    <row r="11" spans="1:24" ht="3" hidden="1" customHeight="1" thickBot="1" x14ac:dyDescent="0.3">
      <c r="A11" s="127"/>
      <c r="B11" s="128"/>
      <c r="C11" s="129"/>
      <c r="D11" s="129"/>
      <c r="E11" s="129"/>
      <c r="F11" s="129"/>
      <c r="G11" s="129"/>
      <c r="H11" s="129"/>
      <c r="I11" s="129"/>
      <c r="J11" s="129"/>
      <c r="K11" s="129"/>
      <c r="L11" s="129"/>
      <c r="M11" s="129"/>
      <c r="N11" s="129"/>
      <c r="O11" s="129"/>
      <c r="P11" s="130"/>
      <c r="Q11" s="41"/>
      <c r="R11" s="45"/>
      <c r="S11" s="39"/>
      <c r="T11" s="45"/>
      <c r="U11" s="45"/>
      <c r="V11" s="41"/>
      <c r="W11" s="45"/>
      <c r="X11" s="39"/>
    </row>
    <row r="12" spans="1:24" ht="13.5" thickBot="1" x14ac:dyDescent="0.3">
      <c r="A12" s="385"/>
      <c r="B12" s="387" t="s">
        <v>28</v>
      </c>
      <c r="C12" s="389" t="s">
        <v>137</v>
      </c>
      <c r="D12" s="391" t="s">
        <v>53</v>
      </c>
      <c r="E12" s="392"/>
      <c r="F12" s="392"/>
      <c r="G12" s="392"/>
      <c r="H12" s="392"/>
      <c r="I12" s="392"/>
      <c r="J12" s="392"/>
      <c r="K12" s="392"/>
      <c r="L12" s="392"/>
      <c r="M12" s="392"/>
      <c r="N12" s="392"/>
      <c r="O12" s="393"/>
      <c r="P12" s="381" t="s">
        <v>31</v>
      </c>
    </row>
    <row r="13" spans="1:24" ht="13.5" thickBot="1" x14ac:dyDescent="0.3">
      <c r="A13" s="386"/>
      <c r="B13" s="388"/>
      <c r="C13" s="390"/>
      <c r="D13" s="131" t="s">
        <v>55</v>
      </c>
      <c r="E13" s="132" t="s">
        <v>56</v>
      </c>
      <c r="F13" s="132" t="s">
        <v>57</v>
      </c>
      <c r="G13" s="132" t="s">
        <v>58</v>
      </c>
      <c r="H13" s="132" t="s">
        <v>59</v>
      </c>
      <c r="I13" s="132" t="s">
        <v>60</v>
      </c>
      <c r="J13" s="132" t="s">
        <v>61</v>
      </c>
      <c r="K13" s="132" t="s">
        <v>62</v>
      </c>
      <c r="L13" s="132" t="s">
        <v>63</v>
      </c>
      <c r="M13" s="132" t="s">
        <v>64</v>
      </c>
      <c r="N13" s="132" t="s">
        <v>65</v>
      </c>
      <c r="O13" s="133" t="s">
        <v>66</v>
      </c>
      <c r="P13" s="382"/>
      <c r="Q13" s="43"/>
      <c r="R13" s="43"/>
      <c r="S13" s="43"/>
      <c r="T13" s="42"/>
      <c r="U13" s="42"/>
      <c r="V13" s="44"/>
      <c r="W13" s="42"/>
      <c r="X13" s="42"/>
    </row>
    <row r="14" spans="1:24" ht="12.75" x14ac:dyDescent="0.25">
      <c r="A14" s="134">
        <v>1000</v>
      </c>
      <c r="B14" s="148" t="s">
        <v>67</v>
      </c>
      <c r="C14" s="135">
        <f>SUM(C15:C16)</f>
        <v>153338369.90000001</v>
      </c>
      <c r="D14" s="273">
        <f>+D15+D16</f>
        <v>8669510.291666666</v>
      </c>
      <c r="E14" s="273">
        <f>+E15+E16</f>
        <v>8669510.291666666</v>
      </c>
      <c r="F14" s="273">
        <f t="shared" ref="F14:O14" si="0">+F15+F16</f>
        <v>13599934.931666667</v>
      </c>
      <c r="G14" s="273">
        <f t="shared" si="0"/>
        <v>13599934.931666667</v>
      </c>
      <c r="H14" s="273">
        <f t="shared" si="0"/>
        <v>13599934.931666667</v>
      </c>
      <c r="I14" s="273">
        <f t="shared" si="0"/>
        <v>13599934.931666667</v>
      </c>
      <c r="J14" s="273">
        <f t="shared" si="0"/>
        <v>13599934.931666667</v>
      </c>
      <c r="K14" s="273">
        <f t="shared" si="0"/>
        <v>13599934.931666667</v>
      </c>
      <c r="L14" s="273">
        <f t="shared" si="0"/>
        <v>13599934.931666667</v>
      </c>
      <c r="M14" s="273">
        <f t="shared" si="0"/>
        <v>13599934.931666667</v>
      </c>
      <c r="N14" s="273">
        <f t="shared" si="0"/>
        <v>13599934.931666667</v>
      </c>
      <c r="O14" s="273">
        <f t="shared" si="0"/>
        <v>13599934.931666667</v>
      </c>
      <c r="P14" s="136">
        <f>SUM(D14:O14)</f>
        <v>153338369.90000004</v>
      </c>
    </row>
    <row r="15" spans="1:24" ht="12.75" x14ac:dyDescent="0.25">
      <c r="A15" s="137">
        <v>1001</v>
      </c>
      <c r="B15" s="149" t="s">
        <v>68</v>
      </c>
      <c r="C15" s="139">
        <f>'POA-02'!J27</f>
        <v>49304246.400000006</v>
      </c>
      <c r="D15" s="139"/>
      <c r="E15" s="139"/>
      <c r="F15" s="139">
        <f>+$C$15/10</f>
        <v>4930424.6400000006</v>
      </c>
      <c r="G15" s="139">
        <f t="shared" ref="G15:O15" si="1">+$C$15/10</f>
        <v>4930424.6400000006</v>
      </c>
      <c r="H15" s="139">
        <f t="shared" si="1"/>
        <v>4930424.6400000006</v>
      </c>
      <c r="I15" s="139">
        <f t="shared" si="1"/>
        <v>4930424.6400000006</v>
      </c>
      <c r="J15" s="139">
        <f t="shared" si="1"/>
        <v>4930424.6400000006</v>
      </c>
      <c r="K15" s="139">
        <f t="shared" si="1"/>
        <v>4930424.6400000006</v>
      </c>
      <c r="L15" s="139">
        <f t="shared" si="1"/>
        <v>4930424.6400000006</v>
      </c>
      <c r="M15" s="139">
        <f t="shared" si="1"/>
        <v>4930424.6400000006</v>
      </c>
      <c r="N15" s="139">
        <f t="shared" si="1"/>
        <v>4930424.6400000006</v>
      </c>
      <c r="O15" s="139">
        <f t="shared" si="1"/>
        <v>4930424.6400000006</v>
      </c>
      <c r="P15" s="136">
        <f>SUM(D15:O15)</f>
        <v>49304246.400000006</v>
      </c>
      <c r="Q15" s="43"/>
      <c r="R15" s="43"/>
      <c r="S15" s="43"/>
      <c r="T15" s="42"/>
      <c r="U15" s="42"/>
      <c r="V15" s="44"/>
      <c r="W15" s="42"/>
      <c r="X15" s="42"/>
    </row>
    <row r="16" spans="1:24" ht="12.75" x14ac:dyDescent="0.25">
      <c r="A16" s="137">
        <v>1002</v>
      </c>
      <c r="B16" s="149" t="s">
        <v>69</v>
      </c>
      <c r="C16" s="139">
        <f>'POA-02'!J34</f>
        <v>104034123.5</v>
      </c>
      <c r="D16" s="139">
        <f>+$C$16/12</f>
        <v>8669510.291666666</v>
      </c>
      <c r="E16" s="139">
        <f>+$C$16/12</f>
        <v>8669510.291666666</v>
      </c>
      <c r="F16" s="139">
        <f>+$C$16/12</f>
        <v>8669510.291666666</v>
      </c>
      <c r="G16" s="139">
        <f t="shared" ref="G16:O16" si="2">+$C$16/12</f>
        <v>8669510.291666666</v>
      </c>
      <c r="H16" s="139">
        <f t="shared" si="2"/>
        <v>8669510.291666666</v>
      </c>
      <c r="I16" s="139">
        <f t="shared" si="2"/>
        <v>8669510.291666666</v>
      </c>
      <c r="J16" s="139">
        <f t="shared" si="2"/>
        <v>8669510.291666666</v>
      </c>
      <c r="K16" s="139">
        <f t="shared" si="2"/>
        <v>8669510.291666666</v>
      </c>
      <c r="L16" s="139">
        <f t="shared" si="2"/>
        <v>8669510.291666666</v>
      </c>
      <c r="M16" s="139">
        <f t="shared" si="2"/>
        <v>8669510.291666666</v>
      </c>
      <c r="N16" s="139">
        <f t="shared" si="2"/>
        <v>8669510.291666666</v>
      </c>
      <c r="O16" s="139">
        <f t="shared" si="2"/>
        <v>8669510.291666666</v>
      </c>
      <c r="P16" s="136">
        <f>SUM(D16:O16)</f>
        <v>104034123.50000001</v>
      </c>
    </row>
    <row r="17" spans="1:24" ht="12.75" x14ac:dyDescent="0.25">
      <c r="A17" s="140">
        <v>2000</v>
      </c>
      <c r="B17" s="149" t="s">
        <v>70</v>
      </c>
      <c r="C17" s="135">
        <f>+C18+C19+C23+C24+C28+C31+C35+C36+C37+C38+C39+C40+C41+C42+C43+C46+C47</f>
        <v>50100000</v>
      </c>
      <c r="D17" s="136">
        <f t="shared" ref="D17:P17" si="3">+D18+D19+D23+D24+D28+D31+D35+D36+D37+D38+D39+D40+D41+D42+D43+D46+D47</f>
        <v>0</v>
      </c>
      <c r="E17" s="139">
        <f>+E18+E19+E23+E24+E28+E31+E35+E36+E37+E38+E39+E40+E41+E42+E43+E46+E47</f>
        <v>5010000</v>
      </c>
      <c r="F17" s="139">
        <f>+F18+F19+F23+F24+F28+F31+F35+F36+F37+F38+F39+F40+F41+F42+F43+F46+F47</f>
        <v>5010000</v>
      </c>
      <c r="G17" s="139">
        <f t="shared" si="3"/>
        <v>5010000</v>
      </c>
      <c r="H17" s="139">
        <f t="shared" si="3"/>
        <v>5010000</v>
      </c>
      <c r="I17" s="139">
        <f t="shared" si="3"/>
        <v>5010000</v>
      </c>
      <c r="J17" s="139">
        <f t="shared" si="3"/>
        <v>5010000</v>
      </c>
      <c r="K17" s="139">
        <f t="shared" si="3"/>
        <v>5010000</v>
      </c>
      <c r="L17" s="139">
        <f t="shared" si="3"/>
        <v>5010000</v>
      </c>
      <c r="M17" s="139">
        <f t="shared" si="3"/>
        <v>5010000</v>
      </c>
      <c r="N17" s="139">
        <f t="shared" si="3"/>
        <v>5010000</v>
      </c>
      <c r="O17" s="136">
        <f t="shared" si="3"/>
        <v>0</v>
      </c>
      <c r="P17" s="136">
        <f t="shared" si="3"/>
        <v>50100000</v>
      </c>
      <c r="Q17" s="43"/>
      <c r="R17" s="43"/>
      <c r="S17" s="43"/>
      <c r="T17" s="42"/>
      <c r="U17" s="42"/>
      <c r="V17" s="44"/>
      <c r="W17" s="42"/>
      <c r="X17" s="42"/>
    </row>
    <row r="18" spans="1:24" ht="12.75" x14ac:dyDescent="0.25">
      <c r="A18" s="137">
        <v>2001</v>
      </c>
      <c r="B18" s="149" t="s">
        <v>71</v>
      </c>
      <c r="C18" s="139"/>
      <c r="D18" s="139">
        <v>0</v>
      </c>
      <c r="E18" s="139"/>
      <c r="F18" s="139"/>
      <c r="G18" s="139">
        <f>+C18</f>
        <v>0</v>
      </c>
      <c r="H18" s="139">
        <v>0</v>
      </c>
      <c r="I18" s="139"/>
      <c r="J18" s="139">
        <v>0</v>
      </c>
      <c r="K18" s="139">
        <v>0</v>
      </c>
      <c r="L18" s="139">
        <v>0</v>
      </c>
      <c r="M18" s="139">
        <v>0</v>
      </c>
      <c r="N18" s="139">
        <v>0</v>
      </c>
      <c r="O18" s="139">
        <v>0</v>
      </c>
      <c r="P18" s="136">
        <f t="shared" ref="P18:P52" si="4">SUM(D18:O18)</f>
        <v>0</v>
      </c>
    </row>
    <row r="19" spans="1:24" ht="12.75" x14ac:dyDescent="0.25">
      <c r="A19" s="137">
        <v>2002</v>
      </c>
      <c r="B19" s="149" t="s">
        <v>142</v>
      </c>
      <c r="C19" s="139"/>
      <c r="D19" s="139"/>
      <c r="E19" s="139"/>
      <c r="F19" s="139"/>
      <c r="G19" s="139"/>
      <c r="H19" s="139"/>
      <c r="I19" s="139"/>
      <c r="J19" s="139"/>
      <c r="K19" s="139"/>
      <c r="L19" s="139"/>
      <c r="M19" s="139"/>
      <c r="N19" s="139"/>
      <c r="O19" s="139"/>
      <c r="P19" s="136">
        <f t="shared" si="4"/>
        <v>0</v>
      </c>
      <c r="Q19" s="46"/>
      <c r="R19" s="46"/>
      <c r="S19" s="46"/>
      <c r="T19" s="46"/>
      <c r="U19" s="46"/>
      <c r="V19" s="46"/>
      <c r="W19" s="46"/>
      <c r="X19" s="46"/>
    </row>
    <row r="20" spans="1:24" ht="12.75" x14ac:dyDescent="0.25">
      <c r="A20" s="137" t="s">
        <v>73</v>
      </c>
      <c r="B20" s="149" t="s">
        <v>74</v>
      </c>
      <c r="C20" s="139"/>
      <c r="D20" s="139"/>
      <c r="E20" s="139"/>
      <c r="F20" s="139"/>
      <c r="G20" s="139"/>
      <c r="H20" s="139"/>
      <c r="I20" s="139"/>
      <c r="J20" s="139"/>
      <c r="K20" s="139"/>
      <c r="L20" s="139"/>
      <c r="M20" s="139"/>
      <c r="N20" s="139"/>
      <c r="O20" s="139"/>
      <c r="P20" s="136">
        <f t="shared" si="4"/>
        <v>0</v>
      </c>
    </row>
    <row r="21" spans="1:24" ht="12.75" x14ac:dyDescent="0.25">
      <c r="A21" s="137" t="s">
        <v>75</v>
      </c>
      <c r="B21" s="149" t="s">
        <v>76</v>
      </c>
      <c r="C21" s="139"/>
      <c r="D21" s="139"/>
      <c r="E21" s="139"/>
      <c r="F21" s="139"/>
      <c r="G21" s="139"/>
      <c r="H21" s="139"/>
      <c r="I21" s="139"/>
      <c r="J21" s="139"/>
      <c r="K21" s="139"/>
      <c r="L21" s="139"/>
      <c r="M21" s="139"/>
      <c r="N21" s="139"/>
      <c r="O21" s="139"/>
      <c r="P21" s="136">
        <f t="shared" si="4"/>
        <v>0</v>
      </c>
      <c r="Q21" s="43"/>
      <c r="R21" s="43"/>
      <c r="S21" s="43"/>
      <c r="T21" s="42"/>
      <c r="U21" s="42"/>
      <c r="V21" s="44"/>
      <c r="W21" s="42"/>
      <c r="X21" s="42"/>
    </row>
    <row r="22" spans="1:24" ht="12.75" x14ac:dyDescent="0.25">
      <c r="A22" s="137" t="s">
        <v>77</v>
      </c>
      <c r="B22" s="149" t="s">
        <v>78</v>
      </c>
      <c r="C22" s="139"/>
      <c r="D22" s="139"/>
      <c r="E22" s="139"/>
      <c r="F22" s="139"/>
      <c r="G22" s="139"/>
      <c r="H22" s="139"/>
      <c r="I22" s="139"/>
      <c r="J22" s="139"/>
      <c r="K22" s="139"/>
      <c r="L22" s="139"/>
      <c r="M22" s="139"/>
      <c r="N22" s="139"/>
      <c r="O22" s="139"/>
      <c r="P22" s="136">
        <f t="shared" si="4"/>
        <v>0</v>
      </c>
    </row>
    <row r="23" spans="1:24" ht="18.75" customHeight="1" x14ac:dyDescent="0.25">
      <c r="A23" s="137">
        <v>2003</v>
      </c>
      <c r="B23" s="150" t="s">
        <v>79</v>
      </c>
      <c r="C23" s="138">
        <f>'POA-06'!D17</f>
        <v>4000000</v>
      </c>
      <c r="D23" s="139">
        <v>0</v>
      </c>
      <c r="E23" s="139">
        <f>+$C$23/10</f>
        <v>400000</v>
      </c>
      <c r="F23" s="139">
        <f t="shared" ref="F23:N23" si="5">+$C$23/10</f>
        <v>400000</v>
      </c>
      <c r="G23" s="139">
        <f t="shared" si="5"/>
        <v>400000</v>
      </c>
      <c r="H23" s="139">
        <f t="shared" si="5"/>
        <v>400000</v>
      </c>
      <c r="I23" s="139">
        <f t="shared" si="5"/>
        <v>400000</v>
      </c>
      <c r="J23" s="139">
        <f t="shared" si="5"/>
        <v>400000</v>
      </c>
      <c r="K23" s="139">
        <f t="shared" si="5"/>
        <v>400000</v>
      </c>
      <c r="L23" s="139">
        <f t="shared" si="5"/>
        <v>400000</v>
      </c>
      <c r="M23" s="139">
        <f t="shared" si="5"/>
        <v>400000</v>
      </c>
      <c r="N23" s="139">
        <f t="shared" si="5"/>
        <v>400000</v>
      </c>
      <c r="O23" s="139">
        <v>0</v>
      </c>
      <c r="P23" s="136">
        <f t="shared" si="4"/>
        <v>4000000</v>
      </c>
    </row>
    <row r="24" spans="1:24" ht="12.75" x14ac:dyDescent="0.25">
      <c r="A24" s="137">
        <v>2004</v>
      </c>
      <c r="B24" s="149" t="s">
        <v>80</v>
      </c>
      <c r="C24" s="138">
        <f>'POA-06'!D69</f>
        <v>0</v>
      </c>
      <c r="D24" s="139">
        <v>0</v>
      </c>
      <c r="E24" s="139">
        <v>0</v>
      </c>
      <c r="F24" s="139">
        <v>0</v>
      </c>
      <c r="G24" s="139">
        <v>0</v>
      </c>
      <c r="H24" s="139">
        <v>0</v>
      </c>
      <c r="I24" s="139">
        <v>0</v>
      </c>
      <c r="J24" s="139">
        <v>0</v>
      </c>
      <c r="K24" s="139">
        <v>0</v>
      </c>
      <c r="L24" s="139">
        <v>0</v>
      </c>
      <c r="M24" s="139">
        <v>0</v>
      </c>
      <c r="N24" s="139">
        <v>0</v>
      </c>
      <c r="O24" s="139">
        <v>0</v>
      </c>
      <c r="P24" s="136">
        <f t="shared" si="4"/>
        <v>0</v>
      </c>
      <c r="Q24" s="43"/>
      <c r="R24" s="43"/>
      <c r="S24" s="43"/>
      <c r="T24" s="42"/>
      <c r="U24" s="42"/>
      <c r="V24" s="44"/>
      <c r="W24" s="42"/>
      <c r="X24" s="42"/>
    </row>
    <row r="25" spans="1:24" ht="12.75" x14ac:dyDescent="0.25">
      <c r="A25" s="137" t="s">
        <v>81</v>
      </c>
      <c r="B25" s="149" t="s">
        <v>82</v>
      </c>
      <c r="C25" s="139"/>
      <c r="D25" s="139"/>
      <c r="E25" s="139"/>
      <c r="F25" s="139"/>
      <c r="G25" s="139"/>
      <c r="H25" s="139"/>
      <c r="I25" s="139"/>
      <c r="J25" s="139"/>
      <c r="K25" s="139"/>
      <c r="L25" s="139"/>
      <c r="M25" s="139"/>
      <c r="N25" s="139"/>
      <c r="O25" s="139"/>
      <c r="P25" s="136">
        <f t="shared" si="4"/>
        <v>0</v>
      </c>
    </row>
    <row r="26" spans="1:24" ht="12.75" x14ac:dyDescent="0.25">
      <c r="A26" s="137" t="s">
        <v>83</v>
      </c>
      <c r="B26" s="149" t="s">
        <v>84</v>
      </c>
      <c r="C26" s="139"/>
      <c r="D26" s="139"/>
      <c r="E26" s="139"/>
      <c r="F26" s="139"/>
      <c r="G26" s="139"/>
      <c r="H26" s="139"/>
      <c r="I26" s="139"/>
      <c r="J26" s="139"/>
      <c r="K26" s="139"/>
      <c r="L26" s="139"/>
      <c r="M26" s="139"/>
      <c r="N26" s="139"/>
      <c r="O26" s="139"/>
      <c r="P26" s="136">
        <f t="shared" si="4"/>
        <v>0</v>
      </c>
    </row>
    <row r="27" spans="1:24" ht="12.75" x14ac:dyDescent="0.25">
      <c r="A27" s="137" t="s">
        <v>85</v>
      </c>
      <c r="B27" s="149" t="s">
        <v>86</v>
      </c>
      <c r="C27" s="139"/>
      <c r="D27" s="139"/>
      <c r="E27" s="139"/>
      <c r="F27" s="139"/>
      <c r="G27" s="139"/>
      <c r="H27" s="139"/>
      <c r="I27" s="139"/>
      <c r="J27" s="139"/>
      <c r="K27" s="139"/>
      <c r="L27" s="139"/>
      <c r="M27" s="139"/>
      <c r="N27" s="139"/>
      <c r="O27" s="139"/>
      <c r="P27" s="136">
        <f t="shared" si="4"/>
        <v>0</v>
      </c>
    </row>
    <row r="28" spans="1:24" ht="12.75" x14ac:dyDescent="0.25">
      <c r="A28" s="137">
        <v>2005</v>
      </c>
      <c r="B28" s="149" t="s">
        <v>87</v>
      </c>
      <c r="C28" s="138">
        <f>'POA-06'!D70</f>
        <v>0</v>
      </c>
      <c r="D28" s="139">
        <v>0</v>
      </c>
      <c r="E28" s="139">
        <v>0</v>
      </c>
      <c r="F28" s="139">
        <v>0</v>
      </c>
      <c r="G28" s="139">
        <v>0</v>
      </c>
      <c r="H28" s="139">
        <v>0</v>
      </c>
      <c r="I28" s="139">
        <v>0</v>
      </c>
      <c r="J28" s="139">
        <v>0</v>
      </c>
      <c r="K28" s="139">
        <v>0</v>
      </c>
      <c r="L28" s="139">
        <v>0</v>
      </c>
      <c r="M28" s="139">
        <v>0</v>
      </c>
      <c r="N28" s="139">
        <v>0</v>
      </c>
      <c r="O28" s="139">
        <v>0</v>
      </c>
      <c r="P28" s="136">
        <f t="shared" si="4"/>
        <v>0</v>
      </c>
      <c r="Q28" s="43"/>
      <c r="R28" s="43"/>
      <c r="S28" s="43"/>
      <c r="T28" s="42"/>
      <c r="U28" s="42"/>
      <c r="V28" s="44"/>
      <c r="W28" s="42"/>
      <c r="X28" s="42"/>
    </row>
    <row r="29" spans="1:24" ht="12.75" x14ac:dyDescent="0.25">
      <c r="A29" s="137" t="s">
        <v>88</v>
      </c>
      <c r="B29" s="149" t="s">
        <v>89</v>
      </c>
      <c r="C29" s="139"/>
      <c r="D29" s="139"/>
      <c r="E29" s="139"/>
      <c r="F29" s="139"/>
      <c r="G29" s="139"/>
      <c r="H29" s="139"/>
      <c r="I29" s="139"/>
      <c r="J29" s="139"/>
      <c r="K29" s="139"/>
      <c r="L29" s="139"/>
      <c r="M29" s="139"/>
      <c r="N29" s="139"/>
      <c r="O29" s="139"/>
      <c r="P29" s="136">
        <f t="shared" si="4"/>
        <v>0</v>
      </c>
    </row>
    <row r="30" spans="1:24" ht="12.75" x14ac:dyDescent="0.25">
      <c r="A30" s="137" t="s">
        <v>90</v>
      </c>
      <c r="B30" s="149" t="s">
        <v>91</v>
      </c>
      <c r="C30" s="139"/>
      <c r="D30" s="139"/>
      <c r="E30" s="139"/>
      <c r="F30" s="139"/>
      <c r="G30" s="139"/>
      <c r="H30" s="139"/>
      <c r="I30" s="139"/>
      <c r="J30" s="139"/>
      <c r="K30" s="139"/>
      <c r="L30" s="139"/>
      <c r="M30" s="139"/>
      <c r="N30" s="139"/>
      <c r="O30" s="139"/>
      <c r="P30" s="136">
        <f t="shared" si="4"/>
        <v>0</v>
      </c>
    </row>
    <row r="31" spans="1:24" ht="12.75" x14ac:dyDescent="0.25">
      <c r="A31" s="137">
        <v>2006</v>
      </c>
      <c r="B31" s="149" t="s">
        <v>92</v>
      </c>
      <c r="C31" s="141">
        <f>+C32+C33</f>
        <v>0</v>
      </c>
      <c r="D31" s="139">
        <f>+D32+D33</f>
        <v>0</v>
      </c>
      <c r="E31" s="139">
        <f t="shared" ref="E31:O31" si="6">+E32+E33</f>
        <v>0</v>
      </c>
      <c r="F31" s="139">
        <f t="shared" si="6"/>
        <v>0</v>
      </c>
      <c r="G31" s="139">
        <f t="shared" si="6"/>
        <v>0</v>
      </c>
      <c r="H31" s="139">
        <f t="shared" si="6"/>
        <v>0</v>
      </c>
      <c r="I31" s="139">
        <f t="shared" si="6"/>
        <v>0</v>
      </c>
      <c r="J31" s="139">
        <f t="shared" si="6"/>
        <v>0</v>
      </c>
      <c r="K31" s="139">
        <f t="shared" si="6"/>
        <v>0</v>
      </c>
      <c r="L31" s="139">
        <f t="shared" si="6"/>
        <v>0</v>
      </c>
      <c r="M31" s="139">
        <f t="shared" si="6"/>
        <v>0</v>
      </c>
      <c r="N31" s="139">
        <f t="shared" si="6"/>
        <v>0</v>
      </c>
      <c r="O31" s="139">
        <f t="shared" si="6"/>
        <v>0</v>
      </c>
      <c r="P31" s="136">
        <f t="shared" si="4"/>
        <v>0</v>
      </c>
    </row>
    <row r="32" spans="1:24" ht="12.75" x14ac:dyDescent="0.25">
      <c r="A32" s="137" t="s">
        <v>93</v>
      </c>
      <c r="B32" s="149" t="s">
        <v>94</v>
      </c>
      <c r="C32" s="142"/>
      <c r="D32" s="139"/>
      <c r="E32" s="139"/>
      <c r="F32" s="139"/>
      <c r="G32" s="139"/>
      <c r="H32" s="139"/>
      <c r="I32" s="139"/>
      <c r="J32" s="139"/>
      <c r="K32" s="139"/>
      <c r="L32" s="139"/>
      <c r="M32" s="139"/>
      <c r="N32" s="139"/>
      <c r="O32" s="139"/>
      <c r="P32" s="136">
        <f t="shared" si="4"/>
        <v>0</v>
      </c>
    </row>
    <row r="33" spans="1:16" ht="12.75" x14ac:dyDescent="0.25">
      <c r="A33" s="137" t="s">
        <v>95</v>
      </c>
      <c r="B33" s="151" t="s">
        <v>158</v>
      </c>
      <c r="C33" s="142"/>
      <c r="D33" s="139"/>
      <c r="E33" s="139"/>
      <c r="F33" s="139"/>
      <c r="G33" s="139"/>
      <c r="H33" s="139"/>
      <c r="I33" s="139"/>
      <c r="J33" s="139"/>
      <c r="K33" s="139"/>
      <c r="L33" s="139"/>
      <c r="M33" s="139"/>
      <c r="N33" s="139"/>
      <c r="O33" s="139"/>
      <c r="P33" s="136">
        <f t="shared" si="4"/>
        <v>0</v>
      </c>
    </row>
    <row r="34" spans="1:16" ht="11.25" customHeight="1" x14ac:dyDescent="0.25">
      <c r="A34" s="137" t="s">
        <v>96</v>
      </c>
      <c r="B34" s="149" t="s">
        <v>97</v>
      </c>
      <c r="C34" s="139"/>
      <c r="D34" s="139"/>
      <c r="E34" s="139"/>
      <c r="F34" s="139"/>
      <c r="G34" s="139"/>
      <c r="H34" s="139"/>
      <c r="I34" s="139"/>
      <c r="J34" s="139"/>
      <c r="K34" s="139"/>
      <c r="L34" s="139"/>
      <c r="M34" s="139"/>
      <c r="N34" s="139"/>
      <c r="O34" s="139"/>
      <c r="P34" s="136">
        <f t="shared" si="4"/>
        <v>0</v>
      </c>
    </row>
    <row r="35" spans="1:16" ht="12.75" x14ac:dyDescent="0.25">
      <c r="A35" s="137">
        <v>2007</v>
      </c>
      <c r="B35" s="151" t="s">
        <v>141</v>
      </c>
      <c r="C35" s="138">
        <v>0</v>
      </c>
      <c r="D35" s="139">
        <v>0</v>
      </c>
      <c r="E35" s="139">
        <v>0</v>
      </c>
      <c r="F35" s="139">
        <v>0</v>
      </c>
      <c r="G35" s="139"/>
      <c r="H35" s="139"/>
      <c r="I35" s="139">
        <v>0</v>
      </c>
      <c r="J35" s="139"/>
      <c r="K35" s="139">
        <v>0</v>
      </c>
      <c r="L35" s="139">
        <v>0</v>
      </c>
      <c r="M35" s="139">
        <v>0</v>
      </c>
      <c r="N35" s="139"/>
      <c r="O35" s="139"/>
      <c r="P35" s="136">
        <f t="shared" si="4"/>
        <v>0</v>
      </c>
    </row>
    <row r="36" spans="1:16" ht="12.75" customHeight="1" x14ac:dyDescent="0.25">
      <c r="A36" s="137">
        <v>2008</v>
      </c>
      <c r="B36" s="151" t="s">
        <v>157</v>
      </c>
      <c r="C36" s="138"/>
      <c r="D36" s="139">
        <v>0</v>
      </c>
      <c r="E36" s="139"/>
      <c r="F36" s="139"/>
      <c r="G36" s="139"/>
      <c r="H36" s="139"/>
      <c r="I36" s="139"/>
      <c r="J36" s="139"/>
      <c r="K36" s="139"/>
      <c r="L36" s="139"/>
      <c r="M36" s="139"/>
      <c r="N36" s="139"/>
      <c r="O36" s="139"/>
      <c r="P36" s="136">
        <f t="shared" si="4"/>
        <v>0</v>
      </c>
    </row>
    <row r="37" spans="1:16" ht="12.75" x14ac:dyDescent="0.25">
      <c r="A37" s="137">
        <v>2009</v>
      </c>
      <c r="B37" s="149" t="s">
        <v>100</v>
      </c>
      <c r="C37" s="138">
        <f>'POA-06'!D74</f>
        <v>0</v>
      </c>
      <c r="D37" s="139">
        <v>0</v>
      </c>
      <c r="E37" s="139">
        <v>0</v>
      </c>
      <c r="F37" s="139"/>
      <c r="G37" s="139">
        <v>0</v>
      </c>
      <c r="H37" s="139">
        <v>0</v>
      </c>
      <c r="I37" s="139">
        <v>0</v>
      </c>
      <c r="J37" s="139">
        <v>0</v>
      </c>
      <c r="K37" s="139">
        <v>0</v>
      </c>
      <c r="L37" s="139">
        <v>0</v>
      </c>
      <c r="M37" s="139">
        <v>0</v>
      </c>
      <c r="N37" s="139">
        <v>0</v>
      </c>
      <c r="O37" s="139">
        <v>0</v>
      </c>
      <c r="P37" s="136">
        <f t="shared" si="4"/>
        <v>0</v>
      </c>
    </row>
    <row r="38" spans="1:16" ht="12.75" x14ac:dyDescent="0.25">
      <c r="A38" s="137">
        <v>2010</v>
      </c>
      <c r="B38" s="151" t="s">
        <v>156</v>
      </c>
      <c r="C38" s="138">
        <f>'POA-06'!D75</f>
        <v>0</v>
      </c>
      <c r="D38" s="139">
        <v>0</v>
      </c>
      <c r="E38" s="139">
        <v>0</v>
      </c>
      <c r="F38" s="139">
        <v>0</v>
      </c>
      <c r="G38" s="139">
        <v>0</v>
      </c>
      <c r="H38" s="139">
        <v>0</v>
      </c>
      <c r="I38" s="139">
        <v>0</v>
      </c>
      <c r="J38" s="139">
        <v>0</v>
      </c>
      <c r="K38" s="139">
        <v>0</v>
      </c>
      <c r="L38" s="139">
        <v>0</v>
      </c>
      <c r="M38" s="139">
        <v>0</v>
      </c>
      <c r="N38" s="139">
        <v>0</v>
      </c>
      <c r="O38" s="139">
        <v>0</v>
      </c>
      <c r="P38" s="136">
        <f t="shared" si="4"/>
        <v>0</v>
      </c>
    </row>
    <row r="39" spans="1:16" ht="12.75" x14ac:dyDescent="0.25">
      <c r="A39" s="137">
        <v>2011</v>
      </c>
      <c r="B39" s="149" t="s">
        <v>102</v>
      </c>
      <c r="C39" s="138"/>
      <c r="D39" s="139"/>
      <c r="E39" s="139"/>
      <c r="F39" s="139"/>
      <c r="G39" s="139"/>
      <c r="H39" s="139"/>
      <c r="I39" s="143"/>
      <c r="J39" s="139"/>
      <c r="K39" s="139"/>
      <c r="L39" s="139"/>
      <c r="M39" s="139"/>
      <c r="N39" s="139"/>
      <c r="O39" s="139"/>
      <c r="P39" s="136">
        <f t="shared" si="4"/>
        <v>0</v>
      </c>
    </row>
    <row r="40" spans="1:16" ht="12.75" customHeight="1" x14ac:dyDescent="0.25">
      <c r="A40" s="137">
        <v>2012</v>
      </c>
      <c r="B40" s="150" t="s">
        <v>103</v>
      </c>
      <c r="C40" s="138">
        <f>'POA-06'!D77</f>
        <v>0</v>
      </c>
      <c r="D40" s="139">
        <v>0</v>
      </c>
      <c r="E40" s="139"/>
      <c r="F40" s="139">
        <v>0</v>
      </c>
      <c r="G40" s="139">
        <v>0</v>
      </c>
      <c r="H40" s="139"/>
      <c r="I40" s="139">
        <v>0</v>
      </c>
      <c r="J40" s="139">
        <v>0</v>
      </c>
      <c r="K40" s="139"/>
      <c r="L40" s="139">
        <v>0</v>
      </c>
      <c r="M40" s="139">
        <v>0</v>
      </c>
      <c r="N40" s="139"/>
      <c r="O40" s="139">
        <v>0</v>
      </c>
      <c r="P40" s="136">
        <f t="shared" si="4"/>
        <v>0</v>
      </c>
    </row>
    <row r="41" spans="1:16" ht="12.75" x14ac:dyDescent="0.25">
      <c r="A41" s="137">
        <v>2013</v>
      </c>
      <c r="B41" s="149" t="s">
        <v>104</v>
      </c>
      <c r="C41" s="138"/>
      <c r="D41" s="139">
        <v>0</v>
      </c>
      <c r="E41" s="139"/>
      <c r="F41" s="139">
        <v>0</v>
      </c>
      <c r="G41" s="139">
        <v>0</v>
      </c>
      <c r="H41" s="139">
        <v>0</v>
      </c>
      <c r="I41" s="139">
        <v>0</v>
      </c>
      <c r="J41" s="139">
        <v>0</v>
      </c>
      <c r="K41" s="139">
        <v>0</v>
      </c>
      <c r="L41" s="139">
        <v>0</v>
      </c>
      <c r="M41" s="139">
        <v>0</v>
      </c>
      <c r="N41" s="139">
        <v>0</v>
      </c>
      <c r="O41" s="139">
        <v>0</v>
      </c>
      <c r="P41" s="136">
        <f t="shared" si="4"/>
        <v>0</v>
      </c>
    </row>
    <row r="42" spans="1:16" ht="12.75" x14ac:dyDescent="0.25">
      <c r="A42" s="137">
        <v>2014</v>
      </c>
      <c r="B42" s="149" t="s">
        <v>105</v>
      </c>
      <c r="C42" s="138">
        <f>'POA-06'!D79</f>
        <v>0</v>
      </c>
      <c r="D42" s="139"/>
      <c r="E42" s="139"/>
      <c r="F42" s="139"/>
      <c r="G42" s="139"/>
      <c r="H42" s="139"/>
      <c r="I42" s="139"/>
      <c r="J42" s="139"/>
      <c r="K42" s="139"/>
      <c r="L42" s="139"/>
      <c r="M42" s="139"/>
      <c r="N42" s="139"/>
      <c r="O42" s="139"/>
      <c r="P42" s="136">
        <f t="shared" si="4"/>
        <v>0</v>
      </c>
    </row>
    <row r="43" spans="1:16" ht="12.75" x14ac:dyDescent="0.25">
      <c r="A43" s="137">
        <v>2015</v>
      </c>
      <c r="B43" s="149" t="s">
        <v>106</v>
      </c>
      <c r="C43" s="138"/>
      <c r="D43" s="139"/>
      <c r="E43" s="139"/>
      <c r="F43" s="139"/>
      <c r="G43" s="139"/>
      <c r="H43" s="139"/>
      <c r="I43" s="139"/>
      <c r="J43" s="139"/>
      <c r="K43" s="139"/>
      <c r="L43" s="139"/>
      <c r="M43" s="139"/>
      <c r="N43" s="139">
        <v>0</v>
      </c>
      <c r="O43" s="139"/>
      <c r="P43" s="136">
        <f t="shared" si="4"/>
        <v>0</v>
      </c>
    </row>
    <row r="44" spans="1:16" ht="12.75" x14ac:dyDescent="0.25">
      <c r="A44" s="137" t="s">
        <v>107</v>
      </c>
      <c r="B44" s="149" t="s">
        <v>108</v>
      </c>
      <c r="C44" s="139"/>
      <c r="D44" s="139"/>
      <c r="E44" s="139"/>
      <c r="F44" s="139"/>
      <c r="G44" s="139"/>
      <c r="H44" s="139"/>
      <c r="I44" s="139"/>
      <c r="J44" s="139"/>
      <c r="K44" s="139"/>
      <c r="L44" s="139"/>
      <c r="M44" s="139"/>
      <c r="N44" s="139"/>
      <c r="O44" s="139"/>
      <c r="P44" s="136">
        <f t="shared" si="4"/>
        <v>0</v>
      </c>
    </row>
    <row r="45" spans="1:16" ht="12.75" x14ac:dyDescent="0.25">
      <c r="A45" s="137" t="s">
        <v>109</v>
      </c>
      <c r="B45" s="149" t="s">
        <v>110</v>
      </c>
      <c r="C45" s="139"/>
      <c r="D45" s="139"/>
      <c r="E45" s="139"/>
      <c r="F45" s="139"/>
      <c r="G45" s="139"/>
      <c r="H45" s="139"/>
      <c r="I45" s="139"/>
      <c r="J45" s="139"/>
      <c r="K45" s="139"/>
      <c r="L45" s="139"/>
      <c r="M45" s="139"/>
      <c r="N45" s="139"/>
      <c r="O45" s="139"/>
      <c r="P45" s="136">
        <f t="shared" si="4"/>
        <v>0</v>
      </c>
    </row>
    <row r="46" spans="1:16" ht="12.75" x14ac:dyDescent="0.25">
      <c r="A46" s="137">
        <v>2016</v>
      </c>
      <c r="B46" s="149" t="s">
        <v>111</v>
      </c>
      <c r="C46" s="139">
        <f>'POA-06'!D81</f>
        <v>0</v>
      </c>
      <c r="D46" s="139">
        <v>0</v>
      </c>
      <c r="E46" s="139">
        <v>0</v>
      </c>
      <c r="F46" s="139">
        <v>0</v>
      </c>
      <c r="G46" s="139">
        <v>0</v>
      </c>
      <c r="H46" s="139"/>
      <c r="I46" s="139">
        <v>0</v>
      </c>
      <c r="J46" s="139"/>
      <c r="K46" s="139">
        <v>0</v>
      </c>
      <c r="L46" s="139">
        <v>0</v>
      </c>
      <c r="M46" s="139">
        <v>0</v>
      </c>
      <c r="N46" s="139">
        <v>0</v>
      </c>
      <c r="O46" s="139"/>
      <c r="P46" s="136">
        <f t="shared" si="4"/>
        <v>0</v>
      </c>
    </row>
    <row r="47" spans="1:16" ht="12.75" x14ac:dyDescent="0.25">
      <c r="A47" s="137">
        <v>2017</v>
      </c>
      <c r="B47" s="149" t="s">
        <v>112</v>
      </c>
      <c r="C47" s="139">
        <f>+'POA-06'!D16</f>
        <v>46100000</v>
      </c>
      <c r="D47" s="139">
        <v>0</v>
      </c>
      <c r="E47" s="139">
        <f>+'POA-06'!$D$16/10</f>
        <v>4610000</v>
      </c>
      <c r="F47" s="139">
        <f>+'POA-06'!$D$16/10</f>
        <v>4610000</v>
      </c>
      <c r="G47" s="139">
        <f>+'POA-06'!$D$16/10</f>
        <v>4610000</v>
      </c>
      <c r="H47" s="139">
        <f>+'POA-06'!$D$16/10</f>
        <v>4610000</v>
      </c>
      <c r="I47" s="139">
        <f>+'POA-06'!$D$16/10</f>
        <v>4610000</v>
      </c>
      <c r="J47" s="139">
        <f>+'POA-06'!$D$16/10</f>
        <v>4610000</v>
      </c>
      <c r="K47" s="139">
        <f>+'POA-06'!$D$16/10</f>
        <v>4610000</v>
      </c>
      <c r="L47" s="139">
        <f>+'POA-06'!$D$16/10</f>
        <v>4610000</v>
      </c>
      <c r="M47" s="139">
        <f>+'POA-06'!$D$16/10</f>
        <v>4610000</v>
      </c>
      <c r="N47" s="139">
        <f>+'POA-06'!$D$16/10</f>
        <v>4610000</v>
      </c>
      <c r="O47" s="139">
        <v>0</v>
      </c>
      <c r="P47" s="136">
        <f t="shared" si="4"/>
        <v>46100000</v>
      </c>
    </row>
    <row r="48" spans="1:16" ht="12.75" x14ac:dyDescent="0.25">
      <c r="A48" s="140">
        <v>3000</v>
      </c>
      <c r="B48" s="149" t="s">
        <v>113</v>
      </c>
      <c r="C48" s="136">
        <v>0</v>
      </c>
      <c r="D48" s="136"/>
      <c r="E48" s="136"/>
      <c r="F48" s="136"/>
      <c r="G48" s="136"/>
      <c r="H48" s="136"/>
      <c r="I48" s="136"/>
      <c r="J48" s="136"/>
      <c r="K48" s="136"/>
      <c r="L48" s="136"/>
      <c r="M48" s="136"/>
      <c r="N48" s="136"/>
      <c r="O48" s="136"/>
      <c r="P48" s="136">
        <f t="shared" si="4"/>
        <v>0</v>
      </c>
    </row>
    <row r="49" spans="1:17" ht="12.75" x14ac:dyDescent="0.25">
      <c r="A49" s="140">
        <v>4000</v>
      </c>
      <c r="B49" s="149" t="s">
        <v>114</v>
      </c>
      <c r="C49" s="135">
        <f>'POA-05'!C25</f>
        <v>170240545.79657492</v>
      </c>
      <c r="D49" s="136">
        <v>0</v>
      </c>
      <c r="E49" s="139"/>
      <c r="F49" s="139"/>
      <c r="G49" s="139"/>
      <c r="H49" s="139"/>
      <c r="I49" s="139">
        <f>'POA-05'!C21+'POA-05'!C22+'POA-05'!C24/6</f>
        <v>39617841.799429148</v>
      </c>
      <c r="J49" s="139">
        <f>'POA-05'!C24/6</f>
        <v>22904540.799429152</v>
      </c>
      <c r="K49" s="139">
        <f>'POA-05'!C24/6</f>
        <v>22904540.799429152</v>
      </c>
      <c r="L49" s="139">
        <f>'POA-05'!C24/6</f>
        <v>22904540.799429152</v>
      </c>
      <c r="M49" s="139">
        <f>'POA-05'!C24/6</f>
        <v>22904540.799429152</v>
      </c>
      <c r="N49" s="139">
        <f>'POA-05'!C23/2+'POA-05'!C24/6</f>
        <v>30954540.799429152</v>
      </c>
      <c r="O49" s="139">
        <f>'POA-05'!C23/2</f>
        <v>8050000</v>
      </c>
      <c r="P49" s="136">
        <f t="shared" si="4"/>
        <v>170240545.79657489</v>
      </c>
    </row>
    <row r="50" spans="1:17" ht="12.75" x14ac:dyDescent="0.25">
      <c r="A50" s="140">
        <v>5000</v>
      </c>
      <c r="B50" s="149" t="s">
        <v>115</v>
      </c>
      <c r="C50" s="135">
        <f>+'POA-05'!C19</f>
        <v>37855850</v>
      </c>
      <c r="D50" s="136">
        <v>0</v>
      </c>
      <c r="E50" s="136">
        <v>0</v>
      </c>
      <c r="F50" s="139">
        <f>+$C$50/10</f>
        <v>3785585</v>
      </c>
      <c r="G50" s="139">
        <f t="shared" ref="G50:O50" si="7">+$C$50/10</f>
        <v>3785585</v>
      </c>
      <c r="H50" s="139">
        <f t="shared" si="7"/>
        <v>3785585</v>
      </c>
      <c r="I50" s="139">
        <f t="shared" si="7"/>
        <v>3785585</v>
      </c>
      <c r="J50" s="139">
        <f t="shared" si="7"/>
        <v>3785585</v>
      </c>
      <c r="K50" s="139">
        <f t="shared" si="7"/>
        <v>3785585</v>
      </c>
      <c r="L50" s="139">
        <f t="shared" si="7"/>
        <v>3785585</v>
      </c>
      <c r="M50" s="139">
        <f t="shared" si="7"/>
        <v>3785585</v>
      </c>
      <c r="N50" s="139">
        <f t="shared" si="7"/>
        <v>3785585</v>
      </c>
      <c r="O50" s="139">
        <f t="shared" si="7"/>
        <v>3785585</v>
      </c>
      <c r="P50" s="136">
        <f t="shared" si="4"/>
        <v>37855850</v>
      </c>
    </row>
    <row r="51" spans="1:17" ht="12.75" x14ac:dyDescent="0.25">
      <c r="A51" s="140">
        <v>6000</v>
      </c>
      <c r="B51" s="149" t="s">
        <v>116</v>
      </c>
      <c r="C51" s="141">
        <v>0</v>
      </c>
      <c r="D51" s="136"/>
      <c r="E51" s="136">
        <v>0</v>
      </c>
      <c r="F51" s="136">
        <v>0</v>
      </c>
      <c r="G51" s="136">
        <v>0</v>
      </c>
      <c r="H51" s="136">
        <v>0</v>
      </c>
      <c r="I51" s="136">
        <v>0</v>
      </c>
      <c r="J51" s="136">
        <v>0</v>
      </c>
      <c r="K51" s="136">
        <v>0</v>
      </c>
      <c r="L51" s="136">
        <v>0</v>
      </c>
      <c r="M51" s="136">
        <v>0</v>
      </c>
      <c r="N51" s="136">
        <v>0</v>
      </c>
      <c r="O51" s="136"/>
      <c r="P51" s="136">
        <f t="shared" si="4"/>
        <v>0</v>
      </c>
    </row>
    <row r="52" spans="1:17" ht="12.75" x14ac:dyDescent="0.25">
      <c r="A52" s="140">
        <v>7000</v>
      </c>
      <c r="B52" s="149" t="s">
        <v>117</v>
      </c>
      <c r="C52" s="141"/>
      <c r="D52" s="136">
        <v>0</v>
      </c>
      <c r="E52" s="136"/>
      <c r="F52" s="136"/>
      <c r="G52" s="136"/>
      <c r="H52" s="136">
        <v>0</v>
      </c>
      <c r="I52" s="136"/>
      <c r="J52" s="136">
        <v>0</v>
      </c>
      <c r="K52" s="136"/>
      <c r="L52" s="136">
        <v>0</v>
      </c>
      <c r="M52" s="136"/>
      <c r="N52" s="136"/>
      <c r="O52" s="136"/>
      <c r="P52" s="136">
        <f t="shared" si="4"/>
        <v>0</v>
      </c>
    </row>
    <row r="53" spans="1:17" ht="12.75" x14ac:dyDescent="0.25">
      <c r="A53" s="144"/>
      <c r="B53" s="144" t="s">
        <v>31</v>
      </c>
      <c r="C53" s="141">
        <f>+C14+C17+C48+C49+C50+C51+C52</f>
        <v>411534765.69657493</v>
      </c>
      <c r="D53" s="141">
        <f t="shared" ref="D53:O53" si="8">+D14+D17+D48+D49+D50+D51+D52</f>
        <v>8669510.291666666</v>
      </c>
      <c r="E53" s="141">
        <f>+E14+E17+E48+E49+E50+E51+E52</f>
        <v>13679510.291666666</v>
      </c>
      <c r="F53" s="141">
        <f t="shared" si="8"/>
        <v>22395519.931666665</v>
      </c>
      <c r="G53" s="141">
        <f t="shared" si="8"/>
        <v>22395519.931666665</v>
      </c>
      <c r="H53" s="141">
        <f t="shared" si="8"/>
        <v>22395519.931666665</v>
      </c>
      <c r="I53" s="141">
        <f t="shared" si="8"/>
        <v>62013361.731095813</v>
      </c>
      <c r="J53" s="141">
        <f t="shared" si="8"/>
        <v>45300060.731095821</v>
      </c>
      <c r="K53" s="141">
        <f t="shared" si="8"/>
        <v>45300060.731095821</v>
      </c>
      <c r="L53" s="141">
        <f t="shared" si="8"/>
        <v>45300060.731095821</v>
      </c>
      <c r="M53" s="141">
        <f t="shared" si="8"/>
        <v>45300060.731095821</v>
      </c>
      <c r="N53" s="141">
        <f t="shared" si="8"/>
        <v>53350060.731095821</v>
      </c>
      <c r="O53" s="141">
        <f t="shared" si="8"/>
        <v>25435519.931666665</v>
      </c>
      <c r="P53" s="141">
        <f>+P15+P16+P17+P48+P49+P50+P51+P52</f>
        <v>411534765.69657493</v>
      </c>
      <c r="Q53" s="146">
        <f>+'POA-01'!C10-'POA-07'!P53</f>
        <v>0</v>
      </c>
    </row>
    <row r="55" spans="1:17" x14ac:dyDescent="0.15">
      <c r="C55" s="21"/>
      <c r="O55" s="146"/>
    </row>
    <row r="57" spans="1:17" x14ac:dyDescent="0.15">
      <c r="C57" s="21"/>
    </row>
    <row r="59" spans="1:17" x14ac:dyDescent="0.15">
      <c r="C59" s="21"/>
      <c r="E59" s="21"/>
    </row>
  </sheetData>
  <mergeCells count="17">
    <mergeCell ref="A1:B8"/>
    <mergeCell ref="C1:H5"/>
    <mergeCell ref="I1:J1"/>
    <mergeCell ref="I2:J2"/>
    <mergeCell ref="I3:J3"/>
    <mergeCell ref="I4:J4"/>
    <mergeCell ref="I5:J5"/>
    <mergeCell ref="C6:E8"/>
    <mergeCell ref="F6:H8"/>
    <mergeCell ref="I6:J8"/>
    <mergeCell ref="P12:P13"/>
    <mergeCell ref="A10:O10"/>
    <mergeCell ref="A9:O9"/>
    <mergeCell ref="A12:A13"/>
    <mergeCell ref="B12:B13"/>
    <mergeCell ref="C12:C13"/>
    <mergeCell ref="D12:O12"/>
  </mergeCells>
  <phoneticPr fontId="0" type="noConversion"/>
  <printOptions horizontalCentered="1" verticalCentered="1"/>
  <pageMargins left="0.98425196850393704" right="0.98425196850393704" top="0.98425196850393704" bottom="0.98425196850393704" header="0" footer="0"/>
  <pageSetup paperSize="5"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75" workbookViewId="0">
      <selection activeCell="E19" sqref="E19"/>
    </sheetView>
  </sheetViews>
  <sheetFormatPr baseColWidth="10" defaultRowHeight="12.75" x14ac:dyDescent="0.2"/>
  <cols>
    <col min="2" max="2" width="23.28515625" customWidth="1"/>
    <col min="3" max="3" width="13.5703125" customWidth="1"/>
    <col min="4" max="4" width="15" customWidth="1"/>
    <col min="5" max="5" width="13.5703125" customWidth="1"/>
    <col min="6" max="6" width="12.5703125" customWidth="1"/>
    <col min="7" max="7" width="12.28515625" customWidth="1"/>
    <col min="8" max="8" width="14" customWidth="1"/>
    <col min="9" max="9" width="12.7109375" customWidth="1"/>
  </cols>
  <sheetData>
    <row r="1" spans="1:11" s="4" customFormat="1" ht="12.75" customHeight="1" x14ac:dyDescent="0.2">
      <c r="A1" s="314"/>
      <c r="B1" s="315"/>
      <c r="C1" s="320" t="str">
        <f>+'POA-01'!C1:H5</f>
        <v>PLAN OPERATIVO ANUAL DE INVERSIONES - POAI - 2013</v>
      </c>
      <c r="D1" s="321"/>
      <c r="E1" s="321"/>
      <c r="F1" s="321"/>
      <c r="G1" s="321"/>
      <c r="H1" s="321"/>
      <c r="I1" s="326" t="s">
        <v>241</v>
      </c>
      <c r="J1" s="326"/>
      <c r="K1" s="88"/>
    </row>
    <row r="2" spans="1:11" s="4" customFormat="1" ht="16.5" customHeight="1" x14ac:dyDescent="0.2">
      <c r="A2" s="316"/>
      <c r="B2" s="317"/>
      <c r="C2" s="322"/>
      <c r="D2" s="323"/>
      <c r="E2" s="323"/>
      <c r="F2" s="323"/>
      <c r="G2" s="323"/>
      <c r="H2" s="323"/>
      <c r="I2" s="326" t="s">
        <v>242</v>
      </c>
      <c r="J2" s="326"/>
      <c r="K2" s="88"/>
    </row>
    <row r="3" spans="1:11" s="4" customFormat="1" ht="15.75" customHeight="1" x14ac:dyDescent="0.2">
      <c r="A3" s="316"/>
      <c r="B3" s="317"/>
      <c r="C3" s="322"/>
      <c r="D3" s="323"/>
      <c r="E3" s="323"/>
      <c r="F3" s="323"/>
      <c r="G3" s="323"/>
      <c r="H3" s="323"/>
      <c r="I3" s="326" t="s">
        <v>243</v>
      </c>
      <c r="J3" s="326"/>
      <c r="K3" s="88"/>
    </row>
    <row r="4" spans="1:11" s="4" customFormat="1" ht="15.75" customHeight="1" x14ac:dyDescent="0.2">
      <c r="A4" s="316"/>
      <c r="B4" s="317"/>
      <c r="C4" s="322"/>
      <c r="D4" s="323"/>
      <c r="E4" s="323"/>
      <c r="F4" s="323"/>
      <c r="G4" s="323"/>
      <c r="H4" s="323"/>
      <c r="I4" s="326" t="s">
        <v>244</v>
      </c>
      <c r="J4" s="326"/>
      <c r="K4" s="88"/>
    </row>
    <row r="5" spans="1:11" s="4" customFormat="1" ht="15.75" customHeight="1" x14ac:dyDescent="0.2">
      <c r="A5" s="316"/>
      <c r="B5" s="317"/>
      <c r="C5" s="324"/>
      <c r="D5" s="325"/>
      <c r="E5" s="325"/>
      <c r="F5" s="325"/>
      <c r="G5" s="325"/>
      <c r="H5" s="325"/>
      <c r="I5" s="326" t="s">
        <v>245</v>
      </c>
      <c r="J5" s="326"/>
      <c r="K5" s="88"/>
    </row>
    <row r="6" spans="1:11" s="4" customFormat="1" x14ac:dyDescent="0.2">
      <c r="A6" s="316"/>
      <c r="B6" s="317"/>
      <c r="C6" s="327" t="s">
        <v>246</v>
      </c>
      <c r="D6" s="328"/>
      <c r="E6" s="328"/>
      <c r="F6" s="333" t="s">
        <v>247</v>
      </c>
      <c r="G6" s="334"/>
      <c r="H6" s="334"/>
      <c r="I6" s="335" t="s">
        <v>248</v>
      </c>
      <c r="J6" s="336"/>
      <c r="K6" s="88"/>
    </row>
    <row r="7" spans="1:11" s="13" customFormat="1" ht="19.5" customHeight="1" x14ac:dyDescent="0.25">
      <c r="A7" s="316"/>
      <c r="B7" s="317"/>
      <c r="C7" s="329"/>
      <c r="D7" s="330"/>
      <c r="E7" s="330"/>
      <c r="F7" s="334"/>
      <c r="G7" s="334"/>
      <c r="H7" s="334"/>
      <c r="I7" s="336"/>
      <c r="J7" s="336"/>
      <c r="K7" s="89"/>
    </row>
    <row r="8" spans="1:11" s="4" customFormat="1" ht="15" customHeight="1" x14ac:dyDescent="0.2">
      <c r="A8" s="318"/>
      <c r="B8" s="319"/>
      <c r="C8" s="331"/>
      <c r="D8" s="332"/>
      <c r="E8" s="332"/>
      <c r="F8" s="334"/>
      <c r="G8" s="334"/>
      <c r="H8" s="334"/>
      <c r="I8" s="336"/>
      <c r="J8" s="336"/>
      <c r="K8" s="90"/>
    </row>
    <row r="9" spans="1:11" x14ac:dyDescent="0.2">
      <c r="A9" s="394"/>
      <c r="B9" s="394"/>
      <c r="C9" s="394"/>
      <c r="D9" s="394"/>
      <c r="E9" s="394"/>
      <c r="F9" s="394"/>
      <c r="G9" s="394"/>
      <c r="H9" s="394"/>
      <c r="I9" s="19"/>
    </row>
    <row r="10" spans="1:11" x14ac:dyDescent="0.2">
      <c r="A10" s="395" t="s">
        <v>120</v>
      </c>
      <c r="B10" s="395"/>
      <c r="C10" s="395"/>
      <c r="D10" s="395"/>
      <c r="E10" s="395"/>
      <c r="F10" s="395"/>
      <c r="G10" s="395"/>
      <c r="H10" s="395"/>
      <c r="I10" s="395"/>
    </row>
    <row r="11" spans="1:11" ht="13.5" thickBot="1" x14ac:dyDescent="0.25">
      <c r="A11" s="20"/>
      <c r="B11" s="21"/>
      <c r="C11" s="22"/>
      <c r="D11" s="22"/>
      <c r="E11" s="22"/>
      <c r="F11" s="22"/>
      <c r="G11" s="22"/>
      <c r="H11" s="22"/>
      <c r="I11" s="23"/>
    </row>
    <row r="12" spans="1:11" ht="13.5" thickBot="1" x14ac:dyDescent="0.25">
      <c r="A12" s="396"/>
      <c r="B12" s="398" t="s">
        <v>28</v>
      </c>
      <c r="C12" s="400" t="s">
        <v>143</v>
      </c>
      <c r="D12" s="401"/>
      <c r="E12" s="401"/>
      <c r="F12" s="401"/>
      <c r="G12" s="401"/>
      <c r="H12" s="401"/>
      <c r="I12" s="402" t="s">
        <v>31</v>
      </c>
    </row>
    <row r="13" spans="1:11" ht="13.5" thickBot="1" x14ac:dyDescent="0.25">
      <c r="A13" s="397"/>
      <c r="B13" s="399"/>
      <c r="C13" s="35" t="s">
        <v>144</v>
      </c>
      <c r="D13" s="35" t="s">
        <v>145</v>
      </c>
      <c r="E13" s="35" t="s">
        <v>146</v>
      </c>
      <c r="F13" s="35" t="s">
        <v>147</v>
      </c>
      <c r="G13" s="35" t="s">
        <v>148</v>
      </c>
      <c r="H13" s="35" t="s">
        <v>149</v>
      </c>
      <c r="I13" s="403"/>
    </row>
    <row r="14" spans="1:11" x14ac:dyDescent="0.2">
      <c r="A14" s="32">
        <v>1000</v>
      </c>
      <c r="B14" s="33" t="s">
        <v>67</v>
      </c>
      <c r="C14" s="34">
        <f t="shared" ref="C14:H14" si="0">SUM(C15:C16)</f>
        <v>24968189.640000001</v>
      </c>
      <c r="D14" s="34">
        <f t="shared" si="0"/>
        <v>24968189.640000001</v>
      </c>
      <c r="E14" s="34">
        <f t="shared" si="0"/>
        <v>20806824.700000003</v>
      </c>
      <c r="F14" s="34">
        <f t="shared" si="0"/>
        <v>20806824.700000003</v>
      </c>
      <c r="G14" s="34">
        <f t="shared" si="0"/>
        <v>61788341.220000006</v>
      </c>
      <c r="H14" s="34">
        <f t="shared" si="0"/>
        <v>0</v>
      </c>
      <c r="I14" s="28">
        <f>SUM(C14:H14)</f>
        <v>153338369.90000001</v>
      </c>
    </row>
    <row r="15" spans="1:11" x14ac:dyDescent="0.2">
      <c r="A15" s="24">
        <v>1001</v>
      </c>
      <c r="B15" s="24" t="s">
        <v>68</v>
      </c>
      <c r="C15" s="30"/>
      <c r="D15" s="30"/>
      <c r="E15" s="30"/>
      <c r="F15" s="30"/>
      <c r="G15" s="30">
        <f>+'POA-02'!$J$27</f>
        <v>49304246.400000006</v>
      </c>
      <c r="H15" s="30">
        <v>0</v>
      </c>
      <c r="I15" s="30">
        <f>SUM(C15:H15)</f>
        <v>49304246.400000006</v>
      </c>
    </row>
    <row r="16" spans="1:11" x14ac:dyDescent="0.2">
      <c r="A16" s="24">
        <v>1002</v>
      </c>
      <c r="B16" s="24" t="s">
        <v>69</v>
      </c>
      <c r="C16" s="30">
        <f>+('POA-02'!$J$34)*0.24</f>
        <v>24968189.640000001</v>
      </c>
      <c r="D16" s="30">
        <f>+('POA-02'!$J$34)*0.24</f>
        <v>24968189.640000001</v>
      </c>
      <c r="E16" s="30">
        <f>+('POA-02'!$J$34)*0.2</f>
        <v>20806824.700000003</v>
      </c>
      <c r="F16" s="30">
        <f>+('POA-02'!$J$34)*0.2</f>
        <v>20806824.700000003</v>
      </c>
      <c r="G16" s="30">
        <f>+('POA-02'!$J$34)*0.12</f>
        <v>12484094.82</v>
      </c>
      <c r="H16" s="30">
        <f>+('POA-02'!O34)/5</f>
        <v>0</v>
      </c>
      <c r="I16" s="30">
        <f>SUM(C16:H16)</f>
        <v>104034123.5</v>
      </c>
    </row>
    <row r="17" spans="1:9" x14ac:dyDescent="0.2">
      <c r="A17" s="26">
        <v>2000</v>
      </c>
      <c r="B17" s="24" t="s">
        <v>70</v>
      </c>
      <c r="C17" s="34">
        <f>SUM(C18:C47)</f>
        <v>12858333.333333334</v>
      </c>
      <c r="D17" s="34">
        <f>SUM(D18:D47)</f>
        <v>11525000</v>
      </c>
      <c r="E17" s="34">
        <f>SUM(E18:E47)</f>
        <v>12858333.333333334</v>
      </c>
      <c r="F17" s="34">
        <f>SUM(F18:F47)</f>
        <v>11525000</v>
      </c>
      <c r="G17" s="34">
        <f>SUM(G18:G47)</f>
        <v>1333333.3333333333</v>
      </c>
      <c r="H17" s="28"/>
      <c r="I17" s="28">
        <f t="shared" ref="I17:I23" si="1">SUM(C17:H17)</f>
        <v>50100000.000000007</v>
      </c>
    </row>
    <row r="18" spans="1:9" x14ac:dyDescent="0.2">
      <c r="A18" s="24">
        <v>2001</v>
      </c>
      <c r="B18" s="24" t="s">
        <v>71</v>
      </c>
      <c r="C18" s="30"/>
      <c r="D18" s="30"/>
      <c r="E18" s="30"/>
      <c r="F18" s="30">
        <f>+E18</f>
        <v>0</v>
      </c>
      <c r="G18" s="30"/>
      <c r="H18" s="30"/>
      <c r="I18" s="30">
        <f t="shared" si="1"/>
        <v>0</v>
      </c>
    </row>
    <row r="19" spans="1:9" x14ac:dyDescent="0.2">
      <c r="A19" s="24">
        <v>2002</v>
      </c>
      <c r="B19" s="24" t="s">
        <v>142</v>
      </c>
      <c r="C19" s="30">
        <f>+D19</f>
        <v>0</v>
      </c>
      <c r="D19" s="30">
        <f>+E19</f>
        <v>0</v>
      </c>
      <c r="E19" s="30"/>
      <c r="F19" s="30"/>
      <c r="G19" s="30"/>
      <c r="H19" s="30"/>
      <c r="I19" s="30">
        <f t="shared" si="1"/>
        <v>0</v>
      </c>
    </row>
    <row r="20" spans="1:9" x14ac:dyDescent="0.2">
      <c r="A20" s="24" t="s">
        <v>73</v>
      </c>
      <c r="B20" s="24" t="s">
        <v>74</v>
      </c>
      <c r="C20" s="30"/>
      <c r="D20" s="30"/>
      <c r="E20" s="30"/>
      <c r="F20" s="30"/>
      <c r="G20" s="30"/>
      <c r="H20" s="30"/>
      <c r="I20" s="30">
        <f t="shared" si="1"/>
        <v>0</v>
      </c>
    </row>
    <row r="21" spans="1:9" x14ac:dyDescent="0.2">
      <c r="A21" s="24" t="s">
        <v>75</v>
      </c>
      <c r="B21" s="24" t="s">
        <v>76</v>
      </c>
      <c r="C21" s="30"/>
      <c r="D21" s="30"/>
      <c r="E21" s="30"/>
      <c r="F21" s="30"/>
      <c r="G21" s="30"/>
      <c r="H21" s="30"/>
      <c r="I21" s="30">
        <f t="shared" si="1"/>
        <v>0</v>
      </c>
    </row>
    <row r="22" spans="1:9" x14ac:dyDescent="0.2">
      <c r="A22" s="24" t="s">
        <v>77</v>
      </c>
      <c r="B22" s="24" t="s">
        <v>78</v>
      </c>
      <c r="C22" s="30"/>
      <c r="D22" s="30"/>
      <c r="E22" s="30"/>
      <c r="F22" s="30"/>
      <c r="G22" s="30"/>
      <c r="H22" s="30"/>
      <c r="I22" s="30">
        <f t="shared" si="1"/>
        <v>0</v>
      </c>
    </row>
    <row r="23" spans="1:9" x14ac:dyDescent="0.2">
      <c r="A23" s="24">
        <v>2003</v>
      </c>
      <c r="B23" s="31" t="s">
        <v>79</v>
      </c>
      <c r="C23" s="30">
        <f>+'POA-07'!P23/3</f>
        <v>1333333.3333333333</v>
      </c>
      <c r="D23" s="30"/>
      <c r="E23" s="30">
        <f>+C23</f>
        <v>1333333.3333333333</v>
      </c>
      <c r="F23" s="30">
        <v>0</v>
      </c>
      <c r="G23" s="30">
        <f>+E23</f>
        <v>1333333.3333333333</v>
      </c>
      <c r="H23" s="30">
        <v>0</v>
      </c>
      <c r="I23" s="30">
        <f t="shared" si="1"/>
        <v>4000000</v>
      </c>
    </row>
    <row r="24" spans="1:9" x14ac:dyDescent="0.2">
      <c r="A24" s="24">
        <v>2004</v>
      </c>
      <c r="B24" s="24" t="s">
        <v>80</v>
      </c>
      <c r="C24" s="30"/>
      <c r="D24" s="30"/>
      <c r="E24" s="30">
        <v>0</v>
      </c>
      <c r="F24" s="30">
        <v>0</v>
      </c>
      <c r="G24" s="30">
        <v>0</v>
      </c>
      <c r="H24" s="30"/>
      <c r="I24" s="28"/>
    </row>
    <row r="25" spans="1:9" x14ac:dyDescent="0.2">
      <c r="A25" s="24" t="s">
        <v>81</v>
      </c>
      <c r="B25" s="24" t="s">
        <v>82</v>
      </c>
      <c r="C25" s="30"/>
      <c r="D25" s="30"/>
      <c r="E25" s="30"/>
      <c r="F25" s="30"/>
      <c r="G25" s="30"/>
      <c r="H25" s="30"/>
      <c r="I25" s="28"/>
    </row>
    <row r="26" spans="1:9" x14ac:dyDescent="0.2">
      <c r="A26" s="24" t="s">
        <v>83</v>
      </c>
      <c r="B26" s="24" t="s">
        <v>84</v>
      </c>
      <c r="C26" s="30"/>
      <c r="D26" s="30"/>
      <c r="E26" s="30"/>
      <c r="F26" s="30"/>
      <c r="G26" s="30"/>
      <c r="H26" s="30"/>
      <c r="I26" s="28"/>
    </row>
    <row r="27" spans="1:9" x14ac:dyDescent="0.2">
      <c r="A27" s="24" t="s">
        <v>85</v>
      </c>
      <c r="B27" s="24" t="s">
        <v>86</v>
      </c>
      <c r="C27" s="30"/>
      <c r="D27" s="30"/>
      <c r="E27" s="30"/>
      <c r="F27" s="30"/>
      <c r="G27" s="30"/>
      <c r="H27" s="30"/>
      <c r="I27" s="28"/>
    </row>
    <row r="28" spans="1:9" x14ac:dyDescent="0.2">
      <c r="A28" s="24">
        <v>2005</v>
      </c>
      <c r="B28" s="24" t="s">
        <v>87</v>
      </c>
      <c r="C28" s="30"/>
      <c r="D28" s="30">
        <v>0</v>
      </c>
      <c r="E28" s="30">
        <v>0</v>
      </c>
      <c r="F28" s="30">
        <v>0</v>
      </c>
      <c r="G28" s="30">
        <v>0</v>
      </c>
      <c r="H28" s="30"/>
      <c r="I28" s="28"/>
    </row>
    <row r="29" spans="1:9" x14ac:dyDescent="0.2">
      <c r="A29" s="24" t="s">
        <v>88</v>
      </c>
      <c r="B29" s="24" t="s">
        <v>89</v>
      </c>
      <c r="C29" s="30"/>
      <c r="D29" s="30"/>
      <c r="E29" s="30"/>
      <c r="F29" s="30"/>
      <c r="G29" s="30"/>
      <c r="H29" s="30"/>
      <c r="I29" s="28"/>
    </row>
    <row r="30" spans="1:9" x14ac:dyDescent="0.2">
      <c r="A30" s="24" t="s">
        <v>90</v>
      </c>
      <c r="B30" s="24" t="s">
        <v>91</v>
      </c>
      <c r="C30" s="30"/>
      <c r="D30" s="30"/>
      <c r="E30" s="30"/>
      <c r="F30" s="30"/>
      <c r="G30" s="30"/>
      <c r="H30" s="30"/>
      <c r="I30" s="28"/>
    </row>
    <row r="31" spans="1:9" x14ac:dyDescent="0.2">
      <c r="A31" s="24">
        <v>2006</v>
      </c>
      <c r="B31" s="24" t="s">
        <v>92</v>
      </c>
      <c r="C31" s="30"/>
      <c r="D31" s="30"/>
      <c r="E31" s="30"/>
      <c r="F31" s="30"/>
      <c r="G31" s="30"/>
      <c r="H31" s="30"/>
      <c r="I31" s="28"/>
    </row>
    <row r="32" spans="1:9" x14ac:dyDescent="0.2">
      <c r="A32" s="24" t="s">
        <v>93</v>
      </c>
      <c r="B32" s="24" t="s">
        <v>94</v>
      </c>
      <c r="C32" s="30"/>
      <c r="D32" s="30"/>
      <c r="E32" s="30"/>
      <c r="F32" s="30"/>
      <c r="G32" s="30"/>
      <c r="H32" s="30"/>
      <c r="I32" s="28"/>
    </row>
    <row r="33" spans="1:9" ht="21.75" x14ac:dyDescent="0.2">
      <c r="A33" s="24" t="s">
        <v>95</v>
      </c>
      <c r="B33" s="31" t="s">
        <v>136</v>
      </c>
      <c r="C33" s="30"/>
      <c r="D33" s="30"/>
      <c r="E33" s="30"/>
      <c r="F33" s="30"/>
      <c r="G33" s="30"/>
      <c r="H33" s="30"/>
      <c r="I33" s="28"/>
    </row>
    <row r="34" spans="1:9" x14ac:dyDescent="0.2">
      <c r="A34" s="24" t="s">
        <v>96</v>
      </c>
      <c r="B34" s="24" t="s">
        <v>97</v>
      </c>
      <c r="C34" s="30"/>
      <c r="D34" s="30"/>
      <c r="E34" s="30"/>
      <c r="F34" s="30"/>
      <c r="G34" s="30"/>
      <c r="H34" s="30"/>
      <c r="I34" s="28"/>
    </row>
    <row r="35" spans="1:9" x14ac:dyDescent="0.2">
      <c r="A35" s="24">
        <v>2007</v>
      </c>
      <c r="B35" s="31" t="s">
        <v>141</v>
      </c>
      <c r="C35" s="30"/>
      <c r="D35" s="48"/>
      <c r="E35" s="30"/>
      <c r="F35" s="30"/>
      <c r="G35" s="30"/>
      <c r="H35" s="30"/>
      <c r="I35" s="28"/>
    </row>
    <row r="36" spans="1:9" ht="21.75" x14ac:dyDescent="0.2">
      <c r="A36" s="24">
        <v>2008</v>
      </c>
      <c r="B36" s="31" t="s">
        <v>99</v>
      </c>
      <c r="C36" s="30"/>
      <c r="D36" s="30"/>
      <c r="E36" s="30"/>
      <c r="F36" s="30"/>
      <c r="G36" s="30"/>
      <c r="H36" s="30"/>
      <c r="I36" s="28"/>
    </row>
    <row r="37" spans="1:9" x14ac:dyDescent="0.2">
      <c r="A37" s="24">
        <v>2009</v>
      </c>
      <c r="B37" s="24" t="s">
        <v>100</v>
      </c>
      <c r="C37" s="30"/>
      <c r="D37" s="30"/>
      <c r="E37" s="30"/>
      <c r="F37" s="30"/>
      <c r="G37" s="30"/>
      <c r="H37" s="30"/>
      <c r="I37" s="28"/>
    </row>
    <row r="38" spans="1:9" x14ac:dyDescent="0.2">
      <c r="A38" s="24">
        <v>2010</v>
      </c>
      <c r="B38" s="31" t="s">
        <v>101</v>
      </c>
      <c r="C38" s="30"/>
      <c r="D38" s="30"/>
      <c r="E38" s="30"/>
      <c r="F38" s="30"/>
      <c r="G38" s="30"/>
      <c r="H38" s="30"/>
      <c r="I38" s="28"/>
    </row>
    <row r="39" spans="1:9" x14ac:dyDescent="0.2">
      <c r="A39" s="24">
        <v>2011</v>
      </c>
      <c r="B39" s="24" t="s">
        <v>102</v>
      </c>
      <c r="C39" s="30"/>
      <c r="D39" s="30"/>
      <c r="E39" s="30"/>
      <c r="F39" s="30"/>
      <c r="G39" s="30"/>
      <c r="H39" s="30"/>
      <c r="I39" s="28"/>
    </row>
    <row r="40" spans="1:9" x14ac:dyDescent="0.2">
      <c r="A40" s="24">
        <v>2012</v>
      </c>
      <c r="B40" s="31" t="s">
        <v>103</v>
      </c>
      <c r="C40" s="30"/>
      <c r="D40" s="30"/>
      <c r="E40" s="30"/>
      <c r="F40" s="30"/>
      <c r="G40" s="30"/>
      <c r="H40" s="30"/>
      <c r="I40" s="28"/>
    </row>
    <row r="41" spans="1:9" x14ac:dyDescent="0.2">
      <c r="A41" s="24">
        <v>2013</v>
      </c>
      <c r="B41" s="24" t="s">
        <v>104</v>
      </c>
      <c r="C41" s="30"/>
      <c r="D41" s="30"/>
      <c r="E41" s="30"/>
      <c r="F41" s="30"/>
      <c r="G41" s="30"/>
      <c r="H41" s="30"/>
      <c r="I41" s="28"/>
    </row>
    <row r="42" spans="1:9" x14ac:dyDescent="0.2">
      <c r="A42" s="24">
        <v>2014</v>
      </c>
      <c r="B42" s="24" t="s">
        <v>105</v>
      </c>
      <c r="C42" s="30"/>
      <c r="D42" s="30"/>
      <c r="E42" s="30"/>
      <c r="F42" s="30"/>
      <c r="G42" s="30"/>
      <c r="H42" s="30"/>
      <c r="I42" s="28"/>
    </row>
    <row r="43" spans="1:9" x14ac:dyDescent="0.2">
      <c r="A43" s="24">
        <v>2015</v>
      </c>
      <c r="B43" s="24" t="s">
        <v>106</v>
      </c>
      <c r="C43" s="5"/>
      <c r="D43" s="30"/>
      <c r="E43" s="30"/>
      <c r="F43" s="47"/>
      <c r="G43" s="30"/>
      <c r="H43" s="30"/>
      <c r="I43" s="28"/>
    </row>
    <row r="44" spans="1:9" x14ac:dyDescent="0.2">
      <c r="A44" s="24" t="s">
        <v>107</v>
      </c>
      <c r="B44" s="24" t="s">
        <v>108</v>
      </c>
      <c r="C44" s="30"/>
      <c r="D44" s="30"/>
      <c r="E44" s="30"/>
      <c r="F44" s="30"/>
      <c r="G44" s="30"/>
      <c r="H44" s="30"/>
      <c r="I44" s="28"/>
    </row>
    <row r="45" spans="1:9" x14ac:dyDescent="0.2">
      <c r="A45" s="24" t="s">
        <v>109</v>
      </c>
      <c r="B45" s="24" t="s">
        <v>110</v>
      </c>
      <c r="C45" s="30"/>
      <c r="D45" s="30"/>
      <c r="E45" s="30"/>
      <c r="F45" s="30"/>
      <c r="G45" s="30"/>
      <c r="H45" s="30"/>
      <c r="I45" s="28"/>
    </row>
    <row r="46" spans="1:9" x14ac:dyDescent="0.2">
      <c r="A46" s="24">
        <v>2016</v>
      </c>
      <c r="B46" s="24" t="s">
        <v>111</v>
      </c>
      <c r="C46" s="30"/>
      <c r="D46" s="30"/>
      <c r="E46" s="30"/>
      <c r="F46" s="30"/>
      <c r="G46" s="30"/>
      <c r="H46" s="30"/>
      <c r="I46" s="28"/>
    </row>
    <row r="47" spans="1:9" x14ac:dyDescent="0.2">
      <c r="A47" s="24">
        <v>2017</v>
      </c>
      <c r="B47" s="24" t="s">
        <v>112</v>
      </c>
      <c r="C47" s="30">
        <f>+'POA-06'!D16/4</f>
        <v>11525000</v>
      </c>
      <c r="D47" s="30">
        <f>+C47</f>
        <v>11525000</v>
      </c>
      <c r="E47" s="30">
        <f>+D47</f>
        <v>11525000</v>
      </c>
      <c r="F47" s="30">
        <f>+E47</f>
        <v>11525000</v>
      </c>
      <c r="G47" s="30">
        <v>0</v>
      </c>
      <c r="H47" s="30"/>
      <c r="I47" s="28"/>
    </row>
    <row r="48" spans="1:9" x14ac:dyDescent="0.2">
      <c r="A48" s="26">
        <v>3000</v>
      </c>
      <c r="B48" s="24" t="s">
        <v>113</v>
      </c>
      <c r="C48" s="28"/>
      <c r="D48" s="28"/>
      <c r="E48" s="28"/>
      <c r="F48" s="28"/>
      <c r="G48" s="28"/>
      <c r="H48" s="28"/>
      <c r="I48" s="28"/>
    </row>
    <row r="49" spans="1:9" x14ac:dyDescent="0.2">
      <c r="A49" s="26">
        <v>4000</v>
      </c>
      <c r="B49" s="24" t="s">
        <v>114</v>
      </c>
      <c r="C49" s="28">
        <f>+'POA-05'!C25/5</f>
        <v>34048109.159314983</v>
      </c>
      <c r="D49" s="202">
        <f t="shared" ref="D49:G50" si="2">+C49</f>
        <v>34048109.159314983</v>
      </c>
      <c r="E49" s="202">
        <f t="shared" si="2"/>
        <v>34048109.159314983</v>
      </c>
      <c r="F49" s="202">
        <f t="shared" si="2"/>
        <v>34048109.159314983</v>
      </c>
      <c r="G49" s="202">
        <f t="shared" si="2"/>
        <v>34048109.159314983</v>
      </c>
      <c r="H49" s="202"/>
      <c r="I49" s="28">
        <f>SUM(C49:H49)</f>
        <v>170240545.79657492</v>
      </c>
    </row>
    <row r="50" spans="1:9" x14ac:dyDescent="0.2">
      <c r="A50" s="26">
        <v>5000</v>
      </c>
      <c r="B50" s="24" t="s">
        <v>115</v>
      </c>
      <c r="C50" s="28">
        <f>+'POA-05'!C19/5</f>
        <v>7571170</v>
      </c>
      <c r="D50" s="28">
        <f t="shared" si="2"/>
        <v>7571170</v>
      </c>
      <c r="E50" s="28">
        <f t="shared" si="2"/>
        <v>7571170</v>
      </c>
      <c r="F50" s="28">
        <f t="shared" si="2"/>
        <v>7571170</v>
      </c>
      <c r="G50" s="28">
        <f t="shared" si="2"/>
        <v>7571170</v>
      </c>
      <c r="H50" s="48"/>
      <c r="I50" s="28">
        <f>SUM(C50:H50)</f>
        <v>37855850</v>
      </c>
    </row>
    <row r="51" spans="1:9" x14ac:dyDescent="0.2">
      <c r="A51" s="26">
        <v>6000</v>
      </c>
      <c r="B51" s="24" t="s">
        <v>116</v>
      </c>
      <c r="C51" s="28"/>
      <c r="D51" s="28"/>
      <c r="E51" s="28"/>
      <c r="F51" s="28"/>
      <c r="G51" s="28"/>
      <c r="H51" s="28"/>
      <c r="I51" s="28">
        <f>SUM(C51:H51)</f>
        <v>0</v>
      </c>
    </row>
    <row r="52" spans="1:9" x14ac:dyDescent="0.2">
      <c r="A52" s="26">
        <v>7000</v>
      </c>
      <c r="B52" s="24" t="s">
        <v>117</v>
      </c>
      <c r="C52" s="28"/>
      <c r="D52" s="28"/>
      <c r="E52" s="28"/>
      <c r="F52" s="28"/>
      <c r="G52" s="28"/>
      <c r="H52" s="28"/>
      <c r="I52" s="28">
        <f>SUM(C52:H52)</f>
        <v>0</v>
      </c>
    </row>
    <row r="53" spans="1:9" x14ac:dyDescent="0.2">
      <c r="A53" s="38"/>
      <c r="B53" s="38" t="s">
        <v>31</v>
      </c>
      <c r="C53" s="27">
        <f t="shared" ref="C53:H53" si="3">+C52+C51+C50+C49+C48+C17+C14</f>
        <v>79445802.132648319</v>
      </c>
      <c r="D53" s="27">
        <f t="shared" si="3"/>
        <v>78112468.799314976</v>
      </c>
      <c r="E53" s="27">
        <f t="shared" si="3"/>
        <v>75284437.192648321</v>
      </c>
      <c r="F53" s="27">
        <f t="shared" si="3"/>
        <v>73951103.859314978</v>
      </c>
      <c r="G53" s="27">
        <f t="shared" si="3"/>
        <v>104740953.71264833</v>
      </c>
      <c r="H53" s="27">
        <f t="shared" si="3"/>
        <v>0</v>
      </c>
      <c r="I53" s="27">
        <f>+I52+I51+I50+I49+I48+I17+I14</f>
        <v>411534765.69657493</v>
      </c>
    </row>
    <row r="54" spans="1:9" x14ac:dyDescent="0.2">
      <c r="A54" s="18"/>
      <c r="B54" s="18"/>
      <c r="C54" s="18"/>
      <c r="D54" s="18"/>
      <c r="E54" s="18"/>
      <c r="F54" s="18"/>
      <c r="G54" s="18"/>
      <c r="H54" s="18"/>
      <c r="I54" s="18"/>
    </row>
    <row r="55" spans="1:9" x14ac:dyDescent="0.2">
      <c r="A55" s="18"/>
      <c r="B55" s="18"/>
      <c r="C55" s="18"/>
      <c r="D55" s="18"/>
      <c r="E55" s="18"/>
      <c r="F55" s="18"/>
      <c r="G55" s="18"/>
      <c r="H55" s="18"/>
      <c r="I55" s="18"/>
    </row>
  </sheetData>
  <mergeCells count="16">
    <mergeCell ref="A1:B8"/>
    <mergeCell ref="C1:H5"/>
    <mergeCell ref="I1:J1"/>
    <mergeCell ref="I2:J2"/>
    <mergeCell ref="I3:J3"/>
    <mergeCell ref="I4:J4"/>
    <mergeCell ref="I5:J5"/>
    <mergeCell ref="C6:E8"/>
    <mergeCell ref="F6:H8"/>
    <mergeCell ref="I6:J8"/>
    <mergeCell ref="A9:H9"/>
    <mergeCell ref="A10:I10"/>
    <mergeCell ref="A12:A13"/>
    <mergeCell ref="B12:B13"/>
    <mergeCell ref="C12:H12"/>
    <mergeCell ref="I12:I13"/>
  </mergeCells>
  <phoneticPr fontId="0" type="noConversion"/>
  <printOptions horizontalCentered="1" verticalCentered="1"/>
  <pageMargins left="0.98425196850393704" right="0.98425196850393704" top="0.98425196850393704" bottom="0.98425196850393704" header="0" footer="0"/>
  <pageSetup paperSize="5" scale="9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52"/>
  <sheetViews>
    <sheetView zoomScale="75" workbookViewId="0">
      <selection activeCell="B59" sqref="B59"/>
    </sheetView>
  </sheetViews>
  <sheetFormatPr baseColWidth="10" defaultRowHeight="12.75" x14ac:dyDescent="0.2"/>
  <cols>
    <col min="2" max="2" width="16.5703125" customWidth="1"/>
    <col min="3" max="3" width="12.5703125" customWidth="1"/>
    <col min="4" max="4" width="13.28515625" customWidth="1"/>
    <col min="5" max="5" width="16" customWidth="1"/>
    <col min="6" max="6" width="7.7109375" customWidth="1"/>
    <col min="7" max="7" width="5.28515625" customWidth="1"/>
    <col min="9" max="9" width="12.28515625" customWidth="1"/>
  </cols>
  <sheetData>
    <row r="1" spans="1:15" s="4" customFormat="1" ht="12.75" customHeight="1" x14ac:dyDescent="0.2">
      <c r="A1" s="314"/>
      <c r="B1" s="315"/>
      <c r="C1" s="320" t="str">
        <f>+'POA-01'!C1:H5</f>
        <v>PLAN OPERATIVO ANUAL DE INVERSIONES - POAI - 2013</v>
      </c>
      <c r="D1" s="321"/>
      <c r="E1" s="321"/>
      <c r="F1" s="321"/>
      <c r="G1" s="321"/>
      <c r="H1" s="321"/>
      <c r="I1" s="326" t="s">
        <v>241</v>
      </c>
      <c r="J1" s="326"/>
      <c r="K1" s="88"/>
    </row>
    <row r="2" spans="1:15" s="4" customFormat="1" ht="16.5" customHeight="1" x14ac:dyDescent="0.2">
      <c r="A2" s="316"/>
      <c r="B2" s="317"/>
      <c r="C2" s="322"/>
      <c r="D2" s="323"/>
      <c r="E2" s="323"/>
      <c r="F2" s="323"/>
      <c r="G2" s="323"/>
      <c r="H2" s="323"/>
      <c r="I2" s="326" t="s">
        <v>242</v>
      </c>
      <c r="J2" s="326"/>
      <c r="K2" s="88"/>
    </row>
    <row r="3" spans="1:15" s="4" customFormat="1" ht="15.75" customHeight="1" x14ac:dyDescent="0.2">
      <c r="A3" s="316"/>
      <c r="B3" s="317"/>
      <c r="C3" s="322"/>
      <c r="D3" s="323"/>
      <c r="E3" s="323"/>
      <c r="F3" s="323"/>
      <c r="G3" s="323"/>
      <c r="H3" s="323"/>
      <c r="I3" s="326" t="s">
        <v>243</v>
      </c>
      <c r="J3" s="326"/>
      <c r="K3" s="88"/>
    </row>
    <row r="4" spans="1:15" s="4" customFormat="1" ht="15.75" customHeight="1" x14ac:dyDescent="0.2">
      <c r="A4" s="316"/>
      <c r="B4" s="317"/>
      <c r="C4" s="322"/>
      <c r="D4" s="323"/>
      <c r="E4" s="323"/>
      <c r="F4" s="323"/>
      <c r="G4" s="323"/>
      <c r="H4" s="323"/>
      <c r="I4" s="326" t="s">
        <v>244</v>
      </c>
      <c r="J4" s="326"/>
      <c r="K4" s="88"/>
    </row>
    <row r="5" spans="1:15" s="4" customFormat="1" ht="15.75" customHeight="1" x14ac:dyDescent="0.2">
      <c r="A5" s="316"/>
      <c r="B5" s="317"/>
      <c r="C5" s="324"/>
      <c r="D5" s="325"/>
      <c r="E5" s="325"/>
      <c r="F5" s="325"/>
      <c r="G5" s="325"/>
      <c r="H5" s="325"/>
      <c r="I5" s="326" t="s">
        <v>245</v>
      </c>
      <c r="J5" s="326"/>
      <c r="K5" s="88"/>
    </row>
    <row r="6" spans="1:15" s="4" customFormat="1" x14ac:dyDescent="0.2">
      <c r="A6" s="316"/>
      <c r="B6" s="317"/>
      <c r="C6" s="327" t="s">
        <v>246</v>
      </c>
      <c r="D6" s="328"/>
      <c r="E6" s="328"/>
      <c r="F6" s="333" t="s">
        <v>247</v>
      </c>
      <c r="G6" s="334"/>
      <c r="H6" s="334"/>
      <c r="I6" s="335" t="s">
        <v>248</v>
      </c>
      <c r="J6" s="336"/>
      <c r="K6" s="88"/>
    </row>
    <row r="7" spans="1:15" s="13" customFormat="1" ht="19.5" customHeight="1" x14ac:dyDescent="0.25">
      <c r="A7" s="316"/>
      <c r="B7" s="317"/>
      <c r="C7" s="329"/>
      <c r="D7" s="330"/>
      <c r="E7" s="330"/>
      <c r="F7" s="334"/>
      <c r="G7" s="334"/>
      <c r="H7" s="334"/>
      <c r="I7" s="336"/>
      <c r="J7" s="336"/>
      <c r="K7" s="89"/>
    </row>
    <row r="8" spans="1:15" s="4" customFormat="1" ht="15" customHeight="1" x14ac:dyDescent="0.2">
      <c r="A8" s="318"/>
      <c r="B8" s="319"/>
      <c r="C8" s="331"/>
      <c r="D8" s="332"/>
      <c r="E8" s="332"/>
      <c r="F8" s="334"/>
      <c r="G8" s="334"/>
      <c r="H8" s="334"/>
      <c r="I8" s="336"/>
      <c r="J8" s="336"/>
      <c r="K8" s="90"/>
    </row>
    <row r="9" spans="1:15" x14ac:dyDescent="0.2">
      <c r="A9" s="394"/>
      <c r="B9" s="394"/>
      <c r="C9" s="394"/>
      <c r="D9" s="394"/>
      <c r="E9" s="394"/>
      <c r="F9" s="394"/>
      <c r="G9" s="394"/>
      <c r="H9" s="60"/>
      <c r="I9" s="60"/>
      <c r="J9" s="60"/>
      <c r="K9" s="60"/>
      <c r="L9" s="60"/>
      <c r="M9" s="60"/>
      <c r="N9" s="60"/>
      <c r="O9" s="60"/>
    </row>
    <row r="10" spans="1:15" x14ac:dyDescent="0.2">
      <c r="A10" s="395" t="s">
        <v>120</v>
      </c>
      <c r="B10" s="395"/>
      <c r="C10" s="395"/>
      <c r="D10" s="395"/>
      <c r="E10" s="395"/>
      <c r="F10" s="395"/>
      <c r="G10" s="395"/>
      <c r="H10" s="59"/>
      <c r="I10" s="59"/>
      <c r="J10" s="59"/>
      <c r="K10" s="59"/>
      <c r="L10" s="59"/>
      <c r="M10" s="59"/>
      <c r="N10" s="59"/>
      <c r="O10" s="59"/>
    </row>
    <row r="13" spans="1:15" ht="15" customHeight="1" x14ac:dyDescent="0.2">
      <c r="A13" s="24"/>
      <c r="B13" s="26" t="s">
        <v>28</v>
      </c>
      <c r="C13" s="25" t="s">
        <v>54</v>
      </c>
    </row>
    <row r="14" spans="1:15" ht="16.5" customHeight="1" x14ac:dyDescent="0.2">
      <c r="A14" s="26">
        <v>1000</v>
      </c>
      <c r="B14" s="36" t="s">
        <v>139</v>
      </c>
      <c r="C14" s="28">
        <f>'POA-07'!C14</f>
        <v>153338369.90000001</v>
      </c>
    </row>
    <row r="15" spans="1:15" ht="21" x14ac:dyDescent="0.2">
      <c r="A15" s="24">
        <v>1001</v>
      </c>
      <c r="B15" s="203" t="s">
        <v>68</v>
      </c>
      <c r="C15" s="27">
        <f>+'POA-02'!J27</f>
        <v>49304246.400000006</v>
      </c>
    </row>
    <row r="16" spans="1:15" ht="14.25" customHeight="1" x14ac:dyDescent="0.2">
      <c r="A16" s="24">
        <v>1002</v>
      </c>
      <c r="B16" s="203" t="s">
        <v>69</v>
      </c>
      <c r="C16" s="27">
        <f>+'POA-02'!J34</f>
        <v>104034123.5</v>
      </c>
    </row>
    <row r="17" spans="1:3" ht="21" customHeight="1" x14ac:dyDescent="0.2">
      <c r="A17" s="26">
        <v>2000</v>
      </c>
      <c r="B17" s="203" t="s">
        <v>140</v>
      </c>
      <c r="C17" s="28">
        <f>'POA-07'!C17</f>
        <v>50100000</v>
      </c>
    </row>
    <row r="18" spans="1:3" ht="14.25" customHeight="1" x14ac:dyDescent="0.2">
      <c r="A18" s="24">
        <v>2001</v>
      </c>
      <c r="B18" s="203" t="s">
        <v>71</v>
      </c>
      <c r="C18" s="30">
        <f>'POA-04'!H23</f>
        <v>57187950.576080002</v>
      </c>
    </row>
    <row r="19" spans="1:3" ht="14.25" customHeight="1" x14ac:dyDescent="0.2">
      <c r="A19" s="24">
        <v>2002</v>
      </c>
      <c r="B19" s="203" t="s">
        <v>72</v>
      </c>
      <c r="C19" s="30">
        <f>'POA-03'!I88</f>
        <v>80239294.220494911</v>
      </c>
    </row>
    <row r="20" spans="1:3" hidden="1" x14ac:dyDescent="0.2">
      <c r="A20" s="24" t="s">
        <v>73</v>
      </c>
      <c r="B20" s="203" t="s">
        <v>74</v>
      </c>
      <c r="C20" s="30"/>
    </row>
    <row r="21" spans="1:3" hidden="1" x14ac:dyDescent="0.2">
      <c r="A21" s="24" t="s">
        <v>75</v>
      </c>
      <c r="B21" s="203" t="s">
        <v>76</v>
      </c>
      <c r="C21" s="30"/>
    </row>
    <row r="22" spans="1:3" hidden="1" x14ac:dyDescent="0.2">
      <c r="A22" s="24" t="s">
        <v>77</v>
      </c>
      <c r="B22" s="203" t="s">
        <v>78</v>
      </c>
      <c r="C22" s="30"/>
    </row>
    <row r="23" spans="1:3" ht="21" x14ac:dyDescent="0.2">
      <c r="A23" s="24">
        <v>2003</v>
      </c>
      <c r="B23" s="203" t="s">
        <v>79</v>
      </c>
      <c r="C23" s="30">
        <f>'POA-06'!D17</f>
        <v>4000000</v>
      </c>
    </row>
    <row r="24" spans="1:3" hidden="1" x14ac:dyDescent="0.2">
      <c r="A24" s="24">
        <v>2004</v>
      </c>
      <c r="B24" s="203" t="s">
        <v>80</v>
      </c>
      <c r="C24" s="29">
        <f>'POA-06'!D18</f>
        <v>0</v>
      </c>
    </row>
    <row r="25" spans="1:3" hidden="1" x14ac:dyDescent="0.2">
      <c r="A25" s="24" t="s">
        <v>81</v>
      </c>
      <c r="B25" s="203" t="s">
        <v>82</v>
      </c>
      <c r="C25" s="30"/>
    </row>
    <row r="26" spans="1:3" hidden="1" x14ac:dyDescent="0.2">
      <c r="A26" s="24" t="s">
        <v>83</v>
      </c>
      <c r="B26" s="203" t="s">
        <v>84</v>
      </c>
      <c r="C26" s="30"/>
    </row>
    <row r="27" spans="1:3" hidden="1" x14ac:dyDescent="0.2">
      <c r="A27" s="24" t="s">
        <v>85</v>
      </c>
      <c r="B27" s="203" t="s">
        <v>86</v>
      </c>
      <c r="C27" s="30"/>
    </row>
    <row r="28" spans="1:3" hidden="1" x14ac:dyDescent="0.2">
      <c r="A28" s="24">
        <v>2005</v>
      </c>
      <c r="B28" s="203" t="s">
        <v>87</v>
      </c>
      <c r="C28" s="29">
        <v>0</v>
      </c>
    </row>
    <row r="29" spans="1:3" hidden="1" x14ac:dyDescent="0.2">
      <c r="A29" s="24" t="s">
        <v>88</v>
      </c>
      <c r="B29" s="203" t="s">
        <v>89</v>
      </c>
      <c r="C29" s="30"/>
    </row>
    <row r="30" spans="1:3" hidden="1" x14ac:dyDescent="0.2">
      <c r="A30" s="24" t="s">
        <v>90</v>
      </c>
      <c r="B30" s="203" t="s">
        <v>91</v>
      </c>
      <c r="C30" s="30"/>
    </row>
    <row r="31" spans="1:3" hidden="1" x14ac:dyDescent="0.2">
      <c r="A31" s="24">
        <v>2006</v>
      </c>
      <c r="B31" s="203" t="s">
        <v>92</v>
      </c>
      <c r="C31" s="29">
        <f>'POA-06'!D20</f>
        <v>35900000</v>
      </c>
    </row>
    <row r="32" spans="1:3" ht="21" hidden="1" x14ac:dyDescent="0.2">
      <c r="A32" s="24" t="s">
        <v>93</v>
      </c>
      <c r="B32" s="203" t="s">
        <v>94</v>
      </c>
      <c r="C32" s="30"/>
    </row>
    <row r="33" spans="1:3" ht="21" hidden="1" x14ac:dyDescent="0.2">
      <c r="A33" s="24" t="s">
        <v>95</v>
      </c>
      <c r="B33" s="203" t="s">
        <v>136</v>
      </c>
      <c r="C33" s="30"/>
    </row>
    <row r="34" spans="1:3" hidden="1" x14ac:dyDescent="0.2">
      <c r="A34" s="24" t="s">
        <v>96</v>
      </c>
      <c r="B34" s="203" t="s">
        <v>97</v>
      </c>
      <c r="C34" s="30"/>
    </row>
    <row r="35" spans="1:3" ht="21" hidden="1" x14ac:dyDescent="0.2">
      <c r="A35" s="24">
        <v>2007</v>
      </c>
      <c r="B35" s="203" t="s">
        <v>98</v>
      </c>
      <c r="C35" s="29">
        <f>'POA-06'!D21</f>
        <v>0</v>
      </c>
    </row>
    <row r="36" spans="1:3" ht="21" hidden="1" x14ac:dyDescent="0.2">
      <c r="A36" s="24">
        <v>2008</v>
      </c>
      <c r="B36" s="203" t="s">
        <v>99</v>
      </c>
      <c r="C36" s="29">
        <f>'POA-06'!D19</f>
        <v>0</v>
      </c>
    </row>
    <row r="37" spans="1:3" hidden="1" x14ac:dyDescent="0.2">
      <c r="A37" s="24">
        <v>2009</v>
      </c>
      <c r="B37" s="203" t="s">
        <v>100</v>
      </c>
      <c r="C37" s="29">
        <v>0</v>
      </c>
    </row>
    <row r="38" spans="1:3" ht="21" hidden="1" x14ac:dyDescent="0.2">
      <c r="A38" s="24">
        <v>2010</v>
      </c>
      <c r="B38" s="203" t="s">
        <v>101</v>
      </c>
      <c r="C38" s="29">
        <v>0</v>
      </c>
    </row>
    <row r="39" spans="1:3" ht="21" hidden="1" x14ac:dyDescent="0.2">
      <c r="A39" s="24">
        <v>2011</v>
      </c>
      <c r="B39" s="203" t="s">
        <v>102</v>
      </c>
      <c r="C39" s="29">
        <f>'POA-06'!D25</f>
        <v>0</v>
      </c>
    </row>
    <row r="40" spans="1:3" ht="21" hidden="1" x14ac:dyDescent="0.2">
      <c r="A40" s="24">
        <v>2012</v>
      </c>
      <c r="B40" s="203" t="s">
        <v>103</v>
      </c>
      <c r="C40" s="29">
        <f>'POA-06'!D26</f>
        <v>0</v>
      </c>
    </row>
    <row r="41" spans="1:3" ht="21" hidden="1" x14ac:dyDescent="0.2">
      <c r="A41" s="24">
        <v>2013</v>
      </c>
      <c r="B41" s="203" t="s">
        <v>104</v>
      </c>
      <c r="C41" s="29">
        <f>'POA-06'!D24</f>
        <v>0</v>
      </c>
    </row>
    <row r="42" spans="1:3" hidden="1" x14ac:dyDescent="0.2">
      <c r="A42" s="24">
        <v>2014</v>
      </c>
      <c r="B42" s="203" t="s">
        <v>105</v>
      </c>
      <c r="C42" s="29">
        <v>0</v>
      </c>
    </row>
    <row r="43" spans="1:3" hidden="1" x14ac:dyDescent="0.2">
      <c r="A43" s="24">
        <v>2015</v>
      </c>
      <c r="B43" s="203" t="s">
        <v>106</v>
      </c>
      <c r="C43" s="29">
        <f>'POA-06'!D29</f>
        <v>1200000</v>
      </c>
    </row>
    <row r="44" spans="1:3" hidden="1" x14ac:dyDescent="0.2">
      <c r="A44" s="24" t="s">
        <v>107</v>
      </c>
      <c r="B44" s="37" t="s">
        <v>108</v>
      </c>
      <c r="C44" s="30"/>
    </row>
    <row r="45" spans="1:3" ht="18" hidden="1" customHeight="1" x14ac:dyDescent="0.2">
      <c r="A45" s="24">
        <v>2016</v>
      </c>
      <c r="B45" s="37" t="s">
        <v>110</v>
      </c>
      <c r="C45" s="30"/>
    </row>
    <row r="46" spans="1:3" ht="15.75" hidden="1" customHeight="1" x14ac:dyDescent="0.2">
      <c r="A46" s="24">
        <v>2016</v>
      </c>
      <c r="B46" s="37" t="s">
        <v>111</v>
      </c>
      <c r="C46" s="30">
        <f>'POA-06'!D30</f>
        <v>0</v>
      </c>
    </row>
    <row r="47" spans="1:3" ht="12.75" hidden="1" customHeight="1" x14ac:dyDescent="0.2">
      <c r="A47" s="24">
        <v>2017</v>
      </c>
      <c r="B47" s="37" t="s">
        <v>112</v>
      </c>
      <c r="C47" s="30">
        <v>0</v>
      </c>
    </row>
    <row r="48" spans="1:3" ht="12" customHeight="1" x14ac:dyDescent="0.2">
      <c r="A48" s="26">
        <v>4000</v>
      </c>
      <c r="B48" s="37" t="s">
        <v>213</v>
      </c>
      <c r="C48" s="28">
        <f>'POA-07'!C49</f>
        <v>170240545.79657492</v>
      </c>
    </row>
    <row r="49" spans="1:3" ht="16.5" customHeight="1" x14ac:dyDescent="0.2">
      <c r="A49" s="26">
        <v>5000</v>
      </c>
      <c r="B49" s="37" t="s">
        <v>214</v>
      </c>
      <c r="C49" s="28">
        <f>'POA-07'!C50</f>
        <v>37855850</v>
      </c>
    </row>
    <row r="50" spans="1:3" ht="15" customHeight="1" x14ac:dyDescent="0.2">
      <c r="A50" s="26"/>
      <c r="B50" s="24"/>
      <c r="C50" s="27">
        <f>C14+C17+C48+C49</f>
        <v>411534765.69657493</v>
      </c>
    </row>
    <row r="51" spans="1:3" hidden="1" x14ac:dyDescent="0.2">
      <c r="A51" s="26">
        <v>7000</v>
      </c>
      <c r="B51" s="24" t="s">
        <v>117</v>
      </c>
      <c r="C51" s="27">
        <v>0</v>
      </c>
    </row>
    <row r="52" spans="1:3" hidden="1" x14ac:dyDescent="0.2">
      <c r="A52" s="26"/>
      <c r="B52" s="26" t="s">
        <v>31</v>
      </c>
      <c r="C52" s="27" t="e">
        <f>+C14+C17+C48+#REF!+C49+C50+C51</f>
        <v>#REF!</v>
      </c>
    </row>
  </sheetData>
  <autoFilter ref="A13:C52">
    <filterColumn colId="2">
      <filters>
        <filter val="196.272.953"/>
        <filter val="221.051.750"/>
        <filter val="24.000.000"/>
        <filter val="270.360.591"/>
        <filter val="294.360.591"/>
        <filter val="345.000.000"/>
        <filter val="45.000.000"/>
        <filter val="74.087.638"/>
        <filter val="83.031.037"/>
        <filter val="93.020.714"/>
      </filters>
    </filterColumn>
  </autoFilter>
  <mergeCells count="12">
    <mergeCell ref="I6:J8"/>
    <mergeCell ref="I1:J1"/>
    <mergeCell ref="I2:J2"/>
    <mergeCell ref="I3:J3"/>
    <mergeCell ref="I4:J4"/>
    <mergeCell ref="I5:J5"/>
    <mergeCell ref="A10:G10"/>
    <mergeCell ref="A9:G9"/>
    <mergeCell ref="A1:B8"/>
    <mergeCell ref="C1:H5"/>
    <mergeCell ref="C6:E8"/>
    <mergeCell ref="F6:H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POA-01</vt:lpstr>
      <vt:lpstr>POA-02</vt:lpstr>
      <vt:lpstr>POA-03</vt:lpstr>
      <vt:lpstr>POA-04</vt:lpstr>
      <vt:lpstr>POA-05</vt:lpstr>
      <vt:lpstr>POA-06</vt:lpstr>
      <vt:lpstr>POA-07</vt:lpstr>
      <vt:lpstr>PTOXACTIV</vt:lpstr>
      <vt:lpstr>grafico</vt:lpstr>
      <vt:lpstr>'POA-01'!Área_de_impresión</vt:lpstr>
      <vt:lpstr>'POA-05'!Área_de_impresión</vt:lpstr>
      <vt:lpstr>'POA-07'!Área_de_impresión</vt:lpstr>
      <vt:lpstr>'POA-01'!Títulos_a_imprimir</vt:lpstr>
      <vt:lpstr>'POA-07'!Títulos_a_imprimir</vt:lpstr>
      <vt:lpstr>PTOXACTIV!Títulos_a_imprimir</vt:lpstr>
    </vt:vector>
  </TitlesOfParts>
  <Company>CORPOGUAJIRA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Funcionario</cp:lastModifiedBy>
  <cp:lastPrinted>2011-10-20T21:44:00Z</cp:lastPrinted>
  <dcterms:created xsi:type="dcterms:W3CDTF">2004-12-29T19:49:42Z</dcterms:created>
  <dcterms:modified xsi:type="dcterms:W3CDTF">2019-10-02T22:20:01Z</dcterms:modified>
</cp:coreProperties>
</file>