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nuel\Desktop\ENTREGA DE INFORMES IEDI\20-CORPOGUAJIRA OK\"/>
    </mc:Choice>
  </mc:AlternateContent>
  <bookViews>
    <workbookView xWindow="7290" yWindow="90" windowWidth="7590" windowHeight="6525" tabRatio="763"/>
  </bookViews>
  <sheets>
    <sheet name="Cálculo IEDI -IGM-IGA-IGFC" sheetId="2" r:id="rId1"/>
    <sheet name="Cálculo IGM-GPCR" sheetId="3" r:id="rId2"/>
    <sheet name="Cálculo IGM-GACV" sheetId="4" r:id="rId3"/>
    <sheet name="Cálculo IGM-GPADS" sheetId="5" r:id="rId4"/>
    <sheet name="Cálculo IGA-TSC-PA" sheetId="19" r:id="rId5"/>
    <sheet name="Cálculo IGA-TSC-TYAI" sheetId="20" r:id="rId6"/>
    <sheet name="Cálculo IGA-TSC-PC" sheetId="21" r:id="rId7"/>
    <sheet name="Cálculo IGA-TSC-RC" sheetId="22" r:id="rId8"/>
    <sheet name="Cálculo IGA-TSC-SC" sheetId="23" r:id="rId9"/>
    <sheet name="Cálculo IGA-EA-SGC" sheetId="24" r:id="rId10"/>
    <sheet name="Cálculo IGA-EA-GD" sheetId="25" r:id="rId11"/>
    <sheet name="Cálculo IGA-EA-RT" sheetId="26" r:id="rId12"/>
    <sheet name="Cálculo IGA-GTH-BCTHSIGEP" sheetId="27" r:id="rId13"/>
    <sheet name="Cálculo IGA-GEL-GEL" sheetId="28" r:id="rId14"/>
    <sheet name="Cálculo IGFC-EGP" sheetId="29" r:id="rId15"/>
    <sheet name="Cálculo IGFC-GI" sheetId="30" r:id="rId16"/>
    <sheet name="Cálculo IGFC-GC" sheetId="31" r:id="rId17"/>
    <sheet name="Eficiencia-GPCR" sheetId="35" r:id="rId18"/>
    <sheet name="Eficiencia - GACV " sheetId="36" r:id="rId19"/>
    <sheet name="Eficiencia - GPADS " sheetId="37" r:id="rId20"/>
  </sheets>
  <calcPr calcId="152511" concurrentCalc="0"/>
</workbook>
</file>

<file path=xl/calcChain.xml><?xml version="1.0" encoding="utf-8"?>
<calcChain xmlns="http://schemas.openxmlformats.org/spreadsheetml/2006/main">
  <c r="F7" i="35" l="1"/>
  <c r="H7" i="35"/>
  <c r="F6" i="35"/>
  <c r="H6" i="35"/>
  <c r="F37" i="3"/>
  <c r="H37" i="3"/>
  <c r="F38" i="3"/>
  <c r="H53" i="4"/>
  <c r="E18" i="31"/>
  <c r="E8" i="31"/>
  <c r="G8" i="31"/>
  <c r="I8" i="31"/>
  <c r="F6" i="26"/>
  <c r="K118" i="20"/>
  <c r="K120" i="20"/>
  <c r="I115" i="28"/>
  <c r="I113" i="28"/>
  <c r="J113" i="28"/>
  <c r="H8" i="29"/>
  <c r="H6" i="29"/>
  <c r="H4" i="29"/>
  <c r="H10" i="29"/>
  <c r="H10" i="30"/>
  <c r="H8" i="30"/>
  <c r="H6" i="30"/>
  <c r="H12" i="30"/>
  <c r="H4" i="30"/>
  <c r="G16" i="31"/>
  <c r="I16" i="31"/>
  <c r="G10" i="31"/>
  <c r="G4" i="31"/>
  <c r="H47" i="5"/>
  <c r="H42" i="5"/>
  <c r="H38" i="5"/>
  <c r="H35" i="5"/>
  <c r="H31" i="5"/>
  <c r="H27" i="5"/>
  <c r="H22" i="5"/>
  <c r="H19" i="5"/>
  <c r="H26" i="5"/>
  <c r="H30" i="5"/>
  <c r="E10" i="2"/>
  <c r="H15" i="5"/>
  <c r="H11" i="5"/>
  <c r="H8" i="5"/>
  <c r="H5" i="5"/>
  <c r="H14" i="5"/>
  <c r="H5" i="4"/>
  <c r="H49" i="4"/>
  <c r="H46" i="4"/>
  <c r="H43" i="4"/>
  <c r="H39" i="4"/>
  <c r="H36" i="4"/>
  <c r="H33" i="4"/>
  <c r="H30" i="4"/>
  <c r="H27" i="4"/>
  <c r="H23" i="4"/>
  <c r="H26" i="4"/>
  <c r="H58" i="4"/>
  <c r="H18" i="4"/>
  <c r="H15" i="4"/>
  <c r="H12" i="4"/>
  <c r="H9" i="4"/>
  <c r="H11" i="3"/>
  <c r="H47" i="3"/>
  <c r="H45" i="3"/>
  <c r="H43" i="3"/>
  <c r="H41" i="3"/>
  <c r="H39" i="3"/>
  <c r="H49" i="3"/>
  <c r="H50" i="3"/>
  <c r="E5" i="2"/>
  <c r="H32" i="3"/>
  <c r="H29" i="3"/>
  <c r="H26" i="3"/>
  <c r="H23" i="3"/>
  <c r="H18" i="3"/>
  <c r="H15" i="3"/>
  <c r="H8" i="3"/>
  <c r="H6" i="3"/>
  <c r="J427" i="28"/>
  <c r="J216" i="28"/>
  <c r="J187" i="28"/>
  <c r="J423" i="28"/>
  <c r="J294" i="28"/>
  <c r="I200" i="28"/>
  <c r="I201" i="28"/>
  <c r="J200" i="28"/>
  <c r="G19" i="31"/>
  <c r="I19" i="31"/>
  <c r="G23" i="31"/>
  <c r="G21" i="31"/>
  <c r="I21" i="31"/>
  <c r="J443" i="28"/>
  <c r="J448" i="28"/>
  <c r="J451" i="28"/>
  <c r="J441" i="28"/>
  <c r="I438" i="28"/>
  <c r="I436" i="28"/>
  <c r="I434" i="28"/>
  <c r="I432" i="28"/>
  <c r="J437" i="28"/>
  <c r="J435" i="28"/>
  <c r="J433" i="28"/>
  <c r="J431" i="28"/>
  <c r="J421" i="28"/>
  <c r="J416" i="28"/>
  <c r="J393" i="28"/>
  <c r="J388" i="28"/>
  <c r="J385" i="28"/>
  <c r="J375" i="28"/>
  <c r="J370" i="28"/>
  <c r="J368" i="28"/>
  <c r="J363" i="28"/>
  <c r="J358" i="28"/>
  <c r="J439" i="28"/>
  <c r="J350" i="28"/>
  <c r="J352" i="28"/>
  <c r="J340" i="28"/>
  <c r="I340" i="28"/>
  <c r="J333" i="28"/>
  <c r="J317" i="28"/>
  <c r="J292" i="28"/>
  <c r="J289" i="28"/>
  <c r="J286" i="28"/>
  <c r="J282" i="28"/>
  <c r="J271" i="28"/>
  <c r="J264" i="28"/>
  <c r="J254" i="28"/>
  <c r="J247" i="28"/>
  <c r="J245" i="28"/>
  <c r="I243" i="28"/>
  <c r="I242" i="28"/>
  <c r="I241" i="28"/>
  <c r="J241" i="28"/>
  <c r="J230" i="28"/>
  <c r="J226" i="28"/>
  <c r="J204" i="28"/>
  <c r="J190" i="28"/>
  <c r="J185" i="28"/>
  <c r="J189" i="28"/>
  <c r="J183" i="28"/>
  <c r="I204" i="28"/>
  <c r="J137" i="28"/>
  <c r="I137" i="28"/>
  <c r="J132" i="28"/>
  <c r="I135" i="28"/>
  <c r="I134" i="28"/>
  <c r="J134" i="28"/>
  <c r="I136" i="28"/>
  <c r="J136" i="28"/>
  <c r="J119" i="28"/>
  <c r="J116" i="28"/>
  <c r="J115" i="28"/>
  <c r="I132" i="28"/>
  <c r="G13" i="31"/>
  <c r="G6" i="31"/>
  <c r="I6" i="31"/>
  <c r="I122" i="24"/>
  <c r="J119" i="24"/>
  <c r="J116" i="24"/>
  <c r="I116" i="24"/>
  <c r="J24" i="24"/>
  <c r="I24" i="24"/>
  <c r="J115" i="27"/>
  <c r="J104" i="27"/>
  <c r="J53" i="27"/>
  <c r="J44" i="27"/>
  <c r="J39" i="27"/>
  <c r="J34" i="27"/>
  <c r="J29" i="27"/>
  <c r="J24" i="27"/>
  <c r="J19" i="27"/>
  <c r="J14" i="27"/>
  <c r="J9" i="27"/>
  <c r="J4" i="27"/>
  <c r="J55" i="27"/>
  <c r="I37" i="26"/>
  <c r="I35" i="26"/>
  <c r="I33" i="26"/>
  <c r="I30" i="26"/>
  <c r="I16" i="26"/>
  <c r="I10" i="26"/>
  <c r="I4" i="26"/>
  <c r="I15" i="26"/>
  <c r="I40" i="26"/>
  <c r="K205" i="25"/>
  <c r="K204" i="25"/>
  <c r="K203" i="25"/>
  <c r="K207" i="25"/>
  <c r="K201" i="25"/>
  <c r="K199" i="25"/>
  <c r="K196" i="25"/>
  <c r="K195" i="25"/>
  <c r="K198" i="25"/>
  <c r="K197" i="25"/>
  <c r="K194" i="25"/>
  <c r="K200" i="25"/>
  <c r="K193" i="25"/>
  <c r="K189" i="25"/>
  <c r="K191" i="25"/>
  <c r="K190" i="25"/>
  <c r="K188" i="25"/>
  <c r="K187" i="25"/>
  <c r="K186" i="25"/>
  <c r="K184" i="25"/>
  <c r="K181" i="25"/>
  <c r="K179" i="25"/>
  <c r="K177" i="25"/>
  <c r="K183" i="25"/>
  <c r="K175" i="25"/>
  <c r="K136" i="25"/>
  <c r="K133" i="25"/>
  <c r="K170" i="25"/>
  <c r="K171" i="25"/>
  <c r="K172" i="25"/>
  <c r="K169" i="25"/>
  <c r="K168" i="25"/>
  <c r="K173" i="25"/>
  <c r="K167" i="25"/>
  <c r="K156" i="25"/>
  <c r="K164" i="25"/>
  <c r="K165" i="25"/>
  <c r="K163" i="25"/>
  <c r="K162" i="25"/>
  <c r="K161" i="25"/>
  <c r="K160" i="25"/>
  <c r="K159" i="25"/>
  <c r="K158" i="25"/>
  <c r="K157" i="25"/>
  <c r="K153" i="25"/>
  <c r="K154" i="25"/>
  <c r="K152" i="25"/>
  <c r="K151" i="25"/>
  <c r="K150" i="25"/>
  <c r="K147" i="25"/>
  <c r="K144" i="25"/>
  <c r="K143" i="25"/>
  <c r="K142" i="25"/>
  <c r="K141" i="25"/>
  <c r="K140" i="25"/>
  <c r="K139" i="25"/>
  <c r="K145" i="25"/>
  <c r="K131" i="25"/>
  <c r="K129" i="25"/>
  <c r="K124" i="25"/>
  <c r="K119" i="25"/>
  <c r="K117" i="25"/>
  <c r="K116" i="25"/>
  <c r="K115" i="25"/>
  <c r="K118" i="25"/>
  <c r="K111" i="25"/>
  <c r="K112" i="25"/>
  <c r="K113" i="25"/>
  <c r="K110" i="25"/>
  <c r="K108" i="25"/>
  <c r="K109" i="25"/>
  <c r="K114" i="25"/>
  <c r="K106" i="25"/>
  <c r="K104" i="25"/>
  <c r="K98" i="25"/>
  <c r="K99" i="25"/>
  <c r="K100" i="25"/>
  <c r="K101" i="25"/>
  <c r="K102" i="25"/>
  <c r="K97" i="25"/>
  <c r="K103" i="25"/>
  <c r="K93" i="25"/>
  <c r="K91" i="25"/>
  <c r="K90" i="25"/>
  <c r="K89" i="25"/>
  <c r="K92" i="25"/>
  <c r="K78" i="25"/>
  <c r="K79" i="25"/>
  <c r="K80" i="25"/>
  <c r="K81" i="25"/>
  <c r="K82" i="25"/>
  <c r="K83" i="25"/>
  <c r="K84" i="25"/>
  <c r="K85" i="25"/>
  <c r="K86" i="25"/>
  <c r="K87" i="25"/>
  <c r="K77" i="25"/>
  <c r="K75" i="25"/>
  <c r="K73" i="25"/>
  <c r="K71" i="25"/>
  <c r="K72" i="25"/>
  <c r="K74" i="25"/>
  <c r="K76" i="25"/>
  <c r="K67" i="25"/>
  <c r="K68" i="25"/>
  <c r="K69" i="25"/>
  <c r="K70" i="25"/>
  <c r="K65" i="25"/>
  <c r="K66" i="25"/>
  <c r="K63" i="25"/>
  <c r="K64" i="25"/>
  <c r="K61" i="25"/>
  <c r="K62" i="25"/>
  <c r="K60" i="25"/>
  <c r="K88" i="25"/>
  <c r="K6" i="25"/>
  <c r="K4" i="25"/>
  <c r="K8" i="25"/>
  <c r="K55" i="25"/>
  <c r="K56" i="25"/>
  <c r="K57" i="25"/>
  <c r="K54" i="25"/>
  <c r="K53" i="25"/>
  <c r="K49" i="25"/>
  <c r="K50" i="25"/>
  <c r="K48" i="25"/>
  <c r="K47" i="25"/>
  <c r="K46" i="25"/>
  <c r="K51" i="25"/>
  <c r="K44" i="25"/>
  <c r="K43" i="25"/>
  <c r="K42" i="25"/>
  <c r="K41" i="25"/>
  <c r="K38" i="25"/>
  <c r="K37" i="25"/>
  <c r="K36" i="25"/>
  <c r="K35" i="25"/>
  <c r="K34" i="25"/>
  <c r="K33" i="25"/>
  <c r="K30" i="25"/>
  <c r="K17" i="25"/>
  <c r="K18" i="25"/>
  <c r="K19" i="25"/>
  <c r="K20" i="25"/>
  <c r="K21" i="25"/>
  <c r="K22" i="25"/>
  <c r="K23" i="25"/>
  <c r="K24" i="25"/>
  <c r="K25" i="25"/>
  <c r="K26" i="25"/>
  <c r="K27" i="25"/>
  <c r="K28" i="25"/>
  <c r="K29" i="25"/>
  <c r="K16" i="25"/>
  <c r="K13" i="25"/>
  <c r="K14" i="25"/>
  <c r="K15" i="25"/>
  <c r="K12" i="25"/>
  <c r="K11" i="25"/>
  <c r="K10" i="25"/>
  <c r="K32" i="25"/>
  <c r="K45" i="25"/>
  <c r="K59" i="25"/>
  <c r="K155" i="25"/>
  <c r="K192" i="25"/>
  <c r="K40" i="25"/>
  <c r="I63" i="19"/>
  <c r="I29" i="19"/>
  <c r="I30" i="19"/>
  <c r="K146" i="25"/>
  <c r="K105" i="25"/>
  <c r="K96" i="25"/>
  <c r="K52" i="25"/>
  <c r="K58" i="25"/>
  <c r="K39" i="25"/>
  <c r="K31" i="25"/>
  <c r="J130" i="24"/>
  <c r="I130" i="24"/>
  <c r="J128" i="24"/>
  <c r="I128" i="24"/>
  <c r="I112" i="24"/>
  <c r="J112" i="24"/>
  <c r="J109" i="24"/>
  <c r="I109" i="24"/>
  <c r="J93" i="24"/>
  <c r="J88" i="24"/>
  <c r="J78" i="24"/>
  <c r="I78" i="24"/>
  <c r="J75" i="24"/>
  <c r="I75" i="24"/>
  <c r="J55" i="24"/>
  <c r="I55" i="24"/>
  <c r="J60" i="24"/>
  <c r="I60" i="24"/>
  <c r="J65" i="24"/>
  <c r="I65" i="24"/>
  <c r="J70" i="24"/>
  <c r="I70" i="24"/>
  <c r="J50" i="24"/>
  <c r="I50" i="24"/>
  <c r="J4" i="24"/>
  <c r="I4" i="24"/>
  <c r="I96" i="23"/>
  <c r="I94" i="23"/>
  <c r="I90" i="23"/>
  <c r="I88" i="23"/>
  <c r="I77" i="23"/>
  <c r="I78" i="23"/>
  <c r="I79" i="23"/>
  <c r="I80" i="23"/>
  <c r="I76" i="23"/>
  <c r="I85" i="23"/>
  <c r="I83" i="23"/>
  <c r="I81" i="23"/>
  <c r="I92" i="23"/>
  <c r="I91" i="23"/>
  <c r="I73" i="23"/>
  <c r="I71" i="23"/>
  <c r="I69" i="23"/>
  <c r="I24" i="23"/>
  <c r="I25" i="23"/>
  <c r="I26" i="23"/>
  <c r="I27" i="23"/>
  <c r="I28" i="23"/>
  <c r="I29" i="23"/>
  <c r="I30" i="23"/>
  <c r="I31" i="23"/>
  <c r="I32" i="23"/>
  <c r="I33" i="23"/>
  <c r="I34" i="23"/>
  <c r="I35" i="23"/>
  <c r="I36" i="23"/>
  <c r="I37" i="23"/>
  <c r="I23" i="23"/>
  <c r="I63" i="23"/>
  <c r="I62" i="23"/>
  <c r="I59" i="23"/>
  <c r="I60" i="23"/>
  <c r="I61" i="23"/>
  <c r="I58" i="23"/>
  <c r="I56" i="23"/>
  <c r="I51" i="23"/>
  <c r="I52" i="23"/>
  <c r="I53" i="23"/>
  <c r="I54" i="23"/>
  <c r="I55" i="23"/>
  <c r="I48" i="23"/>
  <c r="I75" i="23"/>
  <c r="I50" i="23"/>
  <c r="I46" i="23"/>
  <c r="I45" i="23"/>
  <c r="I44" i="23"/>
  <c r="I42" i="23"/>
  <c r="I40" i="23"/>
  <c r="I39" i="23"/>
  <c r="I38" i="23"/>
  <c r="I21" i="23"/>
  <c r="I6" i="23"/>
  <c r="I8" i="23"/>
  <c r="I10" i="23"/>
  <c r="I12" i="23"/>
  <c r="I14" i="23"/>
  <c r="I16" i="23"/>
  <c r="I18" i="23"/>
  <c r="I4" i="23"/>
  <c r="I20" i="23"/>
  <c r="J113" i="22"/>
  <c r="I113" i="22"/>
  <c r="J137" i="22"/>
  <c r="I137" i="22"/>
  <c r="J48" i="22"/>
  <c r="I48" i="22"/>
  <c r="J16" i="22"/>
  <c r="J52" i="21"/>
  <c r="I52" i="21"/>
  <c r="J85" i="21"/>
  <c r="I85" i="21"/>
  <c r="J4" i="21"/>
  <c r="I4" i="21"/>
  <c r="I87" i="23"/>
  <c r="K144" i="20"/>
  <c r="K148" i="20"/>
  <c r="K185" i="20"/>
  <c r="K187" i="20"/>
  <c r="K188" i="20"/>
  <c r="K191" i="20"/>
  <c r="K112" i="20"/>
  <c r="K117" i="20"/>
  <c r="K124" i="20"/>
  <c r="K193" i="20"/>
  <c r="E18" i="2"/>
  <c r="K182" i="20"/>
  <c r="K184" i="20"/>
  <c r="K179" i="20"/>
  <c r="K181" i="20"/>
  <c r="K176" i="20"/>
  <c r="K178" i="20"/>
  <c r="K192" i="20"/>
  <c r="K153" i="20"/>
  <c r="K155" i="20"/>
  <c r="K151" i="20"/>
  <c r="K141" i="20"/>
  <c r="K143" i="20"/>
  <c r="K138" i="20"/>
  <c r="K140" i="20"/>
  <c r="K136" i="20"/>
  <c r="K135" i="20"/>
  <c r="K134" i="20"/>
  <c r="K133" i="20"/>
  <c r="K103" i="20"/>
  <c r="K94" i="20"/>
  <c r="K95" i="20"/>
  <c r="K96" i="20"/>
  <c r="K97" i="20"/>
  <c r="K98" i="20"/>
  <c r="K99" i="20"/>
  <c r="K100" i="20"/>
  <c r="K101" i="20"/>
  <c r="K102" i="20"/>
  <c r="K93" i="20"/>
  <c r="K104" i="20"/>
  <c r="K11" i="20"/>
  <c r="K10" i="20"/>
  <c r="K9"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26" i="20"/>
  <c r="K125" i="20"/>
  <c r="K126" i="20"/>
  <c r="K127" i="20"/>
  <c r="K132" i="20"/>
  <c r="K149" i="20"/>
  <c r="K128" i="20"/>
  <c r="K129" i="20"/>
  <c r="K130" i="20"/>
  <c r="K131" i="20"/>
  <c r="K91" i="20"/>
  <c r="K137" i="20"/>
  <c r="K7" i="20"/>
  <c r="K121" i="20"/>
  <c r="K123" i="20"/>
  <c r="K108" i="20"/>
  <c r="K110" i="20"/>
  <c r="K105" i="20"/>
  <c r="K107" i="20"/>
  <c r="K23" i="20"/>
  <c r="K25" i="20"/>
  <c r="K19" i="20"/>
  <c r="K21" i="20"/>
  <c r="K14" i="20"/>
  <c r="K18" i="20"/>
  <c r="K12" i="20"/>
  <c r="K5" i="20"/>
  <c r="K6" i="20"/>
  <c r="K4" i="20"/>
  <c r="K8" i="20"/>
  <c r="I72" i="19"/>
  <c r="I71" i="19"/>
  <c r="I70" i="19"/>
  <c r="I69" i="19"/>
  <c r="I64" i="19"/>
  <c r="I65" i="19"/>
  <c r="I66" i="19"/>
  <c r="I67" i="19"/>
  <c r="I68" i="19"/>
  <c r="I62" i="19"/>
  <c r="I60" i="19"/>
  <c r="I59" i="19"/>
  <c r="I58" i="19"/>
  <c r="I54" i="19"/>
  <c r="I53" i="19"/>
  <c r="I52" i="19"/>
  <c r="I51" i="19"/>
  <c r="I50" i="19"/>
  <c r="I47" i="19"/>
  <c r="I48" i="19"/>
  <c r="I49" i="19"/>
  <c r="I46" i="19"/>
  <c r="I44" i="19"/>
  <c r="I42" i="19"/>
  <c r="I43" i="19"/>
  <c r="I45" i="19"/>
  <c r="I35" i="19"/>
  <c r="I36" i="19"/>
  <c r="I37" i="19"/>
  <c r="I38" i="19"/>
  <c r="I39" i="19"/>
  <c r="I40" i="19"/>
  <c r="I34" i="19"/>
  <c r="I31" i="19"/>
  <c r="I27" i="19"/>
  <c r="I26" i="19"/>
  <c r="I21" i="19"/>
  <c r="I22" i="19"/>
  <c r="I23" i="19"/>
  <c r="I24" i="19"/>
  <c r="I25" i="19"/>
  <c r="I20" i="19"/>
  <c r="I28" i="19"/>
  <c r="I19" i="19"/>
  <c r="I17" i="19"/>
  <c r="I55" i="19"/>
  <c r="I32" i="19"/>
  <c r="I14" i="19"/>
  <c r="I15" i="19"/>
  <c r="I16" i="19"/>
  <c r="I13" i="19"/>
  <c r="I11" i="19"/>
  <c r="I18" i="19"/>
  <c r="I9" i="19"/>
  <c r="I6" i="19"/>
  <c r="I4" i="19"/>
  <c r="D25" i="5"/>
  <c r="D21" i="3"/>
  <c r="I23" i="31"/>
  <c r="I10" i="31"/>
  <c r="I13" i="31"/>
  <c r="I4" i="31"/>
  <c r="I447" i="28"/>
  <c r="I446" i="28"/>
  <c r="I422" i="28"/>
  <c r="I419" i="28"/>
  <c r="I409" i="28"/>
  <c r="J409" i="28"/>
  <c r="I402" i="28"/>
  <c r="I399" i="28"/>
  <c r="I398" i="28"/>
  <c r="I397" i="28"/>
  <c r="I396" i="28"/>
  <c r="J396" i="28"/>
  <c r="J401" i="28"/>
  <c r="I395" i="28"/>
  <c r="I392" i="28"/>
  <c r="I387" i="28"/>
  <c r="I378" i="28"/>
  <c r="J378" i="28"/>
  <c r="I377" i="28"/>
  <c r="I374" i="28"/>
  <c r="I369" i="28"/>
  <c r="I367" i="28"/>
  <c r="I362" i="28"/>
  <c r="I361" i="28"/>
  <c r="J360" i="28"/>
  <c r="I360" i="28"/>
  <c r="I359" i="28"/>
  <c r="I357" i="28"/>
  <c r="I356" i="28"/>
  <c r="J402" i="28"/>
  <c r="J420" i="28"/>
  <c r="I355" i="28"/>
  <c r="J355" i="28"/>
  <c r="J348" i="28"/>
  <c r="I348" i="28"/>
  <c r="J346" i="28"/>
  <c r="I346" i="28"/>
  <c r="J344" i="28"/>
  <c r="I344" i="28"/>
  <c r="J342" i="28"/>
  <c r="I335" i="28"/>
  <c r="J335" i="28"/>
  <c r="I334" i="28"/>
  <c r="I327" i="28"/>
  <c r="J327" i="28"/>
  <c r="J338" i="28"/>
  <c r="I320" i="28"/>
  <c r="I318" i="28"/>
  <c r="I317" i="28"/>
  <c r="I311" i="28"/>
  <c r="J311" i="28"/>
  <c r="J319" i="28"/>
  <c r="I303" i="28"/>
  <c r="I299" i="28"/>
  <c r="J299" i="28"/>
  <c r="I298" i="28"/>
  <c r="I293" i="28"/>
  <c r="I291" i="28"/>
  <c r="I288" i="28"/>
  <c r="I284" i="28"/>
  <c r="I281" i="28"/>
  <c r="I280" i="28"/>
  <c r="I279" i="28"/>
  <c r="J278" i="28"/>
  <c r="I278" i="28"/>
  <c r="I273" i="28"/>
  <c r="J273" i="28"/>
  <c r="I272" i="28"/>
  <c r="I271" i="28"/>
  <c r="I266" i="28"/>
  <c r="J266" i="28"/>
  <c r="I265" i="28"/>
  <c r="I264" i="28"/>
  <c r="I256" i="28"/>
  <c r="J256" i="28"/>
  <c r="J263" i="28"/>
  <c r="I253" i="28"/>
  <c r="I252" i="28"/>
  <c r="I251" i="28"/>
  <c r="J250" i="28"/>
  <c r="I250" i="28"/>
  <c r="I248" i="28"/>
  <c r="I246" i="28"/>
  <c r="I244" i="28"/>
  <c r="I234" i="28"/>
  <c r="J234" i="28"/>
  <c r="J249" i="28"/>
  <c r="J339" i="28"/>
  <c r="J353" i="28"/>
  <c r="I232" i="28"/>
  <c r="I219" i="28"/>
  <c r="J219" i="28"/>
  <c r="I209" i="28"/>
  <c r="I205" i="28"/>
  <c r="I197" i="28"/>
  <c r="J192" i="28"/>
  <c r="I192" i="28"/>
  <c r="I342" i="28"/>
  <c r="J320" i="28"/>
  <c r="J233" i="28"/>
  <c r="I178" i="28"/>
  <c r="I172" i="28"/>
  <c r="J172" i="28"/>
  <c r="I168" i="28"/>
  <c r="I162" i="28"/>
  <c r="J162" i="28"/>
  <c r="I158" i="28"/>
  <c r="I152" i="28"/>
  <c r="J152" i="28"/>
  <c r="I148" i="28"/>
  <c r="I142" i="28"/>
  <c r="J142" i="28"/>
  <c r="J182" i="28"/>
  <c r="I122" i="28"/>
  <c r="I88" i="28"/>
  <c r="J88" i="28"/>
  <c r="I67" i="28"/>
  <c r="J67" i="28"/>
  <c r="I36" i="28"/>
  <c r="J37" i="28"/>
  <c r="J118" i="28"/>
  <c r="I115" i="27"/>
  <c r="I107" i="27"/>
  <c r="J107" i="27"/>
  <c r="J114" i="27"/>
  <c r="I106" i="27"/>
  <c r="I105" i="27"/>
  <c r="I104" i="27"/>
  <c r="I100" i="27"/>
  <c r="J100" i="27"/>
  <c r="I87" i="27"/>
  <c r="I82" i="27"/>
  <c r="J82" i="27"/>
  <c r="I63" i="27"/>
  <c r="J63" i="27"/>
  <c r="I56" i="27"/>
  <c r="I54" i="27"/>
  <c r="I53" i="27"/>
  <c r="I48" i="27"/>
  <c r="J48" i="27"/>
  <c r="H28" i="26"/>
  <c r="I18" i="26"/>
  <c r="I12" i="26"/>
  <c r="I39" i="26"/>
  <c r="J121" i="28"/>
  <c r="J56" i="27"/>
  <c r="J81" i="27"/>
  <c r="J87" i="27"/>
  <c r="I6" i="26"/>
  <c r="I181" i="24"/>
  <c r="I175" i="24"/>
  <c r="J175" i="24"/>
  <c r="I160" i="24"/>
  <c r="I153" i="24"/>
  <c r="J153" i="24"/>
  <c r="I147" i="24"/>
  <c r="I140" i="24"/>
  <c r="J140" i="24"/>
  <c r="I132" i="24"/>
  <c r="I126" i="24"/>
  <c r="J126" i="24"/>
  <c r="I105" i="24"/>
  <c r="J105" i="24"/>
  <c r="I99" i="24"/>
  <c r="I96" i="24"/>
  <c r="I95" i="24"/>
  <c r="J95" i="24"/>
  <c r="I88" i="24"/>
  <c r="I83" i="24"/>
  <c r="J83" i="24"/>
  <c r="J98" i="24"/>
  <c r="I48" i="24"/>
  <c r="I43" i="24"/>
  <c r="J43" i="24"/>
  <c r="I37" i="24"/>
  <c r="I32" i="24"/>
  <c r="I27" i="24"/>
  <c r="I18" i="24"/>
  <c r="J18" i="24"/>
  <c r="I13" i="24"/>
  <c r="J13" i="24"/>
  <c r="I7" i="24"/>
  <c r="J7" i="24"/>
  <c r="I93" i="23"/>
  <c r="I98" i="23"/>
  <c r="I142" i="22"/>
  <c r="I131" i="22"/>
  <c r="J131" i="22"/>
  <c r="I118" i="22"/>
  <c r="J118" i="22"/>
  <c r="I106" i="22"/>
  <c r="I100" i="22"/>
  <c r="I92" i="22"/>
  <c r="I84" i="22"/>
  <c r="I78" i="22"/>
  <c r="I63" i="22"/>
  <c r="J63" i="22"/>
  <c r="I51" i="22"/>
  <c r="J51" i="22"/>
  <c r="I37" i="22"/>
  <c r="I23" i="22"/>
  <c r="J23" i="22"/>
  <c r="I18" i="22"/>
  <c r="I4" i="22"/>
  <c r="J4" i="22"/>
  <c r="I124" i="21"/>
  <c r="J124" i="21"/>
  <c r="I116" i="21"/>
  <c r="J116" i="21"/>
  <c r="I108" i="21"/>
  <c r="I101" i="21"/>
  <c r="I92" i="21"/>
  <c r="I87" i="21"/>
  <c r="J87" i="21"/>
  <c r="I76" i="21"/>
  <c r="I66" i="21"/>
  <c r="J66" i="21"/>
  <c r="J100" i="21"/>
  <c r="I55" i="21"/>
  <c r="I45" i="21"/>
  <c r="J45" i="21"/>
  <c r="I35" i="21"/>
  <c r="I23" i="21"/>
  <c r="I14" i="21"/>
  <c r="J14" i="21"/>
  <c r="I6" i="21"/>
  <c r="J6" i="21"/>
  <c r="J34" i="21"/>
  <c r="K173" i="20"/>
  <c r="K172" i="20"/>
  <c r="K171" i="20"/>
  <c r="K170" i="20"/>
  <c r="K169" i="20"/>
  <c r="K174" i="20"/>
  <c r="K167" i="20"/>
  <c r="K166" i="20"/>
  <c r="K165" i="20"/>
  <c r="K164" i="20"/>
  <c r="K163" i="20"/>
  <c r="K168" i="20"/>
  <c r="K161" i="20"/>
  <c r="K160" i="20"/>
  <c r="K159" i="20"/>
  <c r="K158" i="20"/>
  <c r="K157" i="20"/>
  <c r="K162" i="20"/>
  <c r="K175"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J35" i="21"/>
  <c r="J101" i="21"/>
  <c r="J37" i="24"/>
  <c r="J48" i="24"/>
  <c r="J100" i="22"/>
  <c r="J112" i="22"/>
  <c r="J55" i="21"/>
  <c r="J76" i="21"/>
  <c r="J78" i="22"/>
  <c r="J6" i="24"/>
  <c r="J32" i="24"/>
  <c r="J99" i="24"/>
  <c r="J111" i="24"/>
  <c r="J147" i="24"/>
  <c r="J160" i="24"/>
  <c r="J37" i="22"/>
  <c r="J84" i="22"/>
  <c r="J108" i="21"/>
  <c r="J92" i="21"/>
  <c r="K156" i="20"/>
  <c r="I41" i="19"/>
  <c r="I61" i="19"/>
  <c r="H51" i="5"/>
  <c r="E13" i="2"/>
  <c r="J77" i="24"/>
  <c r="H46" i="5"/>
  <c r="E12" i="2"/>
  <c r="H34" i="5"/>
  <c r="E11" i="2"/>
  <c r="H21" i="4"/>
  <c r="H42" i="4"/>
  <c r="H52" i="4"/>
  <c r="E7" i="2"/>
  <c r="H22" i="3"/>
  <c r="H36" i="3"/>
  <c r="E4" i="2"/>
  <c r="E29" i="2"/>
  <c r="C29" i="2"/>
  <c r="E28" i="2"/>
  <c r="H10" i="3"/>
  <c r="H51" i="3"/>
  <c r="C3" i="2"/>
  <c r="C28" i="2"/>
  <c r="E3" i="2"/>
  <c r="H57" i="4"/>
  <c r="E8" i="2"/>
  <c r="J23" i="21"/>
  <c r="J18" i="22"/>
  <c r="J92" i="22"/>
  <c r="J106" i="22"/>
  <c r="J142" i="22"/>
  <c r="J27" i="24"/>
  <c r="J132" i="24"/>
  <c r="J181" i="24"/>
  <c r="J122" i="28"/>
  <c r="J130" i="28"/>
  <c r="J303" i="28"/>
  <c r="I119" i="24"/>
  <c r="J122" i="24"/>
  <c r="J139" i="24"/>
  <c r="E6" i="2"/>
  <c r="J131" i="28"/>
  <c r="I57" i="19"/>
  <c r="J440" i="28"/>
  <c r="J452" i="28"/>
  <c r="J310" i="28"/>
  <c r="K92" i="20"/>
  <c r="K111" i="20"/>
  <c r="K13" i="20"/>
  <c r="K22" i="20"/>
  <c r="K166" i="25"/>
  <c r="I32" i="26"/>
  <c r="E24" i="2"/>
  <c r="J285" i="28"/>
  <c r="J205" i="28"/>
  <c r="J213" i="28"/>
  <c r="C6" i="2"/>
  <c r="J54" i="21"/>
  <c r="J117" i="27"/>
  <c r="E25" i="2"/>
  <c r="C25" i="2"/>
  <c r="H52" i="5"/>
  <c r="C9" i="2"/>
  <c r="E14" i="2"/>
  <c r="E16" i="2"/>
  <c r="E32" i="2"/>
  <c r="E9" i="2"/>
  <c r="I25" i="31"/>
  <c r="E30" i="2"/>
  <c r="J50" i="22"/>
  <c r="J148" i="22"/>
  <c r="J17" i="24"/>
  <c r="J190" i="24"/>
  <c r="E22" i="2"/>
  <c r="I73" i="19"/>
  <c r="J139" i="28"/>
  <c r="J140" i="28"/>
  <c r="J132" i="21"/>
  <c r="J133" i="21"/>
  <c r="E19" i="2"/>
  <c r="J22" i="22"/>
  <c r="J149" i="22"/>
  <c r="E20" i="2"/>
  <c r="J99" i="22"/>
  <c r="J31" i="24"/>
  <c r="J189" i="24"/>
  <c r="I8" i="19"/>
  <c r="I74" i="19"/>
  <c r="E17" i="2"/>
  <c r="C17" i="2"/>
  <c r="I47" i="23"/>
  <c r="I99" i="23"/>
  <c r="E21" i="2"/>
  <c r="K107" i="25"/>
  <c r="K174" i="25"/>
  <c r="K206" i="25"/>
  <c r="K209" i="25"/>
  <c r="I190" i="28"/>
  <c r="J202" i="28"/>
  <c r="J203" i="28"/>
  <c r="J214" i="28"/>
  <c r="K210" i="25"/>
  <c r="E23" i="2"/>
  <c r="J453" i="28"/>
  <c r="E26" i="2"/>
  <c r="C26" i="2"/>
  <c r="C22" i="2"/>
  <c r="E27" i="2"/>
  <c r="C30" i="2"/>
  <c r="E31" i="2"/>
</calcChain>
</file>

<file path=xl/comments1.xml><?xml version="1.0" encoding="utf-8"?>
<comments xmlns="http://schemas.openxmlformats.org/spreadsheetml/2006/main">
  <authors>
    <author>lucho</author>
    <author>Juan</author>
  </authors>
  <commentList>
    <comment ref="D11" authorId="0" shapeId="0">
      <text>
        <r>
          <rPr>
            <b/>
            <sz val="9"/>
            <color indexed="81"/>
            <rFont val="Tahoma"/>
            <family val="2"/>
          </rPr>
          <t>La suma de los ponderadores debe ser igual a 1. Verificar en la celda D21 que se cumple con esta regla, una vez diligenciada la información.</t>
        </r>
      </text>
    </comment>
    <comment ref="E11" authorId="0" shapeId="0">
      <text>
        <r>
          <rPr>
            <b/>
            <sz val="9"/>
            <color indexed="81"/>
            <rFont val="Tahoma"/>
            <family val="2"/>
          </rPr>
          <t>Especificar a que fase corresponde el avance de cada POMCA, en la casilla de observaciones</t>
        </r>
      </text>
    </comment>
    <comment ref="E12" authorId="0" shapeId="0">
      <text>
        <r>
          <rPr>
            <b/>
            <sz val="9"/>
            <color indexed="81"/>
            <rFont val="Tahoma"/>
            <family val="2"/>
          </rPr>
          <t xml:space="preserve">Ver Res 667 pág 11 HM del indicador   </t>
        </r>
      </text>
    </comment>
    <comment ref="E23" authorId="0" shapeId="0">
      <text>
        <r>
          <rPr>
            <b/>
            <sz val="9"/>
            <color indexed="81"/>
            <rFont val="Tahoma"/>
            <family val="2"/>
          </rPr>
          <t>Especificar a que fase corresponde el avance de cada PORH, en la casilla de observaciones</t>
        </r>
      </text>
    </comment>
    <comment ref="E24" authorId="0" shapeId="0">
      <text>
        <r>
          <rPr>
            <b/>
            <sz val="9"/>
            <color indexed="81"/>
            <rFont val="Tahoma"/>
            <family val="2"/>
          </rPr>
          <t>Se reporta el avance teniendo en cuenta las fases establecidas en la Guía Técnica de Formulación de PORH, y su ponderación en analogía con los POMCA</t>
        </r>
      </text>
    </comment>
    <comment ref="C26" authorId="0" shapeId="0">
      <text>
        <r>
          <rPr>
            <b/>
            <sz val="9"/>
            <color indexed="81"/>
            <rFont val="Tahoma"/>
            <family val="2"/>
          </rPr>
          <t>En la casilla de observaciones especificar a que tipo de áreas pertenecen (declaradas, homologadas o recategorizadas)</t>
        </r>
      </text>
    </comment>
    <comment ref="E27" authorId="1" shapeId="0">
      <text>
        <r>
          <rPr>
            <b/>
            <sz val="9"/>
            <color indexed="81"/>
            <rFont val="Tahoma"/>
            <family val="2"/>
          </rPr>
          <t>El valor a reportar es en hectáreas</t>
        </r>
      </text>
    </comment>
    <comment ref="E33" authorId="0" shapeId="0">
      <text>
        <r>
          <rPr>
            <b/>
            <sz val="9"/>
            <color indexed="81"/>
            <rFont val="Tahoma"/>
            <family val="2"/>
          </rPr>
          <t>Para el reporte del indicador Porcentaje de páramos delimitados por el Ministerio, con zonificación y régimen de usos adoptados por la CAR, se deberá tener en cuenta la delimitación del páramo a escala 1:25.000 por el MADS y suministro de los lineamientos para el proceso de zonificación y régimen de usos (Ley 1753/2015)</t>
        </r>
      </text>
    </comment>
    <comment ref="E37" authorId="0" shapeId="0">
      <text>
        <r>
          <rPr>
            <b/>
            <sz val="9"/>
            <color indexed="81"/>
            <rFont val="Tahoma"/>
            <family val="2"/>
          </rPr>
          <t xml:space="preserve">En el reporte del Indicador Porcentaje de redes y estaciones de monitoreo en operación, no se tiene en cuenta lo referente al seguimiento de calidad del aire dado que en el convenio 399 de 2015 entre el MADS y ASOCAR, una de las conclusiones fue “No incorporar indicadores cuyo reporte no sea necesario para todas las CAR por los énfasis regionales, ej.: monitoreo de la calidad de aire”. </t>
        </r>
      </text>
    </comment>
  </commentList>
</comments>
</file>

<file path=xl/comments10.xml><?xml version="1.0" encoding="utf-8"?>
<comments xmlns="http://schemas.openxmlformats.org/spreadsheetml/2006/main">
  <authors>
    <author>lucho</author>
  </authors>
  <commentList>
    <comment ref="D3" authorId="0" shapeId="0">
      <text>
        <r>
          <rPr>
            <b/>
            <sz val="9"/>
            <color indexed="81"/>
            <rFont val="Tahoma"/>
            <family val="2"/>
          </rPr>
          <t>Ponderaciones, tomadas de Ficha técnica de Archivo General de la Nación-AGN</t>
        </r>
      </text>
    </comment>
  </commentList>
</comments>
</file>

<file path=xl/comments11.xml><?xml version="1.0" encoding="utf-8"?>
<comments xmlns="http://schemas.openxmlformats.org/spreadsheetml/2006/main">
  <authors>
    <author>Juan</author>
  </authors>
  <commentList>
    <comment ref="B3" authorId="0" shapeId="0">
      <text>
        <r>
          <rPr>
            <b/>
            <sz val="9"/>
            <color indexed="81"/>
            <rFont val="Tahoma"/>
            <family val="2"/>
          </rPr>
          <t>La información reportada, es tomada del FURAG Versión 2016 DAFP</t>
        </r>
      </text>
    </comment>
  </commentList>
</comments>
</file>

<file path=xl/comments12.xml><?xml version="1.0" encoding="utf-8"?>
<comments xmlns="http://schemas.openxmlformats.org/spreadsheetml/2006/main">
  <authors>
    <author>lucho</author>
  </authors>
  <commentList>
    <comment ref="B3" authorId="0" shapeId="0">
      <text>
        <r>
          <rPr>
            <b/>
            <sz val="9"/>
            <color indexed="81"/>
            <rFont val="Tahoma"/>
            <family val="2"/>
          </rPr>
          <t>La información reportada, se tomó como referencia del FURAG Versión 2016</t>
        </r>
      </text>
    </comment>
  </commentList>
</comments>
</file>

<file path=xl/comments13.xml><?xml version="1.0" encoding="utf-8"?>
<comments xmlns="http://schemas.openxmlformats.org/spreadsheetml/2006/main">
  <authors>
    <author>lucho</author>
    <author>Edna Rocio Vanegas Rodriguez</author>
    <author>Juan</author>
  </authors>
  <commentList>
    <comment ref="A4" authorId="0" shapeId="0">
      <text>
        <r>
          <rPr>
            <b/>
            <sz val="9"/>
            <color indexed="81"/>
            <rFont val="Tahoma"/>
            <family val="2"/>
          </rPr>
          <t>La información reportada, es tomada en base a la Ficha de Gobierno en línea de MINTIC</t>
        </r>
      </text>
    </comment>
    <comment ref="E29" authorId="1" shapeId="0">
      <text>
        <r>
          <rPr>
            <b/>
            <sz val="9"/>
            <color indexed="81"/>
            <rFont val="Tahoma"/>
            <family val="2"/>
          </rPr>
          <t>Compilado: Reunir en una misma obra partes o extractos procedentes de otros varios libros o documentos.</t>
        </r>
      </text>
    </comment>
    <comment ref="E115" authorId="1" shapeId="0">
      <text>
        <r>
          <rPr>
            <sz val="11"/>
            <color theme="1"/>
            <rFont val="Calibri"/>
            <family val="2"/>
            <scheme val="minor"/>
          </rPr>
          <t>Datos abiertos: Datos digitales que son puestos
a disposición con las características
técnicas y jurídicas necesarias para que
puedan ser usados, reutilizados y
redistribuidos libremente por cualquier
persona, en cualquier momento y en
cualquier lugar</t>
        </r>
      </text>
    </comment>
    <comment ref="E127" authorId="2" shapeId="0">
      <text>
        <r>
          <rPr>
            <b/>
            <sz val="9"/>
            <color indexed="81"/>
            <rFont val="Tahoma"/>
            <family val="2"/>
          </rPr>
          <t xml:space="preserve"> La innovación
abierta es una forma específica para la búsqueda e identificación
de las soluciones a las problemáticas, a través de procesos de
colaboración con actores externos.</t>
        </r>
      </text>
    </comment>
    <comment ref="C162" authorId="2" shapeId="0">
      <text>
        <r>
          <rPr>
            <b/>
            <sz val="9"/>
            <color indexed="81"/>
            <rFont val="Tahoma"/>
            <family val="2"/>
          </rPr>
          <t>Revisar Guia Usabilidad, cuadro información global URL</t>
        </r>
      </text>
    </comment>
    <comment ref="D266" authorId="2" shapeId="0">
      <text>
        <r>
          <rPr>
            <b/>
            <sz val="9"/>
            <color indexed="81"/>
            <rFont val="Tahoma"/>
            <family val="2"/>
          </rPr>
          <t>Ver guía usabilidad Gobierno en línea, cuadro información global</t>
        </r>
      </text>
    </comment>
    <comment ref="H378" authorId="2" shapeId="0">
      <text>
        <r>
          <rPr>
            <b/>
            <sz val="9"/>
            <color indexed="81"/>
            <rFont val="Tahoma"/>
            <family val="2"/>
          </rPr>
          <t>Importante, tener en cuenta selección de respuesta</t>
        </r>
      </text>
    </comment>
    <comment ref="D388" authorId="2" shapeId="0">
      <text>
        <r>
          <rPr>
            <b/>
            <sz val="9"/>
            <color indexed="81"/>
            <rFont val="Tahoma"/>
            <family val="2"/>
          </rPr>
          <t>IPv4 es la versión actual del protocolo de Internet, el sistema de identificación que utiliza Internet para enviar información entre dispositivos. ... IPv6 es la nueva versión del protocolo de Internet y amplía el número de direcciones disponibles a una cantidad prácticamente ilimitada de 340 sextillones de direcciones.</t>
        </r>
      </text>
    </comment>
    <comment ref="D443" authorId="2" shapeId="0">
      <text>
        <r>
          <rPr>
            <b/>
            <sz val="9"/>
            <color indexed="81"/>
            <rFont val="Tahoma"/>
            <family val="2"/>
          </rPr>
          <t>COLCERT: Grupo de Respuestas a Emergencias Cibernéticas de Colombia</t>
        </r>
      </text>
    </comment>
    <comment ref="C448" authorId="2" shapeId="0">
      <text>
        <r>
          <rPr>
            <b/>
            <sz val="9"/>
            <color indexed="81"/>
            <rFont val="Tahoma"/>
            <family val="2"/>
          </rPr>
          <t>Remediación: Estrategías para mitigar incidentes</t>
        </r>
      </text>
    </comment>
  </commentList>
</comments>
</file>

<file path=xl/comments14.xml><?xml version="1.0" encoding="utf-8"?>
<comments xmlns="http://schemas.openxmlformats.org/spreadsheetml/2006/main">
  <authors>
    <author>Juan</author>
  </authors>
  <commentList>
    <comment ref="D3" authorId="0" shapeId="0">
      <text>
        <r>
          <rPr>
            <b/>
            <sz val="9"/>
            <color indexed="81"/>
            <rFont val="Tahoma"/>
            <family val="2"/>
          </rPr>
          <t>La información reportada es tomada en base a mesas de trabajo con la oficina de planeación del MADS</t>
        </r>
      </text>
    </comment>
    <comment ref="C4" authorId="0" shapeId="0">
      <text>
        <r>
          <rPr>
            <b/>
            <sz val="9"/>
            <color indexed="81"/>
            <rFont val="Tahoma"/>
            <family val="2"/>
          </rPr>
          <t>Recaudo: Ingreso efectivo
Presupuesto: Ingreso esperado</t>
        </r>
      </text>
    </comment>
    <comment ref="C6" authorId="0" shapeId="0">
      <text>
        <r>
          <rPr>
            <b/>
            <sz val="9"/>
            <color indexed="81"/>
            <rFont val="Tahoma"/>
            <family val="2"/>
          </rPr>
          <t>Comprometido: Es el monto de Bienes y servicios devengados y comprometidos, previamente a su pago, mediante documentos presupuestarios, debidamente apropiado (CDP) y (RP)</t>
        </r>
      </text>
    </comment>
    <comment ref="C8" authorId="0" shapeId="0">
      <text>
        <r>
          <rPr>
            <b/>
            <sz val="9"/>
            <color indexed="81"/>
            <rFont val="Tahoma"/>
            <family val="2"/>
          </rPr>
          <t>Obligado: Reconocido para pago</t>
        </r>
      </text>
    </comment>
  </commentList>
</comments>
</file>

<file path=xl/comments15.xml><?xml version="1.0" encoding="utf-8"?>
<comments xmlns="http://schemas.openxmlformats.org/spreadsheetml/2006/main">
  <authors>
    <author>Juan</author>
  </authors>
  <commentList>
    <comment ref="D3" authorId="0" shapeId="0">
      <text>
        <r>
          <rPr>
            <b/>
            <sz val="9"/>
            <color indexed="81"/>
            <rFont val="Tahoma"/>
            <family val="2"/>
          </rPr>
          <t>Información tomada como referencia de mesas de trabajo con oficina de planeación del MADS. Los nuevos ponderados son tomados como producto de la prueba piloto del IEDI.</t>
        </r>
      </text>
    </comment>
    <comment ref="C8" authorId="0" shapeId="0">
      <text>
        <r>
          <rPr>
            <b/>
            <sz val="9"/>
            <color indexed="81"/>
            <rFont val="Tahoma"/>
            <family val="2"/>
          </rPr>
          <t>Comprometido: Es el monto de Bienes y servicios devengados y comprometidos, previamente a su pago, mediante documentos presupuestarios, debidamente apropiado (CDP) y (RP)</t>
        </r>
      </text>
    </comment>
    <comment ref="C10" authorId="0" shapeId="0">
      <text>
        <r>
          <rPr>
            <b/>
            <sz val="9"/>
            <color indexed="81"/>
            <rFont val="Tahoma"/>
            <family val="2"/>
          </rPr>
          <t>Obligado: Reconocido para pago</t>
        </r>
      </text>
    </comment>
  </commentList>
</comments>
</file>

<file path=xl/comments16.xml><?xml version="1.0" encoding="utf-8"?>
<comments xmlns="http://schemas.openxmlformats.org/spreadsheetml/2006/main">
  <authors>
    <author>Juan</author>
    <author>lucho</author>
  </authors>
  <commentList>
    <comment ref="C3" authorId="0" shapeId="0">
      <text>
        <r>
          <rPr>
            <b/>
            <sz val="9"/>
            <color indexed="81"/>
            <rFont val="Tahoma"/>
            <family val="2"/>
          </rPr>
          <t>La información reportada, es tomada en base a los lineamientos de la Agencia Nacional de Contratación Estatal</t>
        </r>
      </text>
    </comment>
    <comment ref="H3" authorId="1" shapeId="0">
      <text>
        <r>
          <rPr>
            <b/>
            <sz val="9"/>
            <color indexed="81"/>
            <rFont val="Tahoma"/>
            <family val="2"/>
          </rPr>
          <t xml:space="preserve">En la casilla interpretación del indicador, se especifica la forma en como se evalúa el desempeño de la Corporación en cada uno de los indicadores propuestos en el subcomponente Gestión Contractual - Manejo de procesos de contratación y SECOP. </t>
        </r>
      </text>
    </comment>
    <comment ref="B16" authorId="0" shapeId="0">
      <text>
        <r>
          <rPr>
            <b/>
            <sz val="9"/>
            <color indexed="81"/>
            <rFont val="Tahoma"/>
            <family val="2"/>
          </rPr>
          <t>Cupos de vigencias futuras autorizadas son todos los cupos aprobados de vigencias futuras para la entidad</t>
        </r>
      </text>
    </comment>
  </commentList>
</comments>
</file>

<file path=xl/comments2.xml><?xml version="1.0" encoding="utf-8"?>
<comments xmlns="http://schemas.openxmlformats.org/spreadsheetml/2006/main">
  <authors>
    <author>lucho</author>
  </authors>
  <commentList>
    <comment ref="E5" authorId="0" shapeId="0">
      <text>
        <r>
          <rPr>
            <b/>
            <sz val="9"/>
            <color indexed="81"/>
            <rFont val="Tahoma"/>
            <family val="2"/>
          </rPr>
          <t xml:space="preserve"> Para el reporte del indicador Tiempo promedio de trámite para la resolución de autorizaciones ambientales otorgadas por la corporación; se hace la salvedad que cada categoría de trámite ( Licencias ambientales, Concesiones de Agua, Permiso de vertimientos, Permiso de aprovechamiento forestal y Permiso de Emisiones atmosféricas)  tienen un tiempo independiente. Ver Res 667 pág 77 HM del indicador.</t>
        </r>
      </text>
    </comment>
    <comment ref="E53" authorId="0" shapeId="0">
      <text>
        <r>
          <rPr>
            <b/>
            <sz val="9"/>
            <color indexed="81"/>
            <rFont val="Tahoma"/>
            <family val="2"/>
          </rPr>
          <t>Ver Res 667 de 2016 pág 82 HM del indicador</t>
        </r>
      </text>
    </comment>
  </commentList>
</comments>
</file>

<file path=xl/comments3.xml><?xml version="1.0" encoding="utf-8"?>
<comments xmlns="http://schemas.openxmlformats.org/spreadsheetml/2006/main">
  <authors>
    <author>lucho</author>
    <author>Juan</author>
  </authors>
  <commentList>
    <comment ref="D15" authorId="0" shapeId="0">
      <text>
        <r>
          <rPr>
            <b/>
            <sz val="9"/>
            <color indexed="81"/>
            <rFont val="Tahoma"/>
            <family val="2"/>
          </rPr>
          <t xml:space="preserve">La suma de los ponderadores es igual a 1. Verificar en la celda D22, que se cumple con esta condición, una vez diligenciada la información. </t>
        </r>
      </text>
    </comment>
    <comment ref="E16" authorId="0" shapeId="0">
      <text>
        <r>
          <rPr>
            <b/>
            <sz val="9"/>
            <color indexed="81"/>
            <rFont val="Tahoma"/>
            <family val="2"/>
          </rPr>
          <t>Ver Res. 667 de 2016 pág 86 HM del indicador</t>
        </r>
      </text>
    </comment>
    <comment ref="E27" authorId="1" shapeId="0">
      <text>
        <r>
          <rPr>
            <b/>
            <sz val="9"/>
            <color indexed="81"/>
            <rFont val="Tahoma"/>
            <family val="2"/>
          </rPr>
          <t>Diligenciar unidades en hectáreas</t>
        </r>
      </text>
    </comment>
    <comment ref="E39" authorId="0" shapeId="0">
      <text>
        <r>
          <rPr>
            <b/>
            <sz val="9"/>
            <color indexed="81"/>
            <rFont val="Tahoma"/>
            <family val="2"/>
          </rPr>
          <t>Ver Res. 667 de 2016 pág 121 HM del indicador</t>
        </r>
      </text>
    </comment>
    <comment ref="E43" authorId="0" shapeId="0">
      <text>
        <r>
          <rPr>
            <b/>
            <sz val="9"/>
            <color indexed="81"/>
            <rFont val="Tahoma"/>
            <family val="2"/>
          </rPr>
          <t>Ver Res. 667 de 2016 pág 127 HM del indicador</t>
        </r>
      </text>
    </comment>
    <comment ref="E48" authorId="0" shapeId="0">
      <text>
        <r>
          <rPr>
            <b/>
            <sz val="9"/>
            <color indexed="81"/>
            <rFont val="Tahoma"/>
            <family val="2"/>
          </rPr>
          <t>Ver Res. 667 de 2016 pág 132 HM del indicador.</t>
        </r>
      </text>
    </comment>
  </commentList>
</comments>
</file>

<file path=xl/comments4.xml><?xml version="1.0" encoding="utf-8"?>
<comments xmlns="http://schemas.openxmlformats.org/spreadsheetml/2006/main">
  <authors>
    <author>lucho</author>
    <author>Juan</author>
  </authors>
  <commentList>
    <comment ref="B3" authorId="0" shapeId="0">
      <text>
        <r>
          <rPr>
            <b/>
            <sz val="9"/>
            <color indexed="81"/>
            <rFont val="Tahoma"/>
            <family val="2"/>
          </rPr>
          <t>La información reportada, se toma del FURAG versión 2016</t>
        </r>
      </text>
    </comment>
    <comment ref="E9" authorId="1" shapeId="0">
      <text>
        <r>
          <rPr>
            <b/>
            <sz val="9"/>
            <color indexed="81"/>
            <rFont val="Tahoma"/>
            <family val="2"/>
          </rPr>
          <t>Ingrese URL, en la casilla de observaciones.</t>
        </r>
      </text>
    </comment>
    <comment ref="E17" authorId="1" shapeId="0">
      <text>
        <r>
          <rPr>
            <b/>
            <sz val="9"/>
            <color indexed="81"/>
            <rFont val="Tahoma"/>
            <family val="2"/>
          </rPr>
          <t>Especificar en casilla de observaciones</t>
        </r>
      </text>
    </comment>
    <comment ref="E50" authorId="0" shapeId="0">
      <text>
        <r>
          <rPr>
            <b/>
            <sz val="9"/>
            <color indexed="81"/>
            <rFont val="Tahoma"/>
            <family val="2"/>
          </rPr>
          <t>Si se presenta otro, diligenciar en casilla de observaciones</t>
        </r>
      </text>
    </comment>
    <comment ref="A62" authorId="0" shapeId="0">
      <text>
        <r>
          <rPr>
            <b/>
            <sz val="9"/>
            <color indexed="81"/>
            <rFont val="Tahoma"/>
            <family val="2"/>
          </rPr>
          <t xml:space="preserve"> En el indicador materialización de los Riesgos,  si se presenta puntuación, este se descuenta de la valoración obtenida en los anteriores indicadores de desempeño.   </t>
        </r>
      </text>
    </comment>
    <comment ref="E71" authorId="0" shapeId="0">
      <text>
        <r>
          <rPr>
            <b/>
            <sz val="9"/>
            <color indexed="81"/>
            <rFont val="Tahoma"/>
            <family val="2"/>
          </rPr>
          <t>Si se presenta otro, diligenciar en casilla de observaciones</t>
        </r>
      </text>
    </comment>
  </commentList>
</comments>
</file>

<file path=xl/comments5.xml><?xml version="1.0" encoding="utf-8"?>
<comments xmlns="http://schemas.openxmlformats.org/spreadsheetml/2006/main">
  <authors>
    <author>Juan</author>
  </authors>
  <commentList>
    <comment ref="B3" authorId="0" shapeId="0">
      <text>
        <r>
          <rPr>
            <b/>
            <sz val="9"/>
            <color indexed="81"/>
            <rFont val="Tahoma"/>
            <family val="2"/>
          </rPr>
          <t>La información reportada, se toma como apoyo del Departamento de la Función Pública.</t>
        </r>
      </text>
    </comment>
    <comment ref="G19" authorId="0" shapeId="0">
      <text>
        <r>
          <rPr>
            <b/>
            <sz val="9"/>
            <color indexed="81"/>
            <rFont val="Tahoma"/>
            <family val="2"/>
          </rPr>
          <t>Ingresar URL, en la casilla de observaciones</t>
        </r>
      </text>
    </comment>
    <comment ref="G23" authorId="0" shapeId="0">
      <text>
        <r>
          <rPr>
            <b/>
            <sz val="9"/>
            <color indexed="81"/>
            <rFont val="Tahoma"/>
            <family val="2"/>
          </rPr>
          <t>Ingresar URL, en la casilla de observaciones</t>
        </r>
      </text>
    </comment>
    <comment ref="G121" authorId="0" shapeId="0">
      <text>
        <r>
          <rPr>
            <b/>
            <sz val="9"/>
            <color indexed="81"/>
            <rFont val="Tahoma"/>
            <family val="2"/>
          </rPr>
          <t>Indique URL, en la casilla de observaciones</t>
        </r>
      </text>
    </comment>
    <comment ref="G159" authorId="0" shapeId="0">
      <text>
        <r>
          <rPr>
            <b/>
            <sz val="9"/>
            <color indexed="81"/>
            <rFont val="Tahoma"/>
            <family val="2"/>
          </rPr>
          <t>Ingrese URL, en la casilla de observaciones</t>
        </r>
      </text>
    </comment>
    <comment ref="G165" authorId="0" shapeId="0">
      <text>
        <r>
          <rPr>
            <b/>
            <sz val="9"/>
            <color indexed="81"/>
            <rFont val="Tahoma"/>
            <family val="2"/>
          </rPr>
          <t>Ingrese URL, en la casilla de observaciones</t>
        </r>
      </text>
    </comment>
    <comment ref="G171" authorId="0" shapeId="0">
      <text>
        <r>
          <rPr>
            <b/>
            <sz val="9"/>
            <color indexed="81"/>
            <rFont val="Tahoma"/>
            <family val="2"/>
          </rPr>
          <t>Ingrese URL, en la casilla de observaciones</t>
        </r>
      </text>
    </comment>
  </commentList>
</comments>
</file>

<file path=xl/comments6.xml><?xml version="1.0" encoding="utf-8"?>
<comments xmlns="http://schemas.openxmlformats.org/spreadsheetml/2006/main">
  <authors>
    <author>Juan</author>
    <author>lucho</author>
  </authors>
  <commentList>
    <comment ref="B3" authorId="0" shapeId="0">
      <text>
        <r>
          <rPr>
            <b/>
            <sz val="9"/>
            <color indexed="81"/>
            <rFont val="Tahoma"/>
            <family val="2"/>
          </rPr>
          <t>La información reportada, es tomada del FURAG versión 2016</t>
        </r>
      </text>
    </comment>
    <comment ref="E6" authorId="1" shapeId="0">
      <text>
        <r>
          <rPr>
            <b/>
            <sz val="9"/>
            <color indexed="81"/>
            <rFont val="Tahoma"/>
            <family val="2"/>
          </rPr>
          <t>Ingresar URL, en casilla de Observaciones</t>
        </r>
      </text>
    </comment>
    <comment ref="E50" authorId="0" shapeId="0">
      <text>
        <r>
          <rPr>
            <b/>
            <sz val="9"/>
            <color indexed="81"/>
            <rFont val="Tahoma"/>
            <family val="2"/>
          </rPr>
          <t>Ingresar, en la casilla de observaciones</t>
        </r>
      </text>
    </comment>
    <comment ref="E74" authorId="0" shapeId="0">
      <text>
        <r>
          <rPr>
            <b/>
            <sz val="9"/>
            <color indexed="81"/>
            <rFont val="Tahoma"/>
            <family val="2"/>
          </rPr>
          <t>Ingresar, en la casilla de observaciones</t>
        </r>
      </text>
    </comment>
    <comment ref="E83" authorId="0" shapeId="0">
      <text>
        <r>
          <rPr>
            <b/>
            <sz val="9"/>
            <color indexed="81"/>
            <rFont val="Tahoma"/>
            <family val="2"/>
          </rPr>
          <t>Ingresar, en la casilla de observaciones</t>
        </r>
      </text>
    </comment>
    <comment ref="E106" authorId="0" shapeId="0">
      <text>
        <r>
          <rPr>
            <b/>
            <sz val="9"/>
            <color indexed="81"/>
            <rFont val="Tahoma"/>
            <family val="2"/>
          </rPr>
          <t>Ingresar, en la casilla de observaciones</t>
        </r>
      </text>
    </comment>
  </commentList>
</comments>
</file>

<file path=xl/comments7.xml><?xml version="1.0" encoding="utf-8"?>
<comments xmlns="http://schemas.openxmlformats.org/spreadsheetml/2006/main">
  <authors>
    <author>Juan</author>
  </authors>
  <commentList>
    <comment ref="B3" authorId="0" shapeId="0">
      <text>
        <r>
          <rPr>
            <b/>
            <sz val="9"/>
            <color indexed="81"/>
            <rFont val="Tahoma"/>
            <family val="2"/>
          </rPr>
          <t>Información, tomada como referencia del FURAG Versión 2016</t>
        </r>
      </text>
    </comment>
  </commentList>
</comments>
</file>

<file path=xl/comments8.xml><?xml version="1.0" encoding="utf-8"?>
<comments xmlns="http://schemas.openxmlformats.org/spreadsheetml/2006/main">
  <authors>
    <author>Juan</author>
  </authors>
  <commentList>
    <comment ref="B3" authorId="0" shapeId="0">
      <text>
        <r>
          <rPr>
            <b/>
            <sz val="9"/>
            <color indexed="81"/>
            <rFont val="Tahoma"/>
            <family val="2"/>
          </rPr>
          <t>Información tomada, de servicio al ciudadano DNP</t>
        </r>
      </text>
    </comment>
    <comment ref="C4" authorId="0" shapeId="0">
      <text>
        <r>
          <rPr>
            <b/>
            <sz val="9"/>
            <color indexed="81"/>
            <rFont val="Tahoma"/>
            <family val="2"/>
          </rPr>
          <t>Caracterización: Determinar los atributos peculiares de alguien o de algo, de modo que claramente se distinga de los demás.</t>
        </r>
      </text>
    </comment>
  </commentList>
</comments>
</file>

<file path=xl/comments9.xml><?xml version="1.0" encoding="utf-8"?>
<comments xmlns="http://schemas.openxmlformats.org/spreadsheetml/2006/main">
  <authors>
    <author>Juan</author>
  </authors>
  <commentList>
    <comment ref="B3" authorId="0" shapeId="0">
      <text>
        <r>
          <rPr>
            <b/>
            <sz val="9"/>
            <color indexed="81"/>
            <rFont val="Tahoma"/>
            <family val="2"/>
          </rPr>
          <t>Información tomada como referencia del FURAG Versión 2016</t>
        </r>
      </text>
    </comment>
  </commentList>
</comments>
</file>

<file path=xl/sharedStrings.xml><?xml version="1.0" encoding="utf-8"?>
<sst xmlns="http://schemas.openxmlformats.org/spreadsheetml/2006/main" count="5655" uniqueCount="2854">
  <si>
    <t xml:space="preserve">PLANIFICACIÓN, ORDENAMIENTO Y COORDINACIÓN AMBIENTAL REGIONAL   </t>
  </si>
  <si>
    <t xml:space="preserve">INDICADORES DE EFICIACIA </t>
  </si>
  <si>
    <t xml:space="preserve">GRUPO </t>
  </si>
  <si>
    <t>INDICADORES</t>
  </si>
  <si>
    <t xml:space="preserve">CÁLCULO DEL INDICADOR </t>
  </si>
  <si>
    <t xml:space="preserve">ASESORÍA EN PROCESOS DE PLANIFICACIÓN AMBIENTAL DE LAS ENTIDADES TERRITORIALES Y LOS SECTORES PRODUCTIVOS </t>
  </si>
  <si>
    <t xml:space="preserve">INSTRUMENTOS PARA EL ORDENAMIENTO DE LAS CUENCAS HIDROGRÁFICAS Y LOS RECURSOS NATURALES </t>
  </si>
  <si>
    <t>Porcentaje de avance en la formulación y/o ajuste de los Planes de Ordenación y Manejo de Cuencas (POMCAS), Planes de Manejo de Acuíferos (PMA) y Planes de Manejo de Microcuencas (PMM)</t>
  </si>
  <si>
    <t xml:space="preserve">IMPLEMENTACIÓN, OPERACIÓN Y REPORTE DE LOS SISTEMAS DE INFORMACIÓN AMBIENTAL </t>
  </si>
  <si>
    <t>Porcentaje de actualización y reporte de la información en el SIAC</t>
  </si>
  <si>
    <t>VARIABLE</t>
  </si>
  <si>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</si>
  <si>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</si>
  <si>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municipios asesorados o asistidos en la inclusión del componente ambiental en los procesos de planificación y ordenamiento territorial, con énfasis en la incorporación de las determinantes ambientales para la revisión y ajuste de los POT (PMAPOT)</t>
  </si>
  <si>
    <t xml:space="preserve">Porcentaje de entes territoriales asesorados en la incorporación, planificación y ejecución de acciones relacionadas con el cambio climático en el marco de los instrumentos de los  de planificación ambiental territorial (PETACC) </t>
  </si>
  <si>
    <t>Porcentaje de la superficie de áreas protegidas regionales declaradas, homologadas o recategorizadas inscritas en el RUNAP (PAPR)</t>
  </si>
  <si>
    <t>Número de páramos delimitados por el MADS en la jurisdicción de la CAR (PD)</t>
  </si>
  <si>
    <t>VALOR DE LA VARIABLE (Diligenciada por la CAR)</t>
  </si>
  <si>
    <t>Porcentaje de redes y estaciones de monitoreo en operación (PREMO)</t>
  </si>
  <si>
    <t>PESO DEL INDICADOR RESPECTO AL ÁREA</t>
  </si>
  <si>
    <t>Ponderación Regional para POMCAS, establecido por la corporación (a)</t>
  </si>
  <si>
    <t>Ponderación Regional para PMA, establecido por la corporación (b)</t>
  </si>
  <si>
    <t>FÓRMULA DE CÁLCULO</t>
  </si>
  <si>
    <t xml:space="preserve">COMPONENTE GESTIÓN  MISIONAL INDICADORES DE EFICACIA </t>
  </si>
  <si>
    <t>Variables tenidas en cuenta para el cálculo de los indicadores</t>
  </si>
  <si>
    <t>Valor de desempeño de cada área</t>
  </si>
  <si>
    <t>Valor de desempeño en el subcomponente GPCR</t>
  </si>
  <si>
    <t xml:space="preserve">ADMON, CONTROL Y VIGILANCIA DEL AMBIENTE, SUS RECURSOS NATURALES Y ECOSISTEMAS ESTRATÉGICOS   </t>
  </si>
  <si>
    <t>Porcentaje de cuerpos de agua con reglamentación del uso de las aguas PRUA</t>
  </si>
  <si>
    <t>Porcentaje de autorizaciones ambientales con seguimiento</t>
  </si>
  <si>
    <t>Porcentaje de la autorización de licencias ambientales con seguimiento PLAS</t>
  </si>
  <si>
    <t>Porcentaje de la autorización  de concesión de aguas con seguimiento PCAS</t>
  </si>
  <si>
    <t>Porcentaje de la autorización de permisos de aprovechamiento forestal  con seguimiento PPAFS</t>
  </si>
  <si>
    <t>Porcentaje de la autorización de permisos de vertimientos con seguimiento PPVS</t>
  </si>
  <si>
    <t>Porcentaje de Programas de Uso Eficiente y Ahorro del Agua con seguimiento PPUEAACS</t>
  </si>
  <si>
    <t>Porcentaje de Planes de Saneamiento y Manejo de Vertimientos (PSMV) con seguimiento PPSMVCS</t>
  </si>
  <si>
    <t>Porcentaje de Planes de Gestión Integral de Residuos (PGIRS) con seguimiento a metas de aprovechamiento PPGIRSCS</t>
  </si>
  <si>
    <t xml:space="preserve">ATENCIÓN DE QUEJAS Y CONTRAVENCIONES AMBIENTALES </t>
  </si>
  <si>
    <t>Número de actos administrativos de determinación de la responsabilidad expedidos ADR</t>
  </si>
  <si>
    <t>Número de actos administrativos de cesación de procedimiento expedidos ACP</t>
  </si>
  <si>
    <t>Número de actos administrativos de iniciación de procedimiento sancionatorio expedidos AIPS</t>
  </si>
  <si>
    <t>Porcentaje de procesos sancionatorios resueltos PPSR</t>
  </si>
  <si>
    <t>Valor de desempeño en el área SEGUIMIENTO Y MONITERO AMBIENTAL (SMA 0,35)</t>
  </si>
  <si>
    <t>Valor de desempeño en el área ATENCIÓN DE QUEJAS Y CONTRAVENCIONES AMBIENTALES  (ACA 0,30)</t>
  </si>
  <si>
    <t>Valor de desempeño en el área ASESORÍA EN PROCESOS DE PLANIFICACIÓN AMBIENTAL DE LAS ENTIDADES TERRITORIALES Y LOS SECTORES PRODUCTIVOS (APP 0,35)</t>
  </si>
  <si>
    <t>Valor de desempeño en el área INSTRUMENTOS PARA EL ORDENAMIENTO DE LAS CUENCAS HIDROGRÁFICAS Y LOS RECURSOS NATURALES (IOCRN 0,35)</t>
  </si>
  <si>
    <t>Valor de desempeño en el área IMPLEMENTACIÓN, OPERACIÓN Y REPORTE DE LOS SISTEMAS DE INFORMACIÓN AMBIENTAL (IORSIA 0,30)</t>
  </si>
  <si>
    <t xml:space="preserve">GESTIÓN EN ECOSISTEMAS ESTRATÉGICOS Y BIODIVERSIDAD </t>
  </si>
  <si>
    <t>Número de áreas protegidas cuya administración es responsabilidad de la Corporación Autónoma Regional APCAR</t>
  </si>
  <si>
    <t>Porcentaje de áreas protegidas con planes de manejo en ejecución PAPME</t>
  </si>
  <si>
    <t>Número de especies amenazadas con medidas de conservación y manejo en ejecución EAMME</t>
  </si>
  <si>
    <t>Número de especies amenazadas con medidas de conservación y manejo formuladas EAMMF</t>
  </si>
  <si>
    <t>Porcentaje de especies amenazadas con medidas de conservación y manejo en ejecución PEAMME</t>
  </si>
  <si>
    <t>Número de especies invasoras con medidas de prevención, control y manejo en ejecución EIPMEE</t>
  </si>
  <si>
    <t>Número de especies invasoras con medidas de prevención, control y manejo formulado EIPMEF</t>
  </si>
  <si>
    <t>Porcentaje de especies  invasoras con medidas de prevención, control y manejo en ejecución PEIME</t>
  </si>
  <si>
    <t>Valor de desempeño en el área GESTIÓN EN ECOSISTEMAS ESTRATÉGICOS Y BIODIVERSIDAD (GEEB 0,25)</t>
  </si>
  <si>
    <t xml:space="preserve">GESTIÓN INTEGRAL DEL RECURSO HÍDRICO </t>
  </si>
  <si>
    <t>Porcentaje de POMCAS en ejecución PPOMCASEE</t>
  </si>
  <si>
    <t>Porcentaje de PMA en ejecución PPMAEE</t>
  </si>
  <si>
    <t xml:space="preserve">Porcentaje de PMM en ejecución PPMMEE </t>
  </si>
  <si>
    <t>Ponderación Regional para PMM, establecido por la corporación (C)</t>
  </si>
  <si>
    <t>Porcentaje de Planes de Ordenación Y Manejo de Cuencas (POMCAS), Planes de Manejo de Acuíferos (PMA) y Planes de Manejo de Microcuencas (PMM) en ejecución PPEE</t>
  </si>
  <si>
    <t>Valor de desempeño en el área GESTIÓN INTEGRAL DEL RECURSO HÍDRICO (GIRH 0,30)</t>
  </si>
  <si>
    <t>Porcentaje de áreas de ecosistemas en restauración, rehabilitación y reforestación PAERRR</t>
  </si>
  <si>
    <t xml:space="preserve">GESTIÓN INTEGRAL DEL RECURSO SUELO </t>
  </si>
  <si>
    <t>Porcentaje de suelos degradados en recuperación o rehabilitación PSER</t>
  </si>
  <si>
    <t>Valor de desempeño en el área GESTIÓN INTEGRAL DEL RECURSO SUELO (GIS 0,10)</t>
  </si>
  <si>
    <t xml:space="preserve">GESTIÓN SECTORIAL Y URBANA </t>
  </si>
  <si>
    <t>Sectores acompañados en la reconversión hacia sistemas sostenibles de producción SA</t>
  </si>
  <si>
    <t>Número de sectores priorizados para acompañamiento en la reconversión hacia sistemas sostenibles de producción SPA</t>
  </si>
  <si>
    <t>Porcentaje de sectores con acompañamiento para la reconversión hacia sistemas sostenibles de producción PSA</t>
  </si>
  <si>
    <t>Valor de desempeño en el área GESTIÓN SECTORIAL Y URBANA (GSU 0,25)</t>
  </si>
  <si>
    <t xml:space="preserve">INDICADOR   </t>
  </si>
  <si>
    <t xml:space="preserve">PESO DEL INDICADOR </t>
  </si>
  <si>
    <t>DETALLE DE PREGUNTA</t>
  </si>
  <si>
    <t>DETALLE DE RESPUESTA</t>
  </si>
  <si>
    <t xml:space="preserve">VALOR INDIVIDUAL DE RESPUESTA </t>
  </si>
  <si>
    <t xml:space="preserve">MARQUE CON UNA X LA OPCIÓN DE RESPUESTA QUE APLIQUE PARA LA CORPORACIÓN </t>
  </si>
  <si>
    <t xml:space="preserve">FÓRMULA DE CÁLCULO  </t>
  </si>
  <si>
    <t xml:space="preserve">Políticas anticorrupción en Planeación </t>
  </si>
  <si>
    <t>El mapa de riesgos de corrupción está incorporado como política en el Plan de Acción de la entidad?</t>
  </si>
  <si>
    <t>a</t>
  </si>
  <si>
    <t>Sí</t>
  </si>
  <si>
    <t>b</t>
  </si>
  <si>
    <t>No</t>
  </si>
  <si>
    <t>c</t>
  </si>
  <si>
    <t>d</t>
  </si>
  <si>
    <t>Valor de desempeño en Políticas anticorrupción en Planeación  PAP</t>
  </si>
  <si>
    <t>Publicación Plan Anticorrupción y de Atención al Ciudadano</t>
  </si>
  <si>
    <t>¿Existe en el sitio web oficial de la Entidad una sección identificada con el nombre de 'Transparencia y Acceso a la Información Pública'?</t>
  </si>
  <si>
    <t xml:space="preserve">PPAAC=a+c+e+f+g+h+i
PPAAC=b=0
PPAAC=d=0
</t>
  </si>
  <si>
    <t xml:space="preserve">La Entidad publicó en su sitio web oficial, en la sección de Transparencia y acceso a información pública, la información correspondiente al Plan Anticorrupción y de Servicio al Ciudadano?. </t>
  </si>
  <si>
    <t xml:space="preserve">NO </t>
  </si>
  <si>
    <t>Seleccione los componentes del Plan Anticorrupción y de Atención al Ciudadano que la Entidad publicó en su sitio web oficial:</t>
  </si>
  <si>
    <t>e</t>
  </si>
  <si>
    <t>Mapa de riesgos de corrupción y las medidas para mitigarlos</t>
  </si>
  <si>
    <t>f</t>
  </si>
  <si>
    <t>Racionalización de Trámites</t>
  </si>
  <si>
    <t>g</t>
  </si>
  <si>
    <t>Rendición de Cuentas</t>
  </si>
  <si>
    <t>h</t>
  </si>
  <si>
    <t>Servicio al Ciudadano</t>
  </si>
  <si>
    <t>i</t>
  </si>
  <si>
    <t>Otro, ¿Cuál?</t>
  </si>
  <si>
    <t>Valor de desempeño en Publicación Plan Anticorrupción y de Atención al Ciudadano  PPAAC</t>
  </si>
  <si>
    <t>Identificación de riesgos de corrupción</t>
  </si>
  <si>
    <t>Indique en qué procesos, subprocesos o áreas se identificaron riesgos de corrupción:</t>
  </si>
  <si>
    <t xml:space="preserve">Adquisición bienes y servicios (contratación)   </t>
  </si>
  <si>
    <t>IRC=a+b+c+d+e+f+g+h+i</t>
  </si>
  <si>
    <t>De evaluación</t>
  </si>
  <si>
    <t>Gestión Financiera</t>
  </si>
  <si>
    <t>Gestión Documental</t>
  </si>
  <si>
    <t xml:space="preserve">Talento Humano   </t>
  </si>
  <si>
    <t>Gestión Administrativa</t>
  </si>
  <si>
    <t xml:space="preserve">Tecnologías de Información y Comunicaciones   </t>
  </si>
  <si>
    <t>Estratégicos</t>
  </si>
  <si>
    <t>Misionales</t>
  </si>
  <si>
    <t>Valor de desempeño en Identificación de riesgos de corrupción IRC</t>
  </si>
  <si>
    <t>Construcción y socialización del Mapa de Riesgos de Corrupción</t>
  </si>
  <si>
    <t>El mapa de riesgos de corrupción de la Entidad fue construido con la participación de:</t>
  </si>
  <si>
    <t>Ciudadanos, usuarios o grupos de interés</t>
  </si>
  <si>
    <t>CSMRC=a+b+c+d+e+f+g+h+i+j+k+l</t>
  </si>
  <si>
    <t>Líderes de los procesos de la Entidad</t>
  </si>
  <si>
    <t xml:space="preserve">No fue construido de forma participativa </t>
  </si>
  <si>
    <t>Señale los elementos utilizados para la elaboración del Mapa de Riesgos de Corrupción:</t>
  </si>
  <si>
    <t>Proceso y Objetivo al cual se le identifica el riesgo</t>
  </si>
  <si>
    <t>Causas del riesgo</t>
  </si>
  <si>
    <t>Descripción del riesgo</t>
  </si>
  <si>
    <t>Probabilidad de materialización del riesgo</t>
  </si>
  <si>
    <t>Tipo de control del riesgo</t>
  </si>
  <si>
    <t>Medidas de mitigación del riesgo</t>
  </si>
  <si>
    <t>Acciones de seguimiento</t>
  </si>
  <si>
    <t>Valor de desempeño en Construcción y socialización del Mapa de Riesgos de Corrupción CSMRC</t>
  </si>
  <si>
    <t>Controles establecidos en el Mapa de Riesgos de Corrupción</t>
  </si>
  <si>
    <t>En el Mapa de Riesgos de Corrupción se formularon controles:</t>
  </si>
  <si>
    <t>Preventivos</t>
  </si>
  <si>
    <t xml:space="preserve">CEMRC=a+b
CEMRC=c=0
</t>
  </si>
  <si>
    <t>Correctivos</t>
  </si>
  <si>
    <t xml:space="preserve">No se formularon controles </t>
  </si>
  <si>
    <t>Seguimiento y control</t>
  </si>
  <si>
    <t>A cuáles de los siguientes componentes del Plan Anticorrupción y de Atención al Ciudadano se les realizó seguimiento y control:</t>
  </si>
  <si>
    <t>SC=a+b+c+d+e+f+g+h+i+j+k</t>
  </si>
  <si>
    <t>Estrategia antitrámites</t>
  </si>
  <si>
    <t xml:space="preserve"> Servicio al Ciudadano</t>
  </si>
  <si>
    <t>No realizó seguimiento</t>
  </si>
  <si>
    <t>El seguimiento al Plan Anticorrupción y de Atención al Ciudadano fue realizado por:</t>
  </si>
  <si>
    <t>Oficina Control Interno (o quien hace sus veces)</t>
  </si>
  <si>
    <t>Oficina de Planeación (o quien hace sus veces)</t>
  </si>
  <si>
    <t>Líderes de proceso</t>
  </si>
  <si>
    <t>Del seguimiento realizado surgieron acciones de mejora al Plan Anticorrupción y de Atención al Ciudadano?</t>
  </si>
  <si>
    <t>j</t>
  </si>
  <si>
    <t>k</t>
  </si>
  <si>
    <t xml:space="preserve">Valor de desempeño en Seguimiento y control SC </t>
  </si>
  <si>
    <t>Mejoras Plan Anticorrupción y de Atención al Ciudadano y al Mapa de Riesgos de Corrupción</t>
  </si>
  <si>
    <t xml:space="preserve">A partir de la identificación y análisis de los riesgos de corrupción, la Entidad realizó mejoras en: </t>
  </si>
  <si>
    <t>Procesos</t>
  </si>
  <si>
    <t xml:space="preserve">MPAACMRC=a+b
MPAACMRC=c=0
</t>
  </si>
  <si>
    <t>Procedimientos</t>
  </si>
  <si>
    <t>No ser realizaron mejoras</t>
  </si>
  <si>
    <t>Valor de desempeño en Mejoras Plan Anticorrupción y de Atención al Ciudadano y al Mapa de Riesgos de Corrupción MPAACMRC</t>
  </si>
  <si>
    <t xml:space="preserve">Materialización de los riesgos </t>
  </si>
  <si>
    <t>Indique en qué procesos, subprocesos o áreas se materializaron riesgos de corrupción:</t>
  </si>
  <si>
    <t>MR=a+b+c+d+e+f+g+h+i+j+k</t>
  </si>
  <si>
    <t>No se materializaron riesgos de corrupción</t>
  </si>
  <si>
    <t>Valor de desempeño en Materialización de los riesgos MR</t>
  </si>
  <si>
    <t>PA=(PAP*0.20)+(PPAAC*0.20)+(IRC*-0.20)+(CSMRC*0.25)+(CEMRC*0.25)+(SC*0.25)+(MPAACMRC*0.25)+(MR*-0.20)</t>
  </si>
  <si>
    <t>x</t>
  </si>
  <si>
    <t xml:space="preserve">DIMENSIÓN DE LA EVALUACIÓN  </t>
  </si>
  <si>
    <t xml:space="preserve">PESO DE LA DIMENSIÓN </t>
  </si>
  <si>
    <t>INDICADOR</t>
  </si>
  <si>
    <t>PESO DE INDICADOR</t>
  </si>
  <si>
    <t xml:space="preserve">DETALLE PREGUNTA </t>
  </si>
  <si>
    <t xml:space="preserve">VALOR INDIVIDUAL RESPUESTAS </t>
  </si>
  <si>
    <t>TRANSPARENCIA PASIVA</t>
  </si>
  <si>
    <t xml:space="preserve">Atención constante al ciudadano </t>
  </si>
  <si>
    <t>La Entidad</t>
  </si>
  <si>
    <t>Cuenta con mecanismos de atención especial y preferente para niños, mujeres embarazadas y personas en estado de indefensión y/o de debilidad manifiesta.</t>
  </si>
  <si>
    <t>Garantiza atención por lo menos durante 40 horas a la semana.</t>
  </si>
  <si>
    <t>Atiende en jornada continua</t>
  </si>
  <si>
    <t>Valor de desempeño en Atención Constante al ciudadano  ACC</t>
  </si>
  <si>
    <t>Atención prioritaria de solicitudes</t>
  </si>
  <si>
    <t>La Entidad cuenta con mecanismos para dar prioridad a peticiones relacionadas con:</t>
  </si>
  <si>
    <t xml:space="preserve">El reconocimiento de un derecho fundamental </t>
  </si>
  <si>
    <t xml:space="preserve">APS=a+b+c
APS=d=0
</t>
  </si>
  <si>
    <t>Peticiones presentadas por menores de edad</t>
  </si>
  <si>
    <t>Peticiones presentadas por periodistas</t>
  </si>
  <si>
    <t>Ninguna</t>
  </si>
  <si>
    <t>Valor de desempeño en Atención prioritaria de solicitudes APS</t>
  </si>
  <si>
    <t>Los procesos o procedimientos de servicio al ciudadano (peticiones, quejas, reclamos y denuncias, trámites y
servicios):</t>
  </si>
  <si>
    <t>Existen y están implementados</t>
  </si>
  <si>
    <t xml:space="preserve">PACDI=a=100%
PACDI=b=50%
PACDI=c=25%
PACDI=d=0
</t>
  </si>
  <si>
    <t>Existen pero no están implementados</t>
  </si>
  <si>
    <t>Están en proceso de construcción</t>
  </si>
  <si>
    <t xml:space="preserve">No existen </t>
  </si>
  <si>
    <t>Valor de desempeño en Procedimientos de atención al ciudadano documentados e implementados PACDI</t>
  </si>
  <si>
    <t>Formulario en línea para recepción de solicitudes de acceso a la información</t>
  </si>
  <si>
    <t>¿Cuenta con un formulario en su página Web para la recepción de peticiones, quejas, reclamos y denuncias?</t>
  </si>
  <si>
    <t xml:space="preserve">FLRSAI=a=100%
FLRSAI=b=0
</t>
  </si>
  <si>
    <t>Valor de desempeño en Formulario en línea para recepción de solicitudes de acceso a la información FLRSAI</t>
  </si>
  <si>
    <t>TP=(ACC*0,20)+(APS*0,30)+(PACDI*0,20)+(FLRSAI*0,30)</t>
  </si>
  <si>
    <t>TRANSPARENCIA ACTIVA</t>
  </si>
  <si>
    <t>Existencia del la sección "Transparencia y Acceso a la Información Pública" en el sitio web</t>
  </si>
  <si>
    <t xml:space="preserve">ESTAIP=a=100%
ESTAIP=b=0
</t>
  </si>
  <si>
    <t>Valor de desempeño en Existencia del la sección "Transparencia y Acceso a la Información Pública" en el sitio web  ESTAIP</t>
  </si>
  <si>
    <t>Acceso en línea a información mínima obligatoria de la entidad</t>
  </si>
  <si>
    <t xml:space="preserve"> Mecanismos para la atención al ciudadano</t>
  </si>
  <si>
    <t>ALIMOE=∑(a+b+⋯+bn)</t>
  </si>
  <si>
    <t>Localización física, sucursales o regionales, horarios y días de atención al público</t>
  </si>
  <si>
    <t>Correo electrónico para notificaciones judiciales</t>
  </si>
  <si>
    <t>Políticas de seguridad de la información del sitio web y protección de datos personales</t>
  </si>
  <si>
    <t>Derechos de los ciudadanos y medios para garantizarlos (Carta de trato digno)</t>
  </si>
  <si>
    <t>Publicación en datos abiertos</t>
  </si>
  <si>
    <t xml:space="preserve">Estudios, investigaciones y otras publicaciones de interés ambiental </t>
  </si>
  <si>
    <t>Convocatorias</t>
  </si>
  <si>
    <t xml:space="preserve">Preguntas y respuestas frecuentes </t>
  </si>
  <si>
    <t xml:space="preserve">Glosario </t>
  </si>
  <si>
    <t>Noticias</t>
  </si>
  <si>
    <t>l</t>
  </si>
  <si>
    <t>Calendario de actividades</t>
  </si>
  <si>
    <t>m</t>
  </si>
  <si>
    <t>Información para niños, niñas y  adolescentes</t>
  </si>
  <si>
    <t>n</t>
  </si>
  <si>
    <t>Información adicional (útil para los usuarios, ciudadanos y grupos de interés)</t>
  </si>
  <si>
    <t>o</t>
  </si>
  <si>
    <t>Misión y visión de la Entidad</t>
  </si>
  <si>
    <t>p</t>
  </si>
  <si>
    <t>Funciones y deberes de la Entidad</t>
  </si>
  <si>
    <t>q</t>
  </si>
  <si>
    <t>Procesos y procedimientos de la Entidad</t>
  </si>
  <si>
    <t>r</t>
  </si>
  <si>
    <t>Organigrama de la Entidad</t>
  </si>
  <si>
    <t>s</t>
  </si>
  <si>
    <t xml:space="preserve">Escalas Salariales </t>
  </si>
  <si>
    <t>t</t>
  </si>
  <si>
    <t>Enlace a SIGEP, con el Directorio de información de servidores públicos, empleados y contratistas</t>
  </si>
  <si>
    <t>u</t>
  </si>
  <si>
    <t>Directorio de entidades del Sector</t>
  </si>
  <si>
    <t>v</t>
  </si>
  <si>
    <t>Directorio de agremiaciones, asociaciones y otros grupos de interés</t>
  </si>
  <si>
    <t>w</t>
  </si>
  <si>
    <t xml:space="preserve">Ofertas de empleo </t>
  </si>
  <si>
    <t xml:space="preserve">Decreto único reglamentario sectorial del ambiente </t>
  </si>
  <si>
    <t>y</t>
  </si>
  <si>
    <t xml:space="preserve">Planes de ordenamiento de las cuencas hidrográficas de la jurisdicción </t>
  </si>
  <si>
    <t>z</t>
  </si>
  <si>
    <t>aa</t>
  </si>
  <si>
    <t xml:space="preserve">Los decretos no compilados del sector ambiental </t>
  </si>
  <si>
    <t>ab</t>
  </si>
  <si>
    <t>Resoluciones, circulares u otro tipo de actos administrativos de carácter general</t>
  </si>
  <si>
    <t>ac</t>
  </si>
  <si>
    <t>Presupuesto general asignado</t>
  </si>
  <si>
    <t>ad</t>
  </si>
  <si>
    <t>Información de Ejecución presupuestal histórica anual</t>
  </si>
  <si>
    <t>ae</t>
  </si>
  <si>
    <t>af</t>
  </si>
  <si>
    <t>Estados financieros</t>
  </si>
  <si>
    <t>ag</t>
  </si>
  <si>
    <t>Políticas, lineamientos sectoriales e institucionales o manuales</t>
  </si>
  <si>
    <t>ah</t>
  </si>
  <si>
    <t xml:space="preserve">Plan de Gestión Ambiental Regional </t>
  </si>
  <si>
    <t>ai</t>
  </si>
  <si>
    <t>aj</t>
  </si>
  <si>
    <t>Plan de Acción Anual</t>
  </si>
  <si>
    <t>ak</t>
  </si>
  <si>
    <t>Plan anti-corrupción y de servicio al ciudadano</t>
  </si>
  <si>
    <t>al</t>
  </si>
  <si>
    <t>Plan de gasto público</t>
  </si>
  <si>
    <t>am</t>
  </si>
  <si>
    <t>Programas y proyectos de inversión en ejecución</t>
  </si>
  <si>
    <t>an</t>
  </si>
  <si>
    <t>Metas, objetivos e indicadores de gestión y/o desempeño</t>
  </si>
  <si>
    <t>ao</t>
  </si>
  <si>
    <t>Mecanismos para la Participación de los ciudadanos, usuarios o grupos de interés en la formulación de políticas</t>
  </si>
  <si>
    <t>ap</t>
  </si>
  <si>
    <t>Informes de empalme</t>
  </si>
  <si>
    <t>aq</t>
  </si>
  <si>
    <t>Informes de gestión y evaluación</t>
  </si>
  <si>
    <t>ar</t>
  </si>
  <si>
    <t xml:space="preserve">Informes de auditoría de la CGR </t>
  </si>
  <si>
    <t>as</t>
  </si>
  <si>
    <t>Informe pormenorizado de control interno</t>
  </si>
  <si>
    <t>at</t>
  </si>
  <si>
    <t>Informe de seguimiento al Plan Anticorrupción y de Atención al Ciudadano</t>
  </si>
  <si>
    <t>au</t>
  </si>
  <si>
    <t>Informes de rendición de cuentas</t>
  </si>
  <si>
    <t>av</t>
  </si>
  <si>
    <t>Planes de Mejoramiento (de organismos de control e internos)</t>
  </si>
  <si>
    <t>aw</t>
  </si>
  <si>
    <t>Listado de Entes de control que vigilan a la Entidad y mecanismos de supervisión</t>
  </si>
  <si>
    <t>ax</t>
  </si>
  <si>
    <t>Información para población vulnerable</t>
  </si>
  <si>
    <t>ay</t>
  </si>
  <si>
    <t>Informes sobre demandas y procesos judiciales contra la Entidad</t>
  </si>
  <si>
    <t>az</t>
  </si>
  <si>
    <t xml:space="preserve">Procedimientos, lineamientos y políticas en materia de adquisición y compras </t>
  </si>
  <si>
    <t>ba</t>
  </si>
  <si>
    <t>Plan Anual de Adquisiciones (PAA)</t>
  </si>
  <si>
    <t>bb</t>
  </si>
  <si>
    <t>Procesos contractuales en el SECOP</t>
  </si>
  <si>
    <t>bc</t>
  </si>
  <si>
    <t>Relación de los nombres de los trámites y Otros Procedimientos administrativos inscritos en el SUIT, con un enlace directo al SI Virtual</t>
  </si>
  <si>
    <t>bd</t>
  </si>
  <si>
    <t>Registro de Activos de Información</t>
  </si>
  <si>
    <t>be</t>
  </si>
  <si>
    <t>Índice de Información Clasificada y Reservada</t>
  </si>
  <si>
    <t>bf</t>
  </si>
  <si>
    <t>Esquema de Publicación de Información</t>
  </si>
  <si>
    <t>bg</t>
  </si>
  <si>
    <t>Programa de Gestión Documental</t>
  </si>
  <si>
    <t>bh</t>
  </si>
  <si>
    <t>Tablas de Retención Documental</t>
  </si>
  <si>
    <t>bi</t>
  </si>
  <si>
    <t>Cuadro de Clasificación Documental</t>
  </si>
  <si>
    <t>bj</t>
  </si>
  <si>
    <t>Registro de publicaciones</t>
  </si>
  <si>
    <t>bk</t>
  </si>
  <si>
    <t>Acto administrativo de Costos de reproducción de la información pública</t>
  </si>
  <si>
    <t>bl</t>
  </si>
  <si>
    <t>Mecanismos para presentar quejas y reclamos en relación con omisiones o acciones de la Entidad</t>
  </si>
  <si>
    <t xml:space="preserve">bm </t>
  </si>
  <si>
    <t>Informe de peticiones, quejas, reclamos, denuncias  y solicitudes de acceso a la información</t>
  </si>
  <si>
    <t>bn</t>
  </si>
  <si>
    <t xml:space="preserve">Acto administrativo de cobro de evaluación en trámites ambientales </t>
  </si>
  <si>
    <t>Valor de desempeño en Acceso en línea a información mínima obligatoria de la entidad ALIMOE</t>
  </si>
  <si>
    <t>Acceso a información básica y sobre la estructura de la entidad (diferente al medio electrónico)</t>
  </si>
  <si>
    <t xml:space="preserve">Indique la información que la Entidad publicó en lugares visibles (diferentes al medio electrónico) y de fácil acceso al ciudadano: </t>
  </si>
  <si>
    <t>Localización física de sede central y sucursales o regionales</t>
  </si>
  <si>
    <t xml:space="preserve">AIBSEEDME=∑(a+b…+j)
AIBSEEDME=k=0
</t>
  </si>
  <si>
    <t>Horarios de atención de sede central y sucursales o regionales</t>
  </si>
  <si>
    <t xml:space="preserve">Teléfonos de contacto, líneas gratuitas y fax </t>
  </si>
  <si>
    <t>Listado de trámites y servicios</t>
  </si>
  <si>
    <t>Responsable (dependencia o nombre o cargo) de la atención de peticiones, quejas, reclamos y/o denuncias</t>
  </si>
  <si>
    <t>Correo electrónico de contacto de la Entidad</t>
  </si>
  <si>
    <t>Información relevante de la rendición de cuentas</t>
  </si>
  <si>
    <t>Valor de desempeño en Acceso a información básica y sobre la estructura de la entidad (diferente al medio electrónico) AIBSEEDME</t>
  </si>
  <si>
    <t>Rendición de Cuentas con Datos Abiertos</t>
  </si>
  <si>
    <t>¿La estrategia de rendición de cuentas contempló la entrega de información en datos abiertos a la ciudadanía o grupos de interés?</t>
  </si>
  <si>
    <t xml:space="preserve"> Si. </t>
  </si>
  <si>
    <t xml:space="preserve">RCDA=a=100%
RCDA=b=0
</t>
  </si>
  <si>
    <t>NO</t>
  </si>
  <si>
    <t>Valor de desempeño en Rendición de Cuentas con Datos Abiertos  RCDA</t>
  </si>
  <si>
    <t>Publicación de Datos Abiertos en el Catalogo de Datos del Estado</t>
  </si>
  <si>
    <t xml:space="preserve">¿La Entidad publicó los conjuntos de datos en el catálogo de datos del Estado colombiano www.datos.gov.co? </t>
  </si>
  <si>
    <t>Si.</t>
  </si>
  <si>
    <t xml:space="preserve">PDACDE=a=100%
PDACDE=b=0
</t>
  </si>
  <si>
    <t>Valor de desempeño en Publicación de Datos Abiertos en el Catalogo de Datos del Estado PDACDE</t>
  </si>
  <si>
    <t>MONITOREO DEL ACCESO A LA INFORMACIÓN PÚBLICA</t>
  </si>
  <si>
    <t>Señale la frecuencia con que la Entidad elaboró informes de peticiones, quejas, reclamos, sugerencias y
denuncias</t>
  </si>
  <si>
    <t>Anual</t>
  </si>
  <si>
    <t xml:space="preserve">FIPQR=a=25%
FIPQR=b=50%
FIPQR=c=100%
FIPQR=d=100%
FIPQR=e=100%
</t>
  </si>
  <si>
    <t>Semestral</t>
  </si>
  <si>
    <t>Trimestral</t>
  </si>
  <si>
    <t>Bimestral</t>
  </si>
  <si>
    <t>Mensual</t>
  </si>
  <si>
    <t>Valor de desempeño en Frecuencia de Informes de Peticiones, quejas y reclamos FIPQR</t>
  </si>
  <si>
    <t>Respuesta oportuna a solicitudes de información</t>
  </si>
  <si>
    <t>¿Cuántas peticiones de información recibió la Entidad durante la vigencia evaluada?</t>
  </si>
  <si>
    <t>#</t>
  </si>
  <si>
    <t>ROSI=b/a*100</t>
  </si>
  <si>
    <t>¿Cuántas peticiones de información contestó la Entidad, dentro de los términos legales, durante la vigencia evaluada?</t>
  </si>
  <si>
    <t>Valor de desempeño en Respuesta oportuna a solicitudes de información ROSI</t>
  </si>
  <si>
    <t>Existencia de reglamento interno para la gestión de solicitudes de información</t>
  </si>
  <si>
    <t>¿La Entidad definió y publicó un reglamento interno para la gestión de las peticiones y quejas recibidas?</t>
  </si>
  <si>
    <t xml:space="preserve">ERIGSI=a=100%
ERIGSI=b=0
</t>
  </si>
  <si>
    <t>Valor de desempeño en Existencia de reglamento interno para la gestión de solicitudes de información ERIGSI</t>
  </si>
  <si>
    <t>DMAIP=(FIPQR*0,40)+(ROSI*0,40)+(ERIGSI*0,20)</t>
  </si>
  <si>
    <t>LINEAMIENTOS PARA EL MANEJO Y LA SEGURIDAD DE LA INFORMACIÓN PÚBLICA</t>
  </si>
  <si>
    <t>Implementación de la Política de tratamiento de datos personales</t>
  </si>
  <si>
    <t>Cuenta con una política de tratamiento de datos personales en lenguaje claro y dispuesta para el conocimiento de los titulares de la información.</t>
  </si>
  <si>
    <t>IPTDP=∑(a+b…+g)</t>
  </si>
  <si>
    <t>Permite al titular de la información, en cualquier momento, conocer la información que exista sobre él en sus bancos de datos.</t>
  </si>
  <si>
    <t>Cuenta con la autorización del ciudadano para la recolección de los datos personales</t>
  </si>
  <si>
    <t>Atiende las peticiones o consultas dentro del término legal (10 días hábiles).</t>
  </si>
  <si>
    <t>Tramita los reclamos en los términos establecidos en la ley (15 días hábiles).</t>
  </si>
  <si>
    <t>Procede a la supresión de los datos personales, una vez cumplida la finalidad del tratamiento de los mismos.</t>
  </si>
  <si>
    <t>Conserva la información bajo condiciones de seguridad para impedir su adulteración, pérdida, consulta, uso o acceso no autorizado o fraudulento.</t>
  </si>
  <si>
    <t>Valor de desempeño en Implementación de la Política de tratamiento de datos personales IPTDP</t>
  </si>
  <si>
    <t>Divulgación de la Política de tratamiento de datos personales</t>
  </si>
  <si>
    <t xml:space="preserve">La Entidad divulgó su política de tratamiento de datos personales: </t>
  </si>
  <si>
    <t>Personalmente al titular en el momento de la recolección de datos personales</t>
  </si>
  <si>
    <t xml:space="preserve">DPTDP=a+b+c
DPTDP=d=0
</t>
  </si>
  <si>
    <t>Mediante aviso de privacidad</t>
  </si>
  <si>
    <t>Página web de la Entidad</t>
  </si>
  <si>
    <t xml:space="preserve">No la divulga </t>
  </si>
  <si>
    <t>Valor de desempeño en Divulgación de la Política de tratamiento de datos personales DPTD</t>
  </si>
  <si>
    <t>Existencia del diagnóstico de seguridad y privacidad</t>
  </si>
  <si>
    <t>¿La Entidad cuenta con el documento del  diagnóstico de seguridad y privacidad, donde se  identificaron  y analizaron los riesgos existentes</t>
  </si>
  <si>
    <t>Si</t>
  </si>
  <si>
    <t xml:space="preserve">EDSP=a=100%
EDSP=b=0
</t>
  </si>
  <si>
    <t xml:space="preserve">Valor de desempeño en Existencia del diagnóstico de seguridad y privacidad EDSP </t>
  </si>
  <si>
    <t>Definición de la política de seguridad de la información</t>
  </si>
  <si>
    <t xml:space="preserve">¿Se tiene establecida la política de seguridad de la información para la Entidad.? </t>
  </si>
  <si>
    <t xml:space="preserve">DPSI=a=100%
DPSI=b=0
</t>
  </si>
  <si>
    <t>Valor de desempeño en Definición de la política de seguridad de la información DPSI</t>
  </si>
  <si>
    <t>Implementación de la política de seguridad de la información</t>
  </si>
  <si>
    <t>El documento con las políticas de seguridad y privacidad de la información se encuentra:</t>
  </si>
  <si>
    <t xml:space="preserve">IPSI=a=25%
IPSI=b=50%
IPSI=c=75%
IPSI=d=100%
</t>
  </si>
  <si>
    <t>Revisado y aprobado por la Dirección</t>
  </si>
  <si>
    <t>Valor de desempeño en Implementación de la política de seguridad de la información IPSI</t>
  </si>
  <si>
    <t>INSTITUCIONALIZACIÓN DE LA POLÍTICA DE ACCESO A LA INFORMACIÓN PÚBLICA</t>
  </si>
  <si>
    <t>Política de Transparencia en la planeación institucional</t>
  </si>
  <si>
    <t>¿La política de transparencia, participación y servicio al ciudadano, está incluida en los planes estratégicos de la entidad (PGAR Y PAI)?</t>
  </si>
  <si>
    <t>PRPI=a+b+c+d</t>
  </si>
  <si>
    <t>¿La política de transparencia, participación y servicio al ciudadano, está incluida en los planes de capacitación de la entidad?</t>
  </si>
  <si>
    <t>Valor de desempeño en Política de Transparencia en la planeación institucional PRPI</t>
  </si>
  <si>
    <t>IPAI=PRPI</t>
  </si>
  <si>
    <t>La elaboró</t>
  </si>
  <si>
    <t>La aprobó por el Comité Institucional de Archivo</t>
  </si>
  <si>
    <t>La implementó</t>
  </si>
  <si>
    <t>No tiene PGD</t>
  </si>
  <si>
    <t>Lo elaboró</t>
  </si>
  <si>
    <t>INSTRUMENTOS DE GESTIÓN DE LA INFORMACIÓN</t>
  </si>
  <si>
    <t xml:space="preserve">Implementación del Registro de Activos de Información </t>
  </si>
  <si>
    <t>Señale qué actividades desarrolló la Entidad frente al registro de activos de información:</t>
  </si>
  <si>
    <t xml:space="preserve"> Elaboración</t>
  </si>
  <si>
    <t>Aprobación</t>
  </si>
  <si>
    <t>Publicación. Ingrese URL</t>
  </si>
  <si>
    <t>Actualización</t>
  </si>
  <si>
    <t xml:space="preserve">Ninguna de las anteriores </t>
  </si>
  <si>
    <t>Valor de desempeño en Implementación del Registro de Activos de Información  IRAI</t>
  </si>
  <si>
    <t>Implementación del Índice de Información Clasificada y Reservada</t>
  </si>
  <si>
    <t xml:space="preserve">Señale qué actividades desarrolló la Entidad frente al Índice de Información Clasificada y Reservada: </t>
  </si>
  <si>
    <t>Elaboración</t>
  </si>
  <si>
    <t xml:space="preserve">IIICR=a+b+c+d
IIICR=e=0
</t>
  </si>
  <si>
    <t>Valor de desempeño en Implementación del Índice de Información Clasificada y Reservada IIICR</t>
  </si>
  <si>
    <t xml:space="preserve">Implementación del esquema de publicación de la información </t>
  </si>
  <si>
    <t xml:space="preserve">Señale qué actividades desarrolló la Entidad frente al Esquema de publicación de información </t>
  </si>
  <si>
    <t xml:space="preserve">IEPI=a+b+c+d
IEPI=e=0
</t>
  </si>
  <si>
    <t>Valor de desempeño en Implementación del esquema de publicación de la información IEPI</t>
  </si>
  <si>
    <t>IGI=(IRA*0.35)+(IIICR*0.35)+(IEPI*0.30)</t>
  </si>
  <si>
    <t>CRITERIO DIFERENCIAL DE ACCESIBILIDAD PARA EL ACCESO A LA INFORMACIÓN</t>
  </si>
  <si>
    <t>Identificación de ciudadanos que hablan lenguas o idiomas diferentes al castellano</t>
  </si>
  <si>
    <t>¿La Entidad ha identificado ciudadanos, usuarios o grupos de interés cuya única forma de comunicación sean lenguas y/o idiomas diferentes al castellano?</t>
  </si>
  <si>
    <t xml:space="preserve">ICHLIDC=a=100%
ICHLIDC=b=0
</t>
  </si>
  <si>
    <t>Valor de desempeño en Identificación de ciudadanos que hablan lenguas o idiomas diferentes al castellano ICHLIDC</t>
  </si>
  <si>
    <t xml:space="preserve">Accesibilidad a espacios físicos </t>
  </si>
  <si>
    <t>¿La Entidad efectuó ajustes razonables para garantizar la accesibilidad a los espacios físicos conforme a lo establecido en la NTC 6047?</t>
  </si>
  <si>
    <t xml:space="preserve"> Si.</t>
  </si>
  <si>
    <t xml:space="preserve">AEP=a=100%
AEP=b=0
</t>
  </si>
  <si>
    <t>Valor de desempeño en Accesibilidad a espacios físicos  AEP</t>
  </si>
  <si>
    <t>Acceso a información y servicios con criterio diferencial</t>
  </si>
  <si>
    <t>¿La Entidad implementó acciones para garantizar el acceso de las personas con discapacidad a los servicios que presta y a la información pública?</t>
  </si>
  <si>
    <t xml:space="preserve">AISCD=a=100%
AISCD=b=0
</t>
  </si>
  <si>
    <t>Valor de desempeño en Acceso a información y servicios con criterio diferencial AISCD</t>
  </si>
  <si>
    <t xml:space="preserve">Información pública disponible en sitio web dirigida a diferentes grupos de población </t>
  </si>
  <si>
    <t>¿El sitio web cuenta con información dirigida a diferentes grupos de población?</t>
  </si>
  <si>
    <t xml:space="preserve">IPDSWDGP=a=100%
IPDSWDGP=b=0
</t>
  </si>
  <si>
    <t>Valor de desempeño en Información pública disponible en sitio web dirigida a diferentes grupos de población IPDSWDGP</t>
  </si>
  <si>
    <t>Accesibilidad, Usabilidad, Estilo e Interoperabilidad de los Sistemas de Información de la entidad</t>
  </si>
  <si>
    <t xml:space="preserve">¿La institución cuenta con sistemas de información que cumplan con las características de accesibilidad, estilo y usabilidad,  interoperables y que permitan la apertura de datos de acuerdo a las necesidades de los usuarios? </t>
  </si>
  <si>
    <t>Totalmente</t>
  </si>
  <si>
    <t xml:space="preserve">AUEISIE=a=100%
AUEISIE=b=50%
AUEISIE=c=25%
</t>
  </si>
  <si>
    <t>Parcialmente</t>
  </si>
  <si>
    <t>Incipientemente</t>
  </si>
  <si>
    <t>Valor de desempeño en Accesibilidad, Usabilidad, Estilo e Interoperabilidad de los Sistemas de Información de la entidad AUEISIE</t>
  </si>
  <si>
    <t xml:space="preserve">DETALLE DE RESPUESTA  </t>
  </si>
  <si>
    <t>MARQUE CON UNA X O INDIQUE EL NÚMERO SEGÚN CORRESPONDA</t>
  </si>
  <si>
    <t xml:space="preserve">RANGO DE SUMA </t>
  </si>
  <si>
    <t xml:space="preserve">CÁLCULO DE LA PREGUNTA </t>
  </si>
  <si>
    <t>Consulta en línea para la solución de problemas</t>
  </si>
  <si>
    <t>SI</t>
  </si>
  <si>
    <t>Si responde a=100%</t>
  </si>
  <si>
    <t>si responde b=0</t>
  </si>
  <si>
    <t>Señale sobre cuáles temas se publicaron las observaciones recibidas por canales electrónicos en actividades de participación</t>
  </si>
  <si>
    <t>Rendición de Cuentas. Indique URL</t>
  </si>
  <si>
    <t xml:space="preserve"> Elaboración de normatividad. Indique URL</t>
  </si>
  <si>
    <t>Formulación de la planeación. Indique URL</t>
  </si>
  <si>
    <t>Formulación de políticas, programas y proyectos. Indique URL</t>
  </si>
  <si>
    <t xml:space="preserve"> Ejercicios de innovación abierta. Indique URL:</t>
  </si>
  <si>
    <t>Promoción del control social. Indique URL</t>
  </si>
  <si>
    <t xml:space="preserve"> Otro, ¿Cuál?. Indique URL</t>
  </si>
  <si>
    <t xml:space="preserve"> Ninguno</t>
  </si>
  <si>
    <t>Señale las actividades realizadas para promover la participación ciudadana en ejercicios de innovación abierta:</t>
  </si>
  <si>
    <t>Concursos</t>
  </si>
  <si>
    <t xml:space="preserve"> Solicitud de ideas</t>
  </si>
  <si>
    <t xml:space="preserve"> Revisión y análisis de peticiones, quejas, reclamos y denuncias recibidas</t>
  </si>
  <si>
    <t xml:space="preserve"> Votación de ideas o propuestas</t>
  </si>
  <si>
    <t xml:space="preserve"> Reuniones colectivas</t>
  </si>
  <si>
    <t xml:space="preserve">  Consulta individual</t>
  </si>
  <si>
    <t>Encuesta a organizaciones sociales</t>
  </si>
  <si>
    <t xml:space="preserve"> Otro, ¿Cuál?</t>
  </si>
  <si>
    <t>Señale los canales utilizados para promover la participación ciudadana en ejercicios de innovación abierta:</t>
  </si>
  <si>
    <t>Llamadas telefónicas</t>
  </si>
  <si>
    <t xml:space="preserve"> Blog</t>
  </si>
  <si>
    <t>Teleconferencias interactivas</t>
  </si>
  <si>
    <t xml:space="preserve"> Foros Virtuales</t>
  </si>
  <si>
    <t xml:space="preserve"> Mensajes de texto</t>
  </si>
  <si>
    <t xml:space="preserve"> Eventos de creativos y/o de desarrolladores</t>
  </si>
  <si>
    <t xml:space="preserve"> Plataformas especializadas</t>
  </si>
  <si>
    <t>Redes Sociales</t>
  </si>
  <si>
    <t xml:space="preserve"> Encuesta en el sitio Web</t>
  </si>
  <si>
    <t> Formulación participativa de las políticas públicas, planes y programas institucionales</t>
  </si>
  <si>
    <t>Señale los temas en los cuales la entidad convocó a participar a los diferentes grupos de interés:</t>
  </si>
  <si>
    <t>Elaboración de normatividad</t>
  </si>
  <si>
    <t xml:space="preserve"> Formulación de la planeación</t>
  </si>
  <si>
    <t xml:space="preserve"> Formulación de políticas, programas y proyectos</t>
  </si>
  <si>
    <t xml:space="preserve"> Ejecución de programas, proyectos y servicios</t>
  </si>
  <si>
    <t xml:space="preserve"> Ejercicios de innovación abierta</t>
  </si>
  <si>
    <t>Uso de conjunto de datos abiertos publicados</t>
  </si>
  <si>
    <t>Señale los canales a través de los cuales la Entidad consultó a la ciudadanía, usuarios o grupos de interés durante el proceso de elaboración de normatividad:</t>
  </si>
  <si>
    <t>Reuniones colectivas</t>
  </si>
  <si>
    <t xml:space="preserve"> Consulta individual</t>
  </si>
  <si>
    <t xml:space="preserve"> Encuesta a organizaciones sociales</t>
  </si>
  <si>
    <t xml:space="preserve"> Vía internet (Foros virtuales, chat, redes sociales, correo electrónico, etc.)</t>
  </si>
  <si>
    <t xml:space="preserve"> Llamadas telefónicas (Fijo y móvil)</t>
  </si>
  <si>
    <t>Indique:</t>
  </si>
  <si>
    <t>Cuántos ciudadanos en total participaron en la construcción y/o desarrollo de los planes, programas o proyectos de la entidad</t>
  </si>
  <si>
    <t>((s/r)*100</t>
  </si>
  <si>
    <t>Identificación del nivel de participación ciudadana en la gestión de la entidad</t>
  </si>
  <si>
    <t>Señale las actividades que la Entidad incluyó en la estrategia de participación ciudadana para involucrar a la ciudadanía en la gestión institucional:</t>
  </si>
  <si>
    <t xml:space="preserve"> Elaboración de normatividad</t>
  </si>
  <si>
    <t>Formulación de la planeación</t>
  </si>
  <si>
    <t xml:space="preserve"> Solución de problemas institucionales mediante ejercicios de innovación abierta</t>
  </si>
  <si>
    <t xml:space="preserve"> Promoción del control social y veedurías ciudadanas</t>
  </si>
  <si>
    <t xml:space="preserve"> Apertura de datos</t>
  </si>
  <si>
    <t xml:space="preserve"> Diagnóstico de las necesidades de la ciudadanía</t>
  </si>
  <si>
    <t xml:space="preserve"> Implementación de enfoque basado en los derechos humanos</t>
  </si>
  <si>
    <t>De las actividades formuladas en la estrategia de participación ciudadana, señale cuáles se realizaron por medios electrónicos:</t>
  </si>
  <si>
    <t>Formulación de políticas, programas y proyectos</t>
  </si>
  <si>
    <t xml:space="preserve"> Ejercicios de innovación abierta para la solución de problemas relacionados con sus funciones</t>
  </si>
  <si>
    <t>Promoción del control social</t>
  </si>
  <si>
    <t xml:space="preserve"> Ninguno de los anteriores</t>
  </si>
  <si>
    <t>Señale los grupos de interés que la Entidad integró en las actividades de participación ciudadana adelantadas:</t>
  </si>
  <si>
    <t>Organizaciones no gubernamentales</t>
  </si>
  <si>
    <t xml:space="preserve"> Academia</t>
  </si>
  <si>
    <t>Producción (gremios)</t>
  </si>
  <si>
    <t>Institucionales (órganos de control)</t>
  </si>
  <si>
    <t xml:space="preserve"> Veedurías ciudadanas</t>
  </si>
  <si>
    <t xml:space="preserve"> Ciudadanía</t>
  </si>
  <si>
    <t>Usuarios</t>
  </si>
  <si>
    <t xml:space="preserve"> Otros , cuales ?</t>
  </si>
  <si>
    <t>Señale la frecuencia con que se integraron las veedurías ciudadanas, organizaciones no gubernamentales, organizaciones sociales o a la ciudadanía en las actividades de participación ciudadana.</t>
  </si>
  <si>
    <t>Más de 4 veces en el año</t>
  </si>
  <si>
    <t>si selecciona ae=100%</t>
  </si>
  <si>
    <t>si selecciona af=50%</t>
  </si>
  <si>
    <t>Señale las acciones que la Entidad adelantó para promover la participación ciudadana:</t>
  </si>
  <si>
    <t>Asesoría</t>
  </si>
  <si>
    <t xml:space="preserve"> Capacitación a los Ciudadanos</t>
  </si>
  <si>
    <t xml:space="preserve"> Capacitación a los Servidores de la Entidad</t>
  </si>
  <si>
    <t xml:space="preserve"> Difusión</t>
  </si>
  <si>
    <t xml:space="preserve"> Ninguna</t>
  </si>
  <si>
    <t>Respecto a las veedurías ciudadanas, grupos de control social, usuarios o ciudadanía que presentaron observaciones, recomendaciones o denuncias, la Entidad:</t>
  </si>
  <si>
    <t>Mantuvo un registro sistemático de las observaciones y recomendaciones</t>
  </si>
  <si>
    <t xml:space="preserve"> Evaluó los correctivos que surgen de las observaciones y recomendaciones</t>
  </si>
  <si>
    <t xml:space="preserve"> Facilitó y permitió el acceso a la información requerida</t>
  </si>
  <si>
    <t>Fue objeto de vigilancia por las Entidades de Control a partir de denuncias e Inició procesos internos disciplinarios a servidores a partir de denuncias instauradas</t>
  </si>
  <si>
    <t xml:space="preserve"> Realizó ajustes a la planeación institucional con base en las observaciones y recomendaciones ciudadanas</t>
  </si>
  <si>
    <t xml:space="preserve"> Modificó un proyecto, programa y/o servicio, con base en las observaciones y recomendaciones ciudadanas</t>
  </si>
  <si>
    <t xml:space="preserve"> No se presentaron observaciones, recomendaciones o denuncias ciudadanas</t>
  </si>
  <si>
    <t>Planeación de la participación</t>
  </si>
  <si>
    <t>Señale los canales a través de los cuales la Entidad convocó a la ciudadanía, usuarios o grupos de interés durante el proceso de planeación de la Entidad:</t>
  </si>
  <si>
    <t>Señale los canales a través de los cuales la Entidad consultó a la ciudadanía, usuarios u otros grupos de interés durante el proceso de planeación de la Entidad:</t>
  </si>
  <si>
    <t>¿Como resultado de qué canales, la Entidad formuló políticas, planes o programas institucionales?</t>
  </si>
  <si>
    <t>Señale los temas frente a los cuales se incorporaron observaciones de los grupos de interés:</t>
  </si>
  <si>
    <t xml:space="preserve"> Promoción del control social</t>
  </si>
  <si>
    <t xml:space="preserve"> No se recibieron observaciones por parte de los grupos de interés</t>
  </si>
  <si>
    <t xml:space="preserve"> No se incorporaron observaciones recibidas</t>
  </si>
  <si>
    <t>(CLSP*0,25)+(FPPPPPI*0,25)+(INPCGE*0,25)+(PP*0,25)</t>
  </si>
  <si>
    <t xml:space="preserve">Planeación </t>
  </si>
  <si>
    <t>Señale los canales a través de los cuales la Entidad promovió la Participación Ciudadana y que adicionalmente utilizó para definir los temas y contenidos de la Rendición de Cuentas:</t>
  </si>
  <si>
    <t>Peticiones, quejas, reclamos y denuncias</t>
  </si>
  <si>
    <t xml:space="preserve"> Chat</t>
  </si>
  <si>
    <t xml:space="preserve"> Llamadas telefónicas</t>
  </si>
  <si>
    <t xml:space="preserve"> Redes Sociales</t>
  </si>
  <si>
    <t xml:space="preserve"> Encuesta en la página web</t>
  </si>
  <si>
    <t>Consulta directa a organizaciones sociales</t>
  </si>
  <si>
    <t>¿La Entidad publicó los resultados de la consulta de los temas y contenidos para la rendición de cuentas, identificando las prioridades establecidas por los ciudadanos?</t>
  </si>
  <si>
    <t>Si selecciona m =100%</t>
  </si>
  <si>
    <t>Si selecciona n=0</t>
  </si>
  <si>
    <t>La estrategia de Rendición de Cuentas contempló el cronograma de:</t>
  </si>
  <si>
    <t>Las acciones de diálogo</t>
  </si>
  <si>
    <t xml:space="preserve"> Las acciones de incentivos</t>
  </si>
  <si>
    <t xml:space="preserve"> Las acciones de información</t>
  </si>
  <si>
    <t xml:space="preserve">Información </t>
  </si>
  <si>
    <t>Seleccione los medios utilizados para divulgar la información en el proceso de rendición de cuentas:</t>
  </si>
  <si>
    <t>Mensajes de texto</t>
  </si>
  <si>
    <t xml:space="preserve"> Radio</t>
  </si>
  <si>
    <t xml:space="preserve"> Televisión</t>
  </si>
  <si>
    <t xml:space="preserve"> Prensa</t>
  </si>
  <si>
    <t xml:space="preserve"> Sitio web</t>
  </si>
  <si>
    <t xml:space="preserve"> Correo electrónico</t>
  </si>
  <si>
    <t xml:space="preserve"> Aplicación móvil</t>
  </si>
  <si>
    <t>boletines impresos</t>
  </si>
  <si>
    <t>Carteleras</t>
  </si>
  <si>
    <t xml:space="preserve"> Reuniones</t>
  </si>
  <si>
    <t xml:space="preserve"> Centros de documentación</t>
  </si>
  <si>
    <t>Seleccione los contenidos sobre los cuáles la Entidad divulgó información:</t>
  </si>
  <si>
    <t>Productos y/o Servicios</t>
  </si>
  <si>
    <t xml:space="preserve"> Trámites</t>
  </si>
  <si>
    <t xml:space="preserve"> Espacios de participación en línea</t>
  </si>
  <si>
    <t xml:space="preserve"> Espacios de participación presencial</t>
  </si>
  <si>
    <t xml:space="preserve"> Oferta de información en canales electrónicos</t>
  </si>
  <si>
    <t xml:space="preserve"> Oferta de información en canales presenciales</t>
  </si>
  <si>
    <t xml:space="preserve"> Conjuntos de datos abiertos disponibles</t>
  </si>
  <si>
    <t xml:space="preserve"> Avances y resultados de la gestión institucional</t>
  </si>
  <si>
    <t xml:space="preserve"> Enfoque de derechos humanos en la rendición de cuentas</t>
  </si>
  <si>
    <t>Si selecciona z =100%</t>
  </si>
  <si>
    <t>Si selecciona aa=0</t>
  </si>
  <si>
    <t>Diálogo</t>
  </si>
  <si>
    <t>Seleccione los canales a través de los cuales se realizó la convocatoria a las acciones de diálogo:</t>
  </si>
  <si>
    <t>Radio</t>
  </si>
  <si>
    <t xml:space="preserve"> Telefonía móvil</t>
  </si>
  <si>
    <t xml:space="preserve"> Telefonía fija</t>
  </si>
  <si>
    <t>Perifoneo</t>
  </si>
  <si>
    <t xml:space="preserve"> Invitación física personalizada</t>
  </si>
  <si>
    <t>Seleccione las acciones de diálogo definidas por la Entidad para la Rendición de Cuentas:</t>
  </si>
  <si>
    <t>Foros ciudadanos participativos por proyectos, temas o servicios.</t>
  </si>
  <si>
    <t xml:space="preserve"> Ferias de la gestión con pabellones temáticos.</t>
  </si>
  <si>
    <t xml:space="preserve"> Audiencias públicas participativas.</t>
  </si>
  <si>
    <t xml:space="preserve"> Audiencias públicas participativas virtuales</t>
  </si>
  <si>
    <t xml:space="preserve"> Observatorios ciudadanos</t>
  </si>
  <si>
    <t xml:space="preserve"> Tiendas temáticas o sectoriales.</t>
  </si>
  <si>
    <t xml:space="preserve"> Mesas de diálogo regionales o temáticas.</t>
  </si>
  <si>
    <t xml:space="preserve"> Reuniones zonales.</t>
  </si>
  <si>
    <t>Asambleas comunitarias.</t>
  </si>
  <si>
    <t xml:space="preserve"> Teleconferencias interactivas</t>
  </si>
  <si>
    <t>Seleccione los métodos de participación que definió en las acciones de diálogo:</t>
  </si>
  <si>
    <t>Preguntas y respuestas</t>
  </si>
  <si>
    <t xml:space="preserve"> Talleres o mesas de trabajo</t>
  </si>
  <si>
    <t xml:space="preserve"> Exposición o difusión de la información por multicanales</t>
  </si>
  <si>
    <t xml:space="preserve"> Exposición de organizaciones sociales convocadas</t>
  </si>
  <si>
    <t xml:space="preserve"> No se definió ningún método</t>
  </si>
  <si>
    <t>Seleccione los grupos de interés que participaron en las acciones de diálogo:</t>
  </si>
  <si>
    <t xml:space="preserve"> Usuarios e Institucionales</t>
  </si>
  <si>
    <t xml:space="preserve"> Producción (gremios)</t>
  </si>
  <si>
    <t xml:space="preserve"> Organizaciones Sociales (veedurías, asociaciones, juntas de acción comunal, etc.)</t>
  </si>
  <si>
    <t>En las acciones de diálogo, ¿cuáles medios electrónicos habilitó la Entidad?</t>
  </si>
  <si>
    <t>Chat</t>
  </si>
  <si>
    <t xml:space="preserve"> Línea telefónica</t>
  </si>
  <si>
    <t>Blogs</t>
  </si>
  <si>
    <t xml:space="preserve">Incentivos </t>
  </si>
  <si>
    <t>Dé las acciones e incentivos que se incluyeron en la estrategia de rendición de cuentas:</t>
  </si>
  <si>
    <t>Capacitación a servidores públicos y a ciudadanos</t>
  </si>
  <si>
    <t xml:space="preserve"> Encuestas y difusión de resultados</t>
  </si>
  <si>
    <t xml:space="preserve"> Participación, innovación y colaboración abierta</t>
  </si>
  <si>
    <t xml:space="preserve"> Concursos de conocimiento de la entidad</t>
  </si>
  <si>
    <t>Como resultado de los ejercicios de rendición de cuentas realizados por la entidad:</t>
  </si>
  <si>
    <t>Se identificaron debilidades, retos, u oportunidades institucionales</t>
  </si>
  <si>
    <t xml:space="preserve"> Se formularon acciones de mejoramiento</t>
  </si>
  <si>
    <t xml:space="preserve"> Se implementaron acciones de mejoramiento</t>
  </si>
  <si>
    <t xml:space="preserve"> Se divulgaron las acciones de mejoramiento a los ciudadanos, usuarios o grupos de interés</t>
  </si>
  <si>
    <t xml:space="preserve"> Se incrementó la participación ciudadana</t>
  </si>
  <si>
    <t xml:space="preserve"> Ninguna de las anteriores</t>
  </si>
  <si>
    <t xml:space="preserve">Evaluación </t>
  </si>
  <si>
    <t>¿La Entidad evaluó todas y cada una de las acciones de la estrategia de Rendición de Cuentas?</t>
  </si>
  <si>
    <t>Si selecciona a=100%</t>
  </si>
  <si>
    <t>si selecciona b=75%</t>
  </si>
  <si>
    <t>si selecciona c=50%</t>
  </si>
  <si>
    <t>si selecciona d=25%</t>
  </si>
  <si>
    <t>si selecciona e=0</t>
  </si>
  <si>
    <t>La Entidad analizó la percepción de ciudadanos, usuarios o grupos de interés frente a:</t>
  </si>
  <si>
    <t>La calidad de la información que entrega o publica</t>
  </si>
  <si>
    <t xml:space="preserve"> La gestión de la entidad</t>
  </si>
  <si>
    <t xml:space="preserve"> Su participación en la gestión de la entidad</t>
  </si>
  <si>
    <t xml:space="preserve"> Transparencia en la gestión de la entidad</t>
  </si>
  <si>
    <t xml:space="preserve"> El impacto de los incentivos adoptados para promover la petición de cuentas</t>
  </si>
  <si>
    <t xml:space="preserve"> La estrategia de Rendición de Cuentas implementada</t>
  </si>
  <si>
    <t xml:space="preserve"> Los eventos donde se rinde cuentas (logística)</t>
  </si>
  <si>
    <t xml:space="preserve"> Su satisfacción por intervenir en la Rendición de Cuentas</t>
  </si>
  <si>
    <t xml:space="preserve"> Su satisfacción por intervenir en la toma de decisiones</t>
  </si>
  <si>
    <t xml:space="preserve"> Su satisfacción porque su opinión es tenida en cuenta</t>
  </si>
  <si>
    <t xml:space="preserve"> Productos y/o servicios (cumplimiento de las expectativas y requisitos del cliente)</t>
  </si>
  <si>
    <t xml:space="preserve"> Trámites y procedimientos administrativos de cara al ciudadano</t>
  </si>
  <si>
    <t xml:space="preserve"> No se analiza la percepción de ciudadanos, usuarios o grupos de interés</t>
  </si>
  <si>
    <t>Los resultados de los análisis de la medición de satisfacción de los usuarios, ciudadanos o grupos de interés impulsaron a la Entidad a:</t>
  </si>
  <si>
    <t>Definir acciones correctivas dentro de su gestión</t>
  </si>
  <si>
    <t>((s+t+u+v+w)/5)*100                                                                                si selecciona x=0</t>
  </si>
  <si>
    <t xml:space="preserve"> Fortalecer los canales de comunicación con sus usuarios</t>
  </si>
  <si>
    <t xml:space="preserve"> Definir planes en respuesta a necesidades manifestadas por los usuarios, ciudadanos o grupos de interés</t>
  </si>
  <si>
    <t xml:space="preserve"> Corregir la calidad de la información que suministra y publica</t>
  </si>
  <si>
    <t>Realizar mejoras a la estrategia de Rendición de Cuentas a partir de las observaciones y recomendaciones dadas por los ciudadanos, usuarios o grupos de interés</t>
  </si>
  <si>
    <t xml:space="preserve">  No toma ninguna acción</t>
  </si>
  <si>
    <t>La satisfacción de los usuarios, ciudadanos y grupos de interés frente al ejercicio de Rendición de Cuentas fue:</t>
  </si>
  <si>
    <t>Muy alta</t>
  </si>
  <si>
    <t>Si selecciona y=100%</t>
  </si>
  <si>
    <t>si selecciona z=75%</t>
  </si>
  <si>
    <t>si selecciona aa=50%</t>
  </si>
  <si>
    <t>si selecciona ab=25%</t>
  </si>
  <si>
    <t xml:space="preserve"> Muy baja</t>
  </si>
  <si>
    <t>si selecciona ac=0</t>
  </si>
  <si>
    <t>¿Por cuáles medios se divulgó la evaluación de cada una de las acciones de la estrategia de Rendición de Cuentas?</t>
  </si>
  <si>
    <t>Sitio web</t>
  </si>
  <si>
    <t xml:space="preserve"> Comunicado escrito</t>
  </si>
  <si>
    <t xml:space="preserve"> Reunión presencial</t>
  </si>
  <si>
    <t xml:space="preserve">INDICADOR </t>
  </si>
  <si>
    <t xml:space="preserve">PESO DEL INDICADOR  </t>
  </si>
  <si>
    <t xml:space="preserve">DETALLE RESPUESTA </t>
  </si>
  <si>
    <t xml:space="preserve">FÓRMULA DE CÁLCULO </t>
  </si>
  <si>
    <t xml:space="preserve">PLANEACIÓN y ORGANIZACIÓN </t>
  </si>
  <si>
    <t xml:space="preserve">¿La Entidad ha realizado caracterización de ciudadanos. usuarios o grupos de interés atendidos? </t>
  </si>
  <si>
    <t xml:space="preserve">Si </t>
  </si>
  <si>
    <t>PO= ∑a+b…+p</t>
  </si>
  <si>
    <t xml:space="preserve">No </t>
  </si>
  <si>
    <t>¿La Entidad cuenta con procesos o procedimientos de servicio al ciudadano documentados e implementados (peticiones, quejas, reclamos y denuncias, trámites y servicios)?</t>
  </si>
  <si>
    <t>¿La entidad cuenta con una dependencia encargada de recibir, tramitar y resolver las quejas, sugerencias y reclamos que los ciudadanos formulen, y que se relacionen con el cumplimiento de la misión de la entidad?.</t>
  </si>
  <si>
    <t>¿La entidad incluyó dentro de su Plan Institucional, acciones para garantizar el acceso real y efectivo de las personas con discapacidad a los servicios que ofrece?.</t>
  </si>
  <si>
    <t>¿La Entidad incorpora en su presupuesto recursos destinados para garantizar el acceso real y efectivo de las personas con discapacidad a los servicios que ofrece?.</t>
  </si>
  <si>
    <t>¿En el último año se han presentado proyectos concretos para la mejora del servicio al ciudadano?</t>
  </si>
  <si>
    <t>¿Los proyectos propuestos para la mejora del servicio al ciudadano tienen o han tenido recursos asignados?</t>
  </si>
  <si>
    <t xml:space="preserve">En los procesos de selección de los servidores públicos que tienen funciones relacionadas con servicio al ciudadano, ¿la entidad tiene en cuenta las competencias requeridas? </t>
  </si>
  <si>
    <t xml:space="preserve">INTERACCIÓN CON EL USUARIO </t>
  </si>
  <si>
    <t>¿La Entidad ha implementado protocolos de servicio en todos los canales dispuestos para la atención ciudadana?.</t>
  </si>
  <si>
    <t>IU= ∑a+b…+aa</t>
  </si>
  <si>
    <t xml:space="preserve">Indique los canales y/o espacios de la Entidad para interactuar con ciudadanos, usuarios o grupos de interés. </t>
  </si>
  <si>
    <t>Oficinas de atención</t>
  </si>
  <si>
    <t>Kioscos</t>
  </si>
  <si>
    <t>Centros Integrados de Servicio Estáticos (Ej. CADES)</t>
  </si>
  <si>
    <t>Centros Integrados de Servicio Móviles (Ej. Ferias)</t>
  </si>
  <si>
    <t>Correo postal</t>
  </si>
  <si>
    <t>Telefónico</t>
  </si>
  <si>
    <t>PBX</t>
  </si>
  <si>
    <t>Sitio de Respuesta de Voz Interactiva</t>
  </si>
  <si>
    <t>Telefonía móvil (voz)</t>
  </si>
  <si>
    <t>SMS (Mensajes de texto)</t>
  </si>
  <si>
    <t>Foros</t>
  </si>
  <si>
    <t>Servicios informativos</t>
  </si>
  <si>
    <t xml:space="preserve">Otro </t>
  </si>
  <si>
    <t>¿Cuál?</t>
  </si>
  <si>
    <t>¿Los sistemas de información con los que cuenta para prestar servicios están articulados?</t>
  </si>
  <si>
    <t>si</t>
  </si>
  <si>
    <t>¿La Entidad cuenta con una línea gratuita de atención al ciudadano?</t>
  </si>
  <si>
    <t xml:space="preserve">¿La Entidad cuenta con mecanismos para dar prioridad a peticiones relacionadas con?. 
</t>
  </si>
  <si>
    <t>El reconocimiento de un derecho fundamental</t>
  </si>
  <si>
    <t xml:space="preserve">ATENCIÓN DE QUEJAS, RECLAMOS Y PETICIONES </t>
  </si>
  <si>
    <t>¿La Entidad cuenta con un sistema de información para el registro ordenado y la gestión de peticiones, quejas, reclamos y denuncias?</t>
  </si>
  <si>
    <t>AQRP= ∑a+b…+aa</t>
  </si>
  <si>
    <t>Señale los criterios incorporados en el formulario electrónico y/o en línea, para la recepción de peticiones, quejas, reclamos y denuncias:</t>
  </si>
  <si>
    <t>Identificación y selección del tipo de solicitud</t>
  </si>
  <si>
    <t>Habilitación para el uso por parte de niños y adolescentes.</t>
  </si>
  <si>
    <t>Uso del lenguaje común de intercambio de información</t>
  </si>
  <si>
    <t>Validación de campos que indican al ciudadano si hace falta incluir alguna información.</t>
  </si>
  <si>
    <t>Radicación y constancia en el acuse de recibo, de requisitos o documentos faltantes.</t>
  </si>
  <si>
    <t>Demo o guía de diligenciamiento que permite la verificación de los errores cometidos en el proceso de diligenciamiento.</t>
  </si>
  <si>
    <t xml:space="preserve">¿La Entidad cuenta con un registro público sobre los derechos de petición? </t>
  </si>
  <si>
    <t xml:space="preserve">Señale qué elementos de análisis contiene el informe de quejas y reclamos de la Entidad: </t>
  </si>
  <si>
    <t>Recomendaciones de la Entidad sobre los trámites y servicios con mayor número de quejas y reclamos</t>
  </si>
  <si>
    <t>Recomendaciones de los particulares dirigidas a mejorar el servicio que preste la Entidad</t>
  </si>
  <si>
    <t>Recomendaciones de los particulares dirigidas a racionalizar el empleo de los recursos Disponibles</t>
  </si>
  <si>
    <t>Recomendaciones de los particulares dirigidas a incentivar la participación en la gestión pública</t>
  </si>
  <si>
    <t>Ninguno</t>
  </si>
  <si>
    <t xml:space="preserve">Señale la frecuencia con que la Entidad elabora informes de quejas y reclamos. (única respuesta)
</t>
  </si>
  <si>
    <t>No lo hace</t>
  </si>
  <si>
    <t>¿La entidad tramita las peticiones anónimas?</t>
  </si>
  <si>
    <t>¿La entidad tiene formatos o mecanismos para recibir las peticiones verbales?</t>
  </si>
  <si>
    <t xml:space="preserve">SI </t>
  </si>
  <si>
    <t xml:space="preserve">EVALUACIÓN DEL DESEMPEÑO INSTITUCIONAL </t>
  </si>
  <si>
    <t xml:space="preserve">Señale si la Entidad (seleccione las opciones que aplican): </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</si>
  <si>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</si>
  <si>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EDI= ∑a+b…+k</t>
  </si>
  <si>
    <t>Capacita a los servidores públicos que orientan y atienden a los ciudadanos.</t>
  </si>
  <si>
    <t>Cuenta con Mecanismos de evaluación periódica del desempeño en torno al servicio al ciudadano.</t>
  </si>
  <si>
    <t>Garantiza atención mínimo durante 40 horas a la semana.</t>
  </si>
  <si>
    <t>¿La entidad hace seguimiento al comportamiento y actitud de los servidores públicos que atienden ciudadanos a través de los diferentes canales de atención (diferentes a la evaluación de desempeño)?</t>
  </si>
  <si>
    <t>¿La entidad cuenta con un sistema de información para gestionar información sobre cantidad de ciudadanos atendidos, tiempos de atención, que permita analizar parámetros del servicio?</t>
  </si>
  <si>
    <t>PROTECCIÓN DE DATOS</t>
  </si>
  <si>
    <t>De acuerdo con el artículo 13, del Decreto 1377 de 2013 ¿la Entidad tiene implementada una política de tratamiento de datos personales?</t>
  </si>
  <si>
    <t xml:space="preserve">Indique a través de cuáles medios, la Entidad divulga su política de tratamiento de datos: </t>
  </si>
  <si>
    <t>Aviso de privacidad (de acuerdo con los artículos 14 y 15 del Decreto 1377 de 2013)</t>
  </si>
  <si>
    <t>Otro</t>
  </si>
  <si>
    <t xml:space="preserve">¿La Entidad guarda copia del aviso de privacidad?. </t>
  </si>
  <si>
    <t>SC=(PO*0.15)+(IU*0.25)+(AQRP*0.25)+(EDI*0.20)+(PD*0.15)</t>
  </si>
  <si>
    <t xml:space="preserve">MARQUE CON UNA X O INDIQUE EL NÚMERO SEGÚN CORRESPONDA </t>
  </si>
  <si>
    <t>CÁLCULO DE LA PREGUNTA</t>
  </si>
  <si>
    <t>CÁLCULO DEL INDICADOR</t>
  </si>
  <si>
    <t xml:space="preserve">Mantenimiento del sistema de gestión de calidad </t>
  </si>
  <si>
    <t>El SGC de la Entidad</t>
  </si>
  <si>
    <t>Se encuentra en proceso de alistamiento institucional (diagnóstico y planeación) para ser implementado</t>
  </si>
  <si>
    <t>si responde a = 50%</t>
  </si>
  <si>
    <t>Se encuentra implementado y se mejora continuamente</t>
  </si>
  <si>
    <t xml:space="preserve">si responde b=100% </t>
  </si>
  <si>
    <t>Alcance, Política y Objetivos del SGC</t>
  </si>
  <si>
    <t>Frente a la política de calidad determine:</t>
  </si>
  <si>
    <t xml:space="preserve"> Fue construida a partir del análisis de los objetivos estratégicos de la Entidad</t>
  </si>
  <si>
    <t>((a+b+c+d+e+f)/6)*100</t>
  </si>
  <si>
    <t xml:space="preserve"> Fue construida a partir del análisis de los requisitos de los usuarios</t>
  </si>
  <si>
    <t xml:space="preserve"> Fue construida por la Alta Dirección de la Entidad</t>
  </si>
  <si>
    <t xml:space="preserve"> Fue comunicada a todos los Servidores</t>
  </si>
  <si>
    <t>Es revisada continuamente</t>
  </si>
  <si>
    <t>Frente a los objetivos del SGC determine:</t>
  </si>
  <si>
    <t>((g+h+i+j)/4)*100</t>
  </si>
  <si>
    <t>Tienen asociadas metas verificables</t>
  </si>
  <si>
    <t>Fueron comunicados a todos los Servidores</t>
  </si>
  <si>
    <t>Son revisados continuamente</t>
  </si>
  <si>
    <t>Usuario, Ciudadano o Cliente</t>
  </si>
  <si>
    <t>Determine los mecanismos para la recolección de información de necesidades y expectativas de los usuarios:</t>
  </si>
  <si>
    <t>Encuestas en sitio Web</t>
  </si>
  <si>
    <t>Encuestas presenciales</t>
  </si>
  <si>
    <t>Buzones de sugerencias</t>
  </si>
  <si>
    <t>Medios virtuales (Chat, Blog, Foros Virtuales, Redes Sociales)</t>
  </si>
  <si>
    <t>No cuenta con mecanismos para la recolección de información de necesidades y expectativas de los usuarios</t>
  </si>
  <si>
    <t>si selecciona g= 50%</t>
  </si>
  <si>
    <t>si selecciona h=100%</t>
  </si>
  <si>
    <t>si selecciona i=0</t>
  </si>
  <si>
    <t>Los resultados que arrojan los análisis de la medición de satisfacción del cliente o la opinión del cliente impulsan a la Entidad a:</t>
  </si>
  <si>
    <t>Realizar ajustes a los requisitos del SGC</t>
  </si>
  <si>
    <t>Determinar acciones para mejorar la prestación del servicio</t>
  </si>
  <si>
    <t>Destinar los recursos necesarios para mejorar la prestación del servicio</t>
  </si>
  <si>
    <t>No se toma ninguna acción</t>
  </si>
  <si>
    <t>Procesos y Procedimientos</t>
  </si>
  <si>
    <t>Para la definición de los procesos se tuvo en cuenta como insumo los requisitos relacionados con:</t>
  </si>
  <si>
    <t>El cliente</t>
  </si>
  <si>
    <t>Legales</t>
  </si>
  <si>
    <t>Implícitos (inherentes al servicio o uso del producto)</t>
  </si>
  <si>
    <t>De la entidad</t>
  </si>
  <si>
    <t>No se tienen definidos los requisitos</t>
  </si>
  <si>
    <t>El diseño y gestión de los procesos de la entidad se caracteriza por considerar:</t>
  </si>
  <si>
    <t>Los objetivos de la entidad</t>
  </si>
  <si>
    <t>((f+g+h+i+j+k)/6)*100</t>
  </si>
  <si>
    <t>Los atributos definidos para los productos o servicios de la organización</t>
  </si>
  <si>
    <t>El conocimiento de las personas que participan en cada uno de ellos</t>
  </si>
  <si>
    <t>La medición de su eficacia y eficiencia</t>
  </si>
  <si>
    <t>El monitoreo permanente de sus controles</t>
  </si>
  <si>
    <t>Frente a la estructura de procesos es posible afirmar que:</t>
  </si>
  <si>
    <t>Se constituyen en una herramienta que facilita la operación de la Entidad</t>
  </si>
  <si>
    <t xml:space="preserve">((l+m+n+o+p)/5)*100                                    </t>
  </si>
  <si>
    <t>Su estructura actual responde a las actividades que realmente se realizan en la Entidad</t>
  </si>
  <si>
    <t>Garantizan la gestión del conocimiento</t>
  </si>
  <si>
    <t>Son utilizados para los procesos de inducción a nuevos servidores</t>
  </si>
  <si>
    <t>Su estructura es esencialmente documental</t>
  </si>
  <si>
    <t>La revisión y ajustes a los procesos y procedimientos ha permitido: </t>
  </si>
  <si>
    <t>Reorientar la gestión de la organización hacia el logro de los resultados propuestos</t>
  </si>
  <si>
    <t>((q+r)/2)*100</t>
  </si>
  <si>
    <t>Agilizar y optimizar el funcionamiento de la organización</t>
  </si>
  <si>
    <t>Cuando se presentan sugerencias, quejas, peticiones, reclamos o denuncias por parte de la ciudadanía, ¿la Entidad revisa y ajusta inmediatamente los aspectos involucrados (procesos, procedimientos, políticas, instrumentos, entre otros)?</t>
  </si>
  <si>
    <t>Siempre (revisa y ajusta)</t>
  </si>
  <si>
    <t>si selecciona s= 100%</t>
  </si>
  <si>
    <t>Casi siempre (revisa pero el ajuste tarda en implementarse)</t>
  </si>
  <si>
    <t>si selecciona t=75%</t>
  </si>
  <si>
    <t>A veces (revisa pero no siempre se hacen ajustes)</t>
  </si>
  <si>
    <t>si selecciona u=50%</t>
  </si>
  <si>
    <t>Casi nunca (revisa pero no se hacen ajustes)</t>
  </si>
  <si>
    <t>si selecciona v=25%</t>
  </si>
  <si>
    <t>Nunca (no revisa)</t>
  </si>
  <si>
    <t>si selecciona w=0</t>
  </si>
  <si>
    <t>Cuando se presentan desviaciones en los resultados de la gestión, ¿la Entidad analiza sus causas y toma acciones de manera inmediata?</t>
  </si>
  <si>
    <t>Siempre (analiza y toma las acciones correspondientes)</t>
  </si>
  <si>
    <t>si selecciona x= 100%</t>
  </si>
  <si>
    <t>Casi siempre (analiza pero las acciones tardan en implementarse)</t>
  </si>
  <si>
    <t>si selecciona y=75%</t>
  </si>
  <si>
    <t>A veces (analiza pero no siempre se toman acciones)</t>
  </si>
  <si>
    <t>si selecciona z=50%</t>
  </si>
  <si>
    <t>Casi nunca (analiza pero no se toman acciones)</t>
  </si>
  <si>
    <t>si selecciona aa=25%</t>
  </si>
  <si>
    <t>Nunca (no analiza)</t>
  </si>
  <si>
    <t>si selecciona ab=0</t>
  </si>
  <si>
    <t>Cuando se presentan cambios en las necesidades y prioridades en la prestación del servicio, ¿la Entidad revisa y ajusta procesos inmediatamente?</t>
  </si>
  <si>
    <t>si selecciona ac= 100%</t>
  </si>
  <si>
    <t>si selecciona ad=75%</t>
  </si>
  <si>
    <t>si selecciona ae=50%</t>
  </si>
  <si>
    <t>si selecciona af=25%</t>
  </si>
  <si>
    <t>si selecciona ag=0</t>
  </si>
  <si>
    <t>Cuando se presentan recomendaciones y/o sugerencias por parte de los servidores, la Entidad analiza la
información y ajusta los aspectos involucrados inmediatamente?</t>
  </si>
  <si>
    <t>Siempre (analiza y hace los ajustes de los aspectos)</t>
  </si>
  <si>
    <t>si selecciona ah= 100%</t>
  </si>
  <si>
    <t>Casi siempre (analiza pero el ajuste tarda en implementarse)</t>
  </si>
  <si>
    <t>si selecciona ai=75%</t>
  </si>
  <si>
    <t xml:space="preserve"> A veces (analiza pero no siempre se hacen ajustes)</t>
  </si>
  <si>
    <t>si selecciona aj=50%</t>
  </si>
  <si>
    <t xml:space="preserve"> Casi nunca (analiza pero no se hacen ajustes)</t>
  </si>
  <si>
    <t>si selecciona ak=25%</t>
  </si>
  <si>
    <t xml:space="preserve"> Nunca (no analiza)</t>
  </si>
  <si>
    <t>si selecciona al=0</t>
  </si>
  <si>
    <t>De acuerdo a la validación de capacidad y consistencia realizada a los indicadores de gestión, ¿la Entidad revisa y ajusta inmediatamente su diseño?</t>
  </si>
  <si>
    <t>si selecciona am= 100%</t>
  </si>
  <si>
    <t>si selecciona an=75%</t>
  </si>
  <si>
    <t>si selecciona ao=50%</t>
  </si>
  <si>
    <t>si selecciona ap=25%</t>
  </si>
  <si>
    <t>si selecciona aq=0</t>
  </si>
  <si>
    <t>¿La Entidad realizó el seguimiento a los controles establecidos en el mapa de riesgos?</t>
  </si>
  <si>
    <t>si selecciona ar= 100%</t>
  </si>
  <si>
    <t>si selecciona as=0</t>
  </si>
  <si>
    <t>Cuando se presentan novedades en los requisitos legales, del Cliente, ¿la Entidad o el Sistema de Gestión de la Calidad valida los productos y/o servicios e implementa mejoras inmediatamente?</t>
  </si>
  <si>
    <t>Siempre (valida e implementa mejoras)</t>
  </si>
  <si>
    <t>si selecciona a= 100%</t>
  </si>
  <si>
    <t>Casi siempre (valida pero las mejoras tardan en implementarse)</t>
  </si>
  <si>
    <t>A veces (valida pero no siempre implementa mejoras)</t>
  </si>
  <si>
    <t>Casi nunca (valida pero no implementa mejoras)</t>
  </si>
  <si>
    <t>Nunca (no valida)</t>
  </si>
  <si>
    <t>¿Qué tipo de actividades ha definido la Entidad para evitar productos y/o servicios no acordes con los requisitos del Sistema (producto no conforme)?</t>
  </si>
  <si>
    <t>Actividades de seguimiento o monitoreo</t>
  </si>
  <si>
    <t>Actividades de Inspección</t>
  </si>
  <si>
    <t>Documentación donde se evidencian los puntos de control de los procesos (procedimientos, listas de chequeo, manuales, entre otros).</t>
  </si>
  <si>
    <t>No se cuentan con ningún mecanismo o actividad</t>
  </si>
  <si>
    <t>Con respecto a los mecanismos para evitar productos y/o servicios no conformes, ¿la Entidad aplica el mecanismo establecido y hace las correcciones inmediatamente?</t>
  </si>
  <si>
    <t>Siempre (aplica el mecanismo y corrige)</t>
  </si>
  <si>
    <t>si selecciona K= 100%</t>
  </si>
  <si>
    <t>Casi siempre (aplica el mecanismo pero la corrección tarda en implementarse)</t>
  </si>
  <si>
    <t>si selecciona l=75%</t>
  </si>
  <si>
    <t>A veces (aplica el mecanismo pero no siempre corrige)</t>
  </si>
  <si>
    <t>si selecciona m=50%</t>
  </si>
  <si>
    <t>Casi nunca (aplica el mecanismo pero no corrige)</t>
  </si>
  <si>
    <t>si selecciona n=25%</t>
  </si>
  <si>
    <t>Nunca (no aplica el mecanismo)</t>
  </si>
  <si>
    <t>si selecciona o=0</t>
  </si>
  <si>
    <t>si selecciona p= 100%</t>
  </si>
  <si>
    <t>si selecciona q=0</t>
  </si>
  <si>
    <t>Medios electrónicos</t>
  </si>
  <si>
    <t>Medio presencial</t>
  </si>
  <si>
    <t>No realizó medición de satisfacción</t>
  </si>
  <si>
    <t>Integración de los Sistemas</t>
  </si>
  <si>
    <t>Determine los sistemas que la Entidad tiene integrados:</t>
  </si>
  <si>
    <t>Sistema de Gestión de la Calidad</t>
  </si>
  <si>
    <t>((a+b+c+d+e))/5)*100                                              si selecciona f=0</t>
  </si>
  <si>
    <t>Sistema de Control Interno</t>
  </si>
  <si>
    <t>Sistema de Gestión de Seguridad en la Información</t>
  </si>
  <si>
    <t>Sistema de Gestión de Seguridad y Salud en el Trabajo</t>
  </si>
  <si>
    <t>Sistema de Gestión Ambiental</t>
  </si>
  <si>
    <t>De los anteriores sistemas susceptibles de ser certificados por parte de un organismo certificador externo, sobre cuál cuenta la Entidad con la respectiva certificación:</t>
  </si>
  <si>
    <t>Contar con la certificación de alguno de los anteriores sistemas le ha permitido mejorar la prestación de los servicios a los usuarios?</t>
  </si>
  <si>
    <t>si selecciona l=100%</t>
  </si>
  <si>
    <t>si selecciona m=0</t>
  </si>
  <si>
    <t>Mejora</t>
  </si>
  <si>
    <t>Se contempla dentro del ejercicio de auditoría interna:</t>
  </si>
  <si>
    <t>Programa Anual de Auditorías</t>
  </si>
  <si>
    <t>Procedimiento sistemático para su desarrollo</t>
  </si>
  <si>
    <t>Registro de las evidencias halladas y resultados</t>
  </si>
  <si>
    <t>Ninguna de las anteriores</t>
  </si>
  <si>
    <t>Para la estructuración del Programa Anual de Auditorías la Entidad:</t>
  </si>
  <si>
    <t>Determine el estado de la ejecución del Programa Anual de Auditorías. </t>
  </si>
  <si>
    <t>si selecciona i=100%</t>
  </si>
  <si>
    <t>si selecciona j=75%</t>
  </si>
  <si>
    <t>si selecciona k=25%</t>
  </si>
  <si>
    <t>Los procesos de auditoría le han permitido a la entidad:</t>
  </si>
  <si>
    <t>Prevenir desviaciones en los resultados de la gestión</t>
  </si>
  <si>
    <t>((l+m+n+o)/4)*100</t>
  </si>
  <si>
    <t>Monitorear el cumplimiento de metas.</t>
  </si>
  <si>
    <t>Mejorar los resultados de los procesos</t>
  </si>
  <si>
    <t>Proponer mejoras para los procesos</t>
  </si>
  <si>
    <t>Contar con métodos de control y seguimiento le ha permitido a la entidad:</t>
  </si>
  <si>
    <t>Detectar debilidades internas para su intervención</t>
  </si>
  <si>
    <t>((p+q)/2)*100</t>
  </si>
  <si>
    <t>Generar propuestas de mejora</t>
  </si>
  <si>
    <t>Dentro del programa anual de auditorías se consideran todos los sistemas que componen el Sistema Integrado de la Entidad?</t>
  </si>
  <si>
    <t>si selecciona r=100%</t>
  </si>
  <si>
    <t>si selecciona s=0</t>
  </si>
  <si>
    <t>Dentro de los insumos utilizados para realizar la revisión por la dirección la Entidad contempló:</t>
  </si>
  <si>
    <t>Resultados de percepción de los usuarios</t>
  </si>
  <si>
    <t>Informes sobre peticiones, quejas, reclamos, sugerencias y denuncias</t>
  </si>
  <si>
    <t>Informes de las auditorías internas</t>
  </si>
  <si>
    <t>Informes de las auditorías externas (organismos de control)</t>
  </si>
  <si>
    <t>Planes de Mejoramiento</t>
  </si>
  <si>
    <t>Resultados de procesos de autoevaluación realizados</t>
  </si>
  <si>
    <t>No se realizó revisión por la Dirección</t>
  </si>
  <si>
    <t>Diagnóstico y Planeación para la implementación</t>
  </si>
  <si>
    <t>Dentro del proceso de alistamiento institucional la Entidad:</t>
  </si>
  <si>
    <t>Realizó un diagnóstico (análisis situacional) de la Entidad</t>
  </si>
  <si>
    <t>((a+b+c+d+e+f+g)/7)*100</t>
  </si>
  <si>
    <t>Realizó una sensibilización a los servidores sobre el proceso de implementación a llevarse a cabo</t>
  </si>
  <si>
    <t>Determinó un Representante de Alta Dirección para el sistema</t>
  </si>
  <si>
    <t>Determinó acciones para fortalecer la Cultura Organizacional (gestión del cambio)</t>
  </si>
  <si>
    <t>Conformó un equipo operativo para el sistema (Equipo Calidad)</t>
  </si>
  <si>
    <t>Determinó una instancia estratégica para la toma de decisiones sobre el sistema (Comité Institucional/Comité de Coordinación de Control Interno)</t>
  </si>
  <si>
    <t>Determinó un plan de comunicaciones que facilite el proceso de implementación</t>
  </si>
  <si>
    <t>Producto del diagnóstico realizado (informe diagnóstico) la Entidad:</t>
  </si>
  <si>
    <t>Pudo determinar los productos y/o servicios de la Entidad</t>
  </si>
  <si>
    <t xml:space="preserve">((h+i+j+k+l+m)/6)*100    </t>
  </si>
  <si>
    <t>Pudo identificar los usuarios y otras partes interesadas de la Entidad</t>
  </si>
  <si>
    <t>Pudo determinar las necesidades y expectativas de los usuarios y otras partes interesadas frente a los productos y/o servicios de la Entidad</t>
  </si>
  <si>
    <t>Pudo determinar las brechas entre lo requerido por la Norma Técnica frente a la documentación y otros aspectos existentes en la Entidad.</t>
  </si>
  <si>
    <t>Determinó un plan de implementación</t>
  </si>
  <si>
    <t>Determinó el alcance del sistema</t>
  </si>
  <si>
    <t>Para la fase de implementación del SGC, la Entidad:</t>
  </si>
  <si>
    <t>Tomó como base el informe de diagnóstico realizado</t>
  </si>
  <si>
    <t>((n+o+p+q+r+s+t)/7)*100</t>
  </si>
  <si>
    <t>Estableció un cronograma general para la implementación</t>
  </si>
  <si>
    <t>Determinó el rol y las responsabilidades del Equipo de Calidad</t>
  </si>
  <si>
    <t>Determinó el rol y las responsabilidades para el Comité Institucional y/o de Coordinación de Control Interno</t>
  </si>
  <si>
    <t>Estableció un plan de comunicaciones para la implementación</t>
  </si>
  <si>
    <t>Se determinaron los recursos relacionados con Infraestructura física, equipos, software u otros recursos necesarios para la implementación</t>
  </si>
  <si>
    <t>Dentro del proceso de ejecución para implementación la Entidad:</t>
  </si>
  <si>
    <t>Desarrolló el plan de comunicaciones establecido</t>
  </si>
  <si>
    <t>((u+v+w+x+y+z+aa+ab+ac+ad+ae+af+ag+ah+ai)/15)*100</t>
  </si>
  <si>
    <t>Se generaron los espacios para dar conocer los principios de la norma técnica a todos los servidores</t>
  </si>
  <si>
    <t>Desarrolló el cronograma de actividades determinado</t>
  </si>
  <si>
    <t>Realizó la modelación de los procesos y de sus interacciones (Caracterizaciones)</t>
  </si>
  <si>
    <t>Determinó los tipos de proceso (estratégicos, misionales, de apoyo y de evaluación)</t>
  </si>
  <si>
    <t>Determinó el mapa de procesos de la Entidad</t>
  </si>
  <si>
    <t>Determinó los procedimientos asociados a cada uno de los procesos</t>
  </si>
  <si>
    <t>Determinó los indicadores para los procesos</t>
  </si>
  <si>
    <t>Elaboró el mapa de riesgos asociado a cada proceso</t>
  </si>
  <si>
    <t>Determinó una primera versión del Manual de Calidad</t>
  </si>
  <si>
    <t>Determinó la política y objetivos de calidad</t>
  </si>
  <si>
    <t>Determinó la estructura documental requerida alineado con la Ley de Archivo</t>
  </si>
  <si>
    <t>Determinó los temas adicionales (otras políticas y/o requerimientos legales) que pueden afectar la estructura del sistema</t>
  </si>
  <si>
    <t>Determinó mecanismos para la validación de los elementos del sistema</t>
  </si>
  <si>
    <t>A partir de la estructura determinada para el sistema, la Entidad:</t>
  </si>
  <si>
    <t>Realizó la validación de las caracterizaciones con los líderes o responsables de cada proceso</t>
  </si>
  <si>
    <t>((aj+ak+al+am+an+ao)/6)*100</t>
  </si>
  <si>
    <t>Realizó la validación de los procedimientos con los líderes o responsables de cada proceso</t>
  </si>
  <si>
    <t>Realizó la validación de los indicadores de los procesos con los líderes o responsables de cada proceso</t>
  </si>
  <si>
    <t>Realizó la validación de los mapas de riesgo de cada proceso con los líderes o responsables de cada proceso</t>
  </si>
  <si>
    <t>Realizó la validación de otros documentos del sistema (manuales, instructivos, formatos)</t>
  </si>
  <si>
    <t>Determinó los cambios al manual de calidad acorde con las observaciones de los líderes o responsables de cada proceso</t>
  </si>
  <si>
    <t>De acuerdo con las validaciones realizadas la Entidad:</t>
  </si>
  <si>
    <t>Realizó los ajustes a las caracterizaciones</t>
  </si>
  <si>
    <t>((ap+aq+ar+as+at+au+av+aw)/8)*100</t>
  </si>
  <si>
    <t>Realizó los ajustes a los procedimientos</t>
  </si>
  <si>
    <t>Realizó los ajustes los indicadores de los procesos</t>
  </si>
  <si>
    <t>Realizó los ajustes a los mapas de riesgo de cada proceso</t>
  </si>
  <si>
    <t>Realizó los ajustes otros documentos del sistema (manuales, instructivos, formatos)</t>
  </si>
  <si>
    <t>Realizó formación a todos los servidores de la Entidad para dar a conocer la estructura del sistema</t>
  </si>
  <si>
    <t>Determinó el (los) mecanismo (s) que permitirán dar continuidad al SGC implementado (procesos de inducción, capacitaciones, grupos de mejora, entre otros)</t>
  </si>
  <si>
    <t>¿Los temas de Gestión Documental fueron tratados en el Comité Institucional de Archivo o el que haga sus veces?</t>
  </si>
  <si>
    <t>¿Están incluidas en el Plan de Acción anual, las actividades de gestión documental?</t>
  </si>
  <si>
    <t>¿La Entidad cuenta con una Política de Gestión Documental?</t>
  </si>
  <si>
    <t>Señale los aspectos que evaluó durante la elaboración del Diagnóstico de la Gestión Documental:</t>
  </si>
  <si>
    <t>Política de gestión documental</t>
  </si>
  <si>
    <t>Marco jurídico que rige a la Entidad</t>
  </si>
  <si>
    <t>Ubicación en el organigrama del área de archivo o gestión documental</t>
  </si>
  <si>
    <t xml:space="preserve">Funcionamiento del Comité de Archivo (reuniones y decisiones) </t>
  </si>
  <si>
    <t>Roles y responsables de la gestión documental</t>
  </si>
  <si>
    <t>Talento humano para gestión documental</t>
  </si>
  <si>
    <t>Presupuesto  dedicado para el desarrollo de actividades de gestión documental</t>
  </si>
  <si>
    <t>Planeación de proyectos (en curso y ejecutados) de gestión documental</t>
  </si>
  <si>
    <t>Indicadores de gestión documental</t>
  </si>
  <si>
    <t>Normalización de procedimiento de gestión documental (Creación,  producción, valoración, gestión y trámite, organización, preservación,  transferencias, disposición final, etc.)</t>
  </si>
  <si>
    <t>Creación o actualización, aprobación e implementación de instrumentos archivísticos tales como: Plan Institucional de Archivos -PINAR, Tabla de Retención Documental - TRD, Programa de Gestión Documental - PGD, Inventarios Documentales, Cuadro de Clasificación Documental -CCD, Inventarios documentales.</t>
  </si>
  <si>
    <t>Programas específicos (normalización de formatos, reprografía, documentos especiales, documento electrónico, documentos vitales, documentos descentralizados, auditoria, capacitación)</t>
  </si>
  <si>
    <t>Conservación de documentos de archivo en cualquier soporte o medio (riesgos, medios de almacenamiento, espacios, estanterías, volúmenes, condiciones ambientales, etc.)</t>
  </si>
  <si>
    <t>Transferencias documentales efectuadas</t>
  </si>
  <si>
    <t>Articulación con otros sistemas de gestión de la Entidad.</t>
  </si>
  <si>
    <t>Infraestructura tecnológica (equipos de cómputo, impresoras, escáner, redes locales, internet, intranet, sistemas de comunicación, sistemas de seguridad, etc.)</t>
  </si>
  <si>
    <t>Soportes de información (físico, digital y electrónico)</t>
  </si>
  <si>
    <t>Planeación de la arquitectura de tecnologías de la información articulada con la gestión documental</t>
  </si>
  <si>
    <t>Gestión del cambio en la adopción de los procesos archivísticos.</t>
  </si>
  <si>
    <t>Difusión y acceso de la información</t>
  </si>
  <si>
    <t>Transparencia, participación y colaboración ciudadana</t>
  </si>
  <si>
    <t>La Entidad no cuenta con el diagnóstico de la Gestión Documental</t>
  </si>
  <si>
    <t xml:space="preserve">El diagnóstico de gestión documental fue utilizado para: </t>
  </si>
  <si>
    <t>Elaborar del Plan institucional de archivos - PINAR</t>
  </si>
  <si>
    <t>Elaborar el Plan Estratégico de la Entidad</t>
  </si>
  <si>
    <t>Elaborar el Plan de Acción Anual</t>
  </si>
  <si>
    <t>Elaborar el Programa de Gestión Documental</t>
  </si>
  <si>
    <t>Hacer auditoria de la gestión documental</t>
  </si>
  <si>
    <t xml:space="preserve">Diseñar estudios previos y adelantar procesos contractuales </t>
  </si>
  <si>
    <t>Solo se elaboró el documento sin utilizarlo para otro fin</t>
  </si>
  <si>
    <t>Frente al proceso de la planeación de la función archivística, la Entidad:</t>
  </si>
  <si>
    <t>No tiene planeadas actividades</t>
  </si>
  <si>
    <t>Elaboró y aprobó en instancias del  Comité Institucional de Archivo, el Plan institucional de archivos - PINAR</t>
  </si>
  <si>
    <t>Tiene actividades de gestión documental incluidas en la planeación estratégica</t>
  </si>
  <si>
    <t>Tiene proyectos sobre gestión documental inscritos o en desarrollo</t>
  </si>
  <si>
    <t>Frente al Programa de Gestión Documental - PGD, qué acciones ha realizado la Entidad:</t>
  </si>
  <si>
    <t>Lo aprobó por el Comité Institucional de Archivo</t>
  </si>
  <si>
    <t>Lo implementó</t>
  </si>
  <si>
    <t>Lo publicó  en su sitio web oficial, en la sección de “Transparencia y acceso a información pública”</t>
  </si>
  <si>
    <t>Frente a la Tabla de Retención Documental - TRD, la Entidad:</t>
  </si>
  <si>
    <t>No tiene TRD</t>
  </si>
  <si>
    <t>Tramitó el proceso de convalidación</t>
  </si>
  <si>
    <t>La publicó  en su sitio web oficial, en la sección de “Transparencia y acceso a información pública”</t>
  </si>
  <si>
    <t xml:space="preserve">Valor de desempeño en Planeación Estratégica  PE </t>
  </si>
  <si>
    <t>DOCUMENTAL</t>
  </si>
  <si>
    <t>PLANEACION</t>
  </si>
  <si>
    <t>En el Programa de Gestión Documental se incluyeron lineamientos sobre:</t>
  </si>
  <si>
    <t>Registro de activos de Información</t>
  </si>
  <si>
    <t>Esquema de publicación</t>
  </si>
  <si>
    <t>Información clasificada y reservada</t>
  </si>
  <si>
    <t>Autenticación firmas autorizadas (físicas y digitales)</t>
  </si>
  <si>
    <t>Metadatos de documentos</t>
  </si>
  <si>
    <t>Indicadores de la procesos de la gestión documental (Eficiencia, eficacia, efectividad, calidad) Ej. Medición de recuperación de información: recursos económicos, tiempo, efectividad en el contenido, etc.)</t>
  </si>
  <si>
    <t>Estructura de los documentos, formatos, soportes, calidades de los documentos de archivo</t>
  </si>
  <si>
    <t>Control de registros del sistema de calidad y su relación con documentos.</t>
  </si>
  <si>
    <t>Control de versiones de documentos, control de trazabilidad de documentos</t>
  </si>
  <si>
    <t>Generación de datos abiertos</t>
  </si>
  <si>
    <t>Control unificado de registro y radicación de documentos</t>
  </si>
  <si>
    <t>Control de distribución de comunicaciones oficiales</t>
  </si>
  <si>
    <t>Control y seguimiento a tiempos de respuesta de las comunicaciones oficiales</t>
  </si>
  <si>
    <t>Registro de control de préstamo de documentos de archivo en gestión y central</t>
  </si>
  <si>
    <t>Para la disponibilidad de la información en diferentes soportes y canales de atención.</t>
  </si>
  <si>
    <t>Clasificación de los documentos de archivo (físicos y electrónicos)</t>
  </si>
  <si>
    <t>Ordenación  y sistemas utilizados</t>
  </si>
  <si>
    <t>Descripción y definición de metadatos</t>
  </si>
  <si>
    <t>Cronograma de transferencias documentales</t>
  </si>
  <si>
    <t>Condiciones para efectuar transferencias documentales  (tiempos de retención, inventarios, proceso de cotejo, legalización de transferencia)</t>
  </si>
  <si>
    <t>Registro y control del procedimientos de eliminación de documentos de archivo</t>
  </si>
  <si>
    <t>Uso de tecnologías con fines de conservación de archivos  (microfilmación, digitalización)</t>
  </si>
  <si>
    <t>Sistema Integrado de Conservación (incluye: Plan de conservación y Plan de preservación a largo plazo)</t>
  </si>
  <si>
    <t>Técnicas de preservación de documentos digitales o electrónicos (emulación, migración, refreshing)</t>
  </si>
  <si>
    <t>Articulación con el sistema de seguridad de la información</t>
  </si>
  <si>
    <t>Criterios de valoración documental</t>
  </si>
  <si>
    <t>PRODUCCION</t>
  </si>
  <si>
    <t>Frente a la producción de documentos (recepción y generación) su entidad..</t>
  </si>
  <si>
    <t xml:space="preserve">Tiene normalizados las formas y formatos para elaborar documentos </t>
  </si>
  <si>
    <t xml:space="preserve">Genera y controla un consecutivo único para cada tipo de acto administrativo </t>
  </si>
  <si>
    <t>Tiene un control unificado del registro y radicación de documentos recibidos y tramitados.</t>
  </si>
  <si>
    <t>ORGANIZACIÓN</t>
  </si>
  <si>
    <t>La Entidad tiene Fondos Documentales Acumulados - FDA:</t>
  </si>
  <si>
    <t>Si y es un fondo documental de la Entidad</t>
  </si>
  <si>
    <t>Si y proviene de otra Entidad</t>
  </si>
  <si>
    <t>¿Que acciones ha realizado para organizar el Fondo Documental Acumulado?</t>
  </si>
  <si>
    <t>No se ha realizado acción alguna</t>
  </si>
  <si>
    <t>Inventarío en su estado natural del fondo documental acumulado</t>
  </si>
  <si>
    <t>Elaboró las Tablas de Valoración Documental - TVD</t>
  </si>
  <si>
    <t xml:space="preserve">Aprobó TVD </t>
  </si>
  <si>
    <t>Tramitó el proceso de convalidación de la TVD</t>
  </si>
  <si>
    <t>Publicó TVD en página web</t>
  </si>
  <si>
    <t xml:space="preserve">Implementó TVD </t>
  </si>
  <si>
    <t>Frente al Cuadro de Clasificación Documental CCD, su entidad</t>
  </si>
  <si>
    <t xml:space="preserve">No cuenta con Cuadro de Clasificación Documental </t>
  </si>
  <si>
    <t>Lo publicó en página web</t>
  </si>
  <si>
    <t>La aprobó por el Comité Institucional de Desarrollo Administrativo</t>
  </si>
  <si>
    <t>La Tabla de Retención Documental:</t>
  </si>
  <si>
    <t>Se elaboró de acuerdo con el Cuadro de Clasificación Documental</t>
  </si>
  <si>
    <t>Refleja la estructura orgánica vigente de la Entidad</t>
  </si>
  <si>
    <t>No está actualizada y refleja una estructura que no está vigente</t>
  </si>
  <si>
    <t>La Entidad en sus archivos de gestión tiene inventariada la documentación en el Formato Único de Inventario Documental - FUID:</t>
  </si>
  <si>
    <t>No tiene inventario</t>
  </si>
  <si>
    <t>En menos del 30%</t>
  </si>
  <si>
    <t>Entre el 30% y  menos  60%</t>
  </si>
  <si>
    <t>Entre el 60% y menos del 90%</t>
  </si>
  <si>
    <t>Más del 90%</t>
  </si>
  <si>
    <t>La Entidad en su archivo central tiene inventariada la documentación en el Formato Único de Inventario Documental - FUID:</t>
  </si>
  <si>
    <t>TRANSFERENCIA</t>
  </si>
  <si>
    <t xml:space="preserve">¿En la vigencia evaluada, la Entidad realizó transferencias de documentos de los archivos de gestión a los archivos centrales? </t>
  </si>
  <si>
    <t>bm</t>
  </si>
  <si>
    <t xml:space="preserve">¿En la vigencia evaluada, la Entidad realizó transferencias de los archivos centrales a los archivos históricos respectivos? </t>
  </si>
  <si>
    <t>bo</t>
  </si>
  <si>
    <t>bp</t>
  </si>
  <si>
    <t>¿Qué criterio aplicó para la transferencia de los archivos de gestión a los centrales?:</t>
  </si>
  <si>
    <t>bq</t>
  </si>
  <si>
    <t>Ningún criterio, solo se trasladaron los archivos</t>
  </si>
  <si>
    <t>br</t>
  </si>
  <si>
    <t>Espacio insuficiente y se entregó inventariado los archivos</t>
  </si>
  <si>
    <t>bs</t>
  </si>
  <si>
    <t>¿Que criterios aplicó para la transferencia de los archivos centrales a los históricos?:</t>
  </si>
  <si>
    <t>bt</t>
  </si>
  <si>
    <t>Ningún criterio,  solo se trasladaron los archivos</t>
  </si>
  <si>
    <t>bu</t>
  </si>
  <si>
    <t>Insuficiente espacio y se entregó inventariado los archivos</t>
  </si>
  <si>
    <t>bv</t>
  </si>
  <si>
    <t>Aplicación de TRD o TVD</t>
  </si>
  <si>
    <t>Frente al procedimiento de eliminación documental, indique las acciones que ha realizado la Entidad:</t>
  </si>
  <si>
    <t>bw</t>
  </si>
  <si>
    <t>No ha realizado eliminación documental</t>
  </si>
  <si>
    <t>bx</t>
  </si>
  <si>
    <t>La realizó aplicando TRD o TVD</t>
  </si>
  <si>
    <t>by</t>
  </si>
  <si>
    <t>Elaboró inventarios documentales</t>
  </si>
  <si>
    <t>bz</t>
  </si>
  <si>
    <t>En los dos últimos años, publicó durante 30 días en página web los inventarios documentales registrando expedientes que proponen eliminar</t>
  </si>
  <si>
    <t>ca</t>
  </si>
  <si>
    <t>Tuvo en cuenta las  observaciones por parte de los ciudadanos o Entidades de control frente al inventario documental de eliminación.</t>
  </si>
  <si>
    <t>cb</t>
  </si>
  <si>
    <t xml:space="preserve">Fue aprobada por el Comité Institucional de Archivo </t>
  </si>
  <si>
    <t>¿En qué fecha realizó la última eliminación documental? (mm/aaaa):</t>
  </si>
  <si>
    <t>cc</t>
  </si>
  <si>
    <t>Para la disposición final de documentos? (Conservación Total, Selección, Aplicación de microfilmación o digitalización o eliminación)</t>
  </si>
  <si>
    <t>cd</t>
  </si>
  <si>
    <t>No tiene establecido un procedimiento específico</t>
  </si>
  <si>
    <t>ce</t>
  </si>
  <si>
    <t>Aplica la  TRD o TVD</t>
  </si>
  <si>
    <t>cf</t>
  </si>
  <si>
    <t>Se realiza cada vez que se requiere pero no se cuenta con TRD o TVD.</t>
  </si>
  <si>
    <t>Frente al documento Sistema Integrado de Conservación - SIC, la Entidad:</t>
  </si>
  <si>
    <t>cg</t>
  </si>
  <si>
    <t>No tiene SIC</t>
  </si>
  <si>
    <t>ch</t>
  </si>
  <si>
    <t>ci</t>
  </si>
  <si>
    <t xml:space="preserve">Lo aprobó por el Comité Institucional de Desarrollo Administrativo </t>
  </si>
  <si>
    <t>cj</t>
  </si>
  <si>
    <t>ck</t>
  </si>
  <si>
    <t>Frente a la conservación documental de los soportes físicos, la Entidad durante la última vigencia:</t>
  </si>
  <si>
    <t>cl</t>
  </si>
  <si>
    <t>No ha realizado actividades de conservación</t>
  </si>
  <si>
    <t>cm</t>
  </si>
  <si>
    <t>Ha realizado capacitación y sensibilización en referencia a la conservación documental</t>
  </si>
  <si>
    <t>cn</t>
  </si>
  <si>
    <t>Ha realizado mantenimiento a los sistemas de almacenamiento e instalaciones físicas (reparación locativa, limpieza)</t>
  </si>
  <si>
    <t>co</t>
  </si>
  <si>
    <t>Ha realizado saneamiento ambiental de áreas de archivo (fumigación,  desinfección, desratización, desinsectación)</t>
  </si>
  <si>
    <t>cp</t>
  </si>
  <si>
    <t>Ha realizado monitoreo y control (con equipos de medición) de condiciones ambientales</t>
  </si>
  <si>
    <t>cq</t>
  </si>
  <si>
    <t>Ha realizado almacenamiento y realmacenamiento en unidades adecuadas (cajas, carpetas, estantería)</t>
  </si>
  <si>
    <t>cr</t>
  </si>
  <si>
    <t>Ha realizado actividades de prevención de emergencias y atención de desastres en archivos</t>
  </si>
  <si>
    <t>cs</t>
  </si>
  <si>
    <t>Elaboró el programa de conservación preventiva</t>
  </si>
  <si>
    <t>ct</t>
  </si>
  <si>
    <t>Elaboró el Plan de Conservación Documental pero no incluye el Programa de Conservación Preventiva</t>
  </si>
  <si>
    <t>cu</t>
  </si>
  <si>
    <t>Elaboró el Plan de Conservación Documental e incluye el Programa de Conservación Preventiva</t>
  </si>
  <si>
    <t>Frente a la preservación digital a largo plazo de documentos digitales y/o electrónicos de archivo, la Entidad:</t>
  </si>
  <si>
    <t>cv</t>
  </si>
  <si>
    <t>No ha realizado actividades de preservación</t>
  </si>
  <si>
    <t>cw</t>
  </si>
  <si>
    <t>Ha realizado backup de información con propósito de preservación a largo plazo</t>
  </si>
  <si>
    <t>cx</t>
  </si>
  <si>
    <t>Ha realizado migración</t>
  </si>
  <si>
    <t>cy</t>
  </si>
  <si>
    <t>Ha realizado emulación</t>
  </si>
  <si>
    <t>cz</t>
  </si>
  <si>
    <t>Ha realizado refreshing</t>
  </si>
  <si>
    <t>da</t>
  </si>
  <si>
    <t>Elaboró el Plan de Preservación Digital</t>
  </si>
  <si>
    <t>¿La entidad tiene implementada la sede administrativa electrónica?</t>
  </si>
  <si>
    <t>¿La entidad clasifica la información y  establece categorías de derechos y restricciones de acceso a los documentos electrónicos?</t>
  </si>
  <si>
    <t>¿La entidad ha elaborado el Modelo de requisitos para la gestión de documentos electrónicos?</t>
  </si>
  <si>
    <t>¿La entidad tiene mecanismos o controles técnicos aplicados para restringir el acceso a los documentos en entono electrónico?</t>
  </si>
  <si>
    <t xml:space="preserve">Valor de desempeño en tecnológico T </t>
  </si>
  <si>
    <t>CULTURAL</t>
  </si>
  <si>
    <t>¿La gestión documental de la Entidad se encuentra alineada con políticas de gestión ambiental?</t>
  </si>
  <si>
    <t>Cuáles de las siguientes actividades realiza la Entidad frente al manejo de residuos, en los procesos de la gestión documental (producción, conservación a largo plazo, Sistema Integrado de Conservación -SIC y disposición final):</t>
  </si>
  <si>
    <t>Implementa el programa de gestión integral de residuos (separación en la fuente por tipo de residuo)</t>
  </si>
  <si>
    <t>Compras verdes</t>
  </si>
  <si>
    <t>Manejo de indicadores ambientales</t>
  </si>
  <si>
    <t>Entrega de los residuos a un grupo de reciclaje</t>
  </si>
  <si>
    <t>Envío de residuos al botadero sin clasificación previa</t>
  </si>
  <si>
    <t>En relación con la iniciativa del uso racional del papel, la Entidad durante la vigencia evaluada:</t>
  </si>
  <si>
    <t>Imprimió a doble cara</t>
  </si>
  <si>
    <t>Reutilizó el papel</t>
  </si>
  <si>
    <t>Revisó documentos usando medios electrónicos</t>
  </si>
  <si>
    <t>Usó de herramientas tecnológicas de colaboración</t>
  </si>
  <si>
    <t>Utilizó papel ecológico</t>
  </si>
  <si>
    <t>Redujo el papel consumido por la Entidad durante la vigencia evaluada</t>
  </si>
  <si>
    <t>La gestión documental se encuentra alineada con las políticas y lineamientos del Sistema de Gestión de Calidad implementado en la Entidad?</t>
  </si>
  <si>
    <t>Indique cuáles de los siguientes aspectos fueron socializados a los ciudadanos, usuarios o grupos de interés:</t>
  </si>
  <si>
    <t>Información disponible en el sitio web</t>
  </si>
  <si>
    <t>Disponibilidad de Datos Abiertos</t>
  </si>
  <si>
    <t>Información no disponible en sitio web</t>
  </si>
  <si>
    <t>En el Plan Institucional de Capacitación, se incluyó el tema de gestión documental para los funcionarios</t>
  </si>
  <si>
    <t>GD=(PE*0.30)+(D*0.60)+(T*0.05)+(C*0.05)</t>
  </si>
  <si>
    <t>RANGO DE SUMA</t>
  </si>
  <si>
    <t xml:space="preserve">Simplificación </t>
  </si>
  <si>
    <t>¿La Entidad está obligada a tener trámites u otros procedimientos administrativos de acuerdo con su naturaleza jurídica?</t>
  </si>
  <si>
    <t xml:space="preserve">Si selecciona a= 100 </t>
  </si>
  <si>
    <t>Si selecciona b=0</t>
  </si>
  <si>
    <t>Trámites</t>
  </si>
  <si>
    <t>(número de trámites y otros procedimientos que racionalizó la entidad/número de trámites y otros procedimientos que planeó racionalizar la entidad)*100</t>
  </si>
  <si>
    <t xml:space="preserve"> Otros procedimientos administrativos</t>
  </si>
  <si>
    <t xml:space="preserve">Si selecciona g= 100 </t>
  </si>
  <si>
    <t>Si selecciona h=0</t>
  </si>
  <si>
    <t>En relación con la solicitud de certificaciones y constancias de la Entidad, indique cuántas fueron respondidas:</t>
  </si>
  <si>
    <t>Totalmente en línea</t>
  </si>
  <si>
    <t>(certificaciones y constancias de la Entidad, que fueron respondidas totalmente y parcialmente en línea/ total de certificaciones y constancias de la Entidad, que fueron respondidas)*100</t>
  </si>
  <si>
    <t xml:space="preserve"> Parcialmente en línea</t>
  </si>
  <si>
    <t xml:space="preserve"> Presencialmente</t>
  </si>
  <si>
    <t>Del total de trámites inscritos en el SUIT que tiene la Entidad cuántos pueden realizarse:</t>
  </si>
  <si>
    <t>Del total de trámites en línea, ¿cuántos contaron con caracterización de los usuarios?</t>
  </si>
  <si>
    <t>Del total de otros procedimientos administrativos en línea, ¿cuántos contaron con caracterización de los usuarios?</t>
  </si>
  <si>
    <t>Del total de trámites parcial y totalmente en línea, ¿cuántos cumplieron criterios de accesibilidad?</t>
  </si>
  <si>
    <t>Del total de otros procedimientos administrativos parcial y totalmente en línea, ¿cuántos cumplieron criterios de accesibilidad?</t>
  </si>
  <si>
    <t>Del total de trámites parcial y totalmente en línea, ¿cuántos cumplieron criterios de usabilidad?</t>
  </si>
  <si>
    <t>Del total de otros procedimientos administrativos parcial y totalmente en línea, ¿cuántos cumplieron criterios de usabilidad?</t>
  </si>
  <si>
    <t>Del total de trámites parcial y totalmente en línea, ¿cuántos fueron promocionados para incrementar su uso?</t>
  </si>
  <si>
    <t>Del total de otros procedimientos administrativos parcial y totalmente en línea, ¿cuántos fueron promocionados para incrementar su uso?</t>
  </si>
  <si>
    <t xml:space="preserve">Automatización </t>
  </si>
  <si>
    <t>¿La Entidad realizó la priorización de los trámites y/u otros procedimientos administrativos, para ser intervenidos en la estrategia de racionalización del Plan Anticorrupción?</t>
  </si>
  <si>
    <t>Seleccione los factores que utilizó para priorizar los trámites u otros procedimientos de su Entidad:</t>
  </si>
  <si>
    <t>Costos del trámite</t>
  </si>
  <si>
    <t xml:space="preserve">((c+d+e+f+g+h+i+j+k+l+m)/11)*100   Si selecciona n=0   </t>
  </si>
  <si>
    <t xml:space="preserve"> Complejidad del trámite</t>
  </si>
  <si>
    <t xml:space="preserve"> Encuestas a la ciudadanía</t>
  </si>
  <si>
    <t xml:space="preserve"> Frecuencia de solicitud del trámite</t>
  </si>
  <si>
    <t>Peticiones, Quejas, Reclamos y Denuncias de la ciudadanía</t>
  </si>
  <si>
    <t xml:space="preserve"> Auditorías externas</t>
  </si>
  <si>
    <t xml:space="preserve"> Auditorías Internas</t>
  </si>
  <si>
    <t xml:space="preserve"> Plan Nacional de Desarrollo</t>
  </si>
  <si>
    <t xml:space="preserve"> Comparación con otras Entidades</t>
  </si>
  <si>
    <t xml:space="preserve"> Acuerdos de nivel de servicio</t>
  </si>
  <si>
    <t xml:space="preserve">Si selecciona o= 100 </t>
  </si>
  <si>
    <t>Si selecciona p=0</t>
  </si>
  <si>
    <t xml:space="preserve">Interoperabilidad </t>
  </si>
  <si>
    <t>¿Implementó o mejoró alguna ventanilla única en la vigencia evaluada?</t>
  </si>
  <si>
    <t xml:space="preserve">MARQUE CON UNA X O INDIQUE EL VALOR SEGÚN CORRESPONDA </t>
  </si>
  <si>
    <t xml:space="preserve">CÁLCULÓ DE PREGUNTA </t>
  </si>
  <si>
    <t xml:space="preserve">CÁLCULO DE INDICADOR </t>
  </si>
  <si>
    <t xml:space="preserve"> Concertó</t>
  </si>
  <si>
    <t xml:space="preserve"> Suscribió</t>
  </si>
  <si>
    <t xml:space="preserve"> Realizó seguimiento</t>
  </si>
  <si>
    <t xml:space="preserve"> Evalúo</t>
  </si>
  <si>
    <t>Identifique el nivel de cumplimiento de los temas relacionados con Capacitación incluidos en el Plan Estratégico de Recursos Humanos :</t>
  </si>
  <si>
    <t>si selecciona f=0</t>
  </si>
  <si>
    <t>si selecciona g=25%</t>
  </si>
  <si>
    <t>si selecciona h=50%</t>
  </si>
  <si>
    <t>si selecciona i=75%</t>
  </si>
  <si>
    <t xml:space="preserve">si selecciona j=100% </t>
  </si>
  <si>
    <t>Identifique el nivel de cumplimiento de los temas relacionados con Bienestar incluidos en el Plan Estratégico de Recursos Humanos :</t>
  </si>
  <si>
    <t>si selecciona k=0</t>
  </si>
  <si>
    <t>si selecciona l=25%</t>
  </si>
  <si>
    <t>si selecciona n=75%</t>
  </si>
  <si>
    <t xml:space="preserve">si selecciona o=100% </t>
  </si>
  <si>
    <t>Identifique el nivel de cumplimiento de los temas relacionados con Incentivos incluidos en el Plan Estratégico de Recursos Humanos :</t>
  </si>
  <si>
    <t>si selecciona p=0</t>
  </si>
  <si>
    <t>si selecciona q=25%</t>
  </si>
  <si>
    <t>si selecciona r=50%</t>
  </si>
  <si>
    <t>si selecciona s=75%</t>
  </si>
  <si>
    <t xml:space="preserve">si selecciona t=100% </t>
  </si>
  <si>
    <t>Identifique el nivel de cumplimiento de los temas relacionados con Inducción incluidos en el Plan Estratégico de Recursos Humanos :</t>
  </si>
  <si>
    <t>si selecciona u=0</t>
  </si>
  <si>
    <t>si selecciona w=50%</t>
  </si>
  <si>
    <t>si selecciona x=75%</t>
  </si>
  <si>
    <t xml:space="preserve">si selecciona y=100% </t>
  </si>
  <si>
    <t>Identifique el nivel de cumplimiento de los temas relacionados con Evaluación del desempeño incluidos en el Plan Estratégico de Recursos Humanos</t>
  </si>
  <si>
    <t>si selecciona z=0</t>
  </si>
  <si>
    <t>si selecciona ab=50%</t>
  </si>
  <si>
    <t>si selecciona ac=75%</t>
  </si>
  <si>
    <t xml:space="preserve">si selecciona ad=100% </t>
  </si>
  <si>
    <t>Identifique el nivel de cumplimiento de los temas relacionados con Plan anual de vacantes incluidos en el Plan Estratégico de Recursos Humanos :</t>
  </si>
  <si>
    <t>si selecciona ae=0</t>
  </si>
  <si>
    <t>si selecciona ag=50%</t>
  </si>
  <si>
    <t>si selecciona ah=75%</t>
  </si>
  <si>
    <t xml:space="preserve">si selecciona ai=100% </t>
  </si>
  <si>
    <t>Identifique el nivel de cumplimiento de los temas relacionados con Plan de Previsión del Recurso Humano incluidos Plan Estratégico de Recursos Humanos :</t>
  </si>
  <si>
    <t>si selecciona aj=0</t>
  </si>
  <si>
    <t>si selecciona al=50%</t>
  </si>
  <si>
    <t>si selecciona am=75%</t>
  </si>
  <si>
    <t xml:space="preserve">si selecciona an=100% </t>
  </si>
  <si>
    <t>¿La previsión de las necesidades de personal permiten a la organización gestionar de manera óptima los planes, proyectos y programas establecidos?</t>
  </si>
  <si>
    <t>En la totalidad de planes, programas y proyectos</t>
  </si>
  <si>
    <t>En la mayoría de planes, programas y proyectos</t>
  </si>
  <si>
    <t>En algunos de los planes, programas y proyectos</t>
  </si>
  <si>
    <t>si selecciona aq=50%</t>
  </si>
  <si>
    <t>En pocos planes, programas y proyectos</t>
  </si>
  <si>
    <t>Deficientemente</t>
  </si>
  <si>
    <t>¿A través de cual estrategia subsanó el déficit de personal y en qué cantidad?</t>
  </si>
  <si>
    <t>Capacitación</t>
  </si>
  <si>
    <t>si selecciona at=100%</t>
  </si>
  <si>
    <t>Reubicación</t>
  </si>
  <si>
    <t>si selecciona au=100%</t>
  </si>
  <si>
    <t>Otra</t>
  </si>
  <si>
    <t>si selecciona av=25%</t>
  </si>
  <si>
    <t>si selecciona aw=0</t>
  </si>
  <si>
    <t>La entidad adelantó acciones relacionadas con el bienestar de sus servidores públicos en:</t>
  </si>
  <si>
    <t>Teletrabajo</t>
  </si>
  <si>
    <t>Horarios flexibles</t>
  </si>
  <si>
    <t>Entorno laboral saludable</t>
  </si>
  <si>
    <t>Otra, ¿cuál?</t>
  </si>
  <si>
    <t>si selecciona bc=100%</t>
  </si>
  <si>
    <t>si selecciona bd=0</t>
  </si>
  <si>
    <t xml:space="preserve">Sistema de Capacitación </t>
  </si>
  <si>
    <t>¿Cuál de las siguientes fases realizó la Entidad para formular el Plan Institucional de Capacitación de la vigencia anterior?</t>
  </si>
  <si>
    <t>Sensibilización</t>
  </si>
  <si>
    <t>Formulación de los Proyectos de Aprendizaje</t>
  </si>
  <si>
    <t>Consolidación del Diagnóstico de necesidades de la entidad</t>
  </si>
  <si>
    <t>Programación del Plan Institucional</t>
  </si>
  <si>
    <t>Ejecución del Plan Institucional de Capacitación</t>
  </si>
  <si>
    <t>Evaluación</t>
  </si>
  <si>
    <t>No realizó Plan Institucional de Capacitación</t>
  </si>
  <si>
    <t>Identifique los temas que se incluyeron en el Plan Institucional de Capacitación de la vigencia:</t>
  </si>
  <si>
    <t>Gestión del Talento Humano</t>
  </si>
  <si>
    <t>((h+i+j+k+l+m+n+o+p+q+r+s+t+u+v+w+x)/17)*100                                                         si selecciona y=0</t>
  </si>
  <si>
    <t>Integración Cultural</t>
  </si>
  <si>
    <t>Planificación, Desarrollo Territorial y Nacional</t>
  </si>
  <si>
    <t>Relevancia Internacional</t>
  </si>
  <si>
    <t>Buen Gobierno</t>
  </si>
  <si>
    <t>Contratación Pública</t>
  </si>
  <si>
    <t>Cultura Organizacional</t>
  </si>
  <si>
    <t>Derechos Humanos</t>
  </si>
  <si>
    <t>Gestión de Tecnologías de la Información</t>
  </si>
  <si>
    <t>Gobierno en Línea</t>
  </si>
  <si>
    <t>Innovación</t>
  </si>
  <si>
    <t>Participación Ciudadana</t>
  </si>
  <si>
    <t>Sostenibilidad Ambiental</t>
  </si>
  <si>
    <t xml:space="preserve">Sistema de Estímulos </t>
  </si>
  <si>
    <t>El Programa de Bienestar e Incentivos desarrollado por la Entidad se elaboró con base en:</t>
  </si>
  <si>
    <t>Los criterios del área de Talento Humano, en desarrollo de las funciones que le han sido asignadas</t>
  </si>
  <si>
    <t>La decisión de alta dirección</t>
  </si>
  <si>
    <t>El diagnóstico de necesidades, con base en un instrumento de recolección de información aplicado a los servidores públicos de la Entidad</t>
  </si>
  <si>
    <t>Todas las anteriores</t>
  </si>
  <si>
    <t>No elaboró Programa de Bienestar e Incentivos</t>
  </si>
  <si>
    <t>Indique las actividades que fueron incluidas en el Programa de Bienestar de la vigencia anterior:</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</si>
  <si>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</si>
  <si>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</si>
  <si>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</si>
  <si>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</si>
  <si>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</si>
  <si>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</si>
  <si>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</si>
  <si>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</si>
  <si>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</si>
  <si>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</si>
  <si>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</si>
  <si>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La Entidad otorgó incentivos para:</t>
  </si>
  <si>
    <t>Gerentes públicos</t>
  </si>
  <si>
    <t>Equipos de trabajo (pecuniarios)</t>
  </si>
  <si>
    <t>Empleados de carrera y de libre nombramiento y remoción (no pecuniarios)</t>
  </si>
  <si>
    <t>No otorgó incentivos</t>
  </si>
  <si>
    <t>¿Cuál fue el último año en el que la Entidad realizó medición del Clima Laboral?</t>
  </si>
  <si>
    <t>si responde w= 50%</t>
  </si>
  <si>
    <t>si responde x=100%</t>
  </si>
  <si>
    <t>No realizó medición del Clima Laboral en los últimos 2 años</t>
  </si>
  <si>
    <t>si responde y=0</t>
  </si>
  <si>
    <t>Los resultados de la medición del Clima Laboral permitieron corregir:</t>
  </si>
  <si>
    <t>El conocimiento de la orientación organizacional</t>
  </si>
  <si>
    <t>El estilo de dirección</t>
  </si>
  <si>
    <t>La comunicación e integración</t>
  </si>
  <si>
    <t>El trabajo en equipo</t>
  </si>
  <si>
    <t>La capacidad profesional</t>
  </si>
  <si>
    <t>El Ambiente Físico</t>
  </si>
  <si>
    <t xml:space="preserve">Gestión del SIGEP </t>
  </si>
  <si>
    <t xml:space="preserve">La entidad cuenta con la validación y aprobación del Sistema de Información y Gestión del Empleo Público (SIGEP) </t>
  </si>
  <si>
    <t>si responde a=100%</t>
  </si>
  <si>
    <t>COMPONENTE</t>
  </si>
  <si>
    <t xml:space="preserve">MARQUE CON UNA X EN LA CASILLA QUE CORRESPONDA O INDIQUE EL NÚMERO DEPENDIENDO EL CASO </t>
  </si>
  <si>
    <t xml:space="preserve">Rango de suma </t>
  </si>
  <si>
    <t xml:space="preserve">CÁLCULO DE LA PREGUNTA  </t>
  </si>
  <si>
    <t>La Entidad publicó en su sitio web oficial, en la sección de Transparencia y acceso a información pública:</t>
  </si>
  <si>
    <t>ab) Información de Ejecución presupuestal histórica anual</t>
  </si>
  <si>
    <t>ac) Estados financieros</t>
  </si>
  <si>
    <t>ad) Politicas, lineamientos sectoriales e institucionales o manuales</t>
  </si>
  <si>
    <t>ae) Plan  Estratégico Sectorial</t>
  </si>
  <si>
    <t>af) Plan Estratégico Institucional</t>
  </si>
  <si>
    <t>ag) Plan de Acción Anual</t>
  </si>
  <si>
    <t>ah) Plan anti-corrupción y de servicio al ciudadano</t>
  </si>
  <si>
    <t>ai) Plan de gasto público</t>
  </si>
  <si>
    <t>aj) Programas y proyectos de inversión en ejecución</t>
  </si>
  <si>
    <t>ak) Metas, objetivos e indicadores de gestión y/o desempeño</t>
  </si>
  <si>
    <t>al) Mecanismos para la Participación de los ciudadanos, usuarios o grupos de interés en la formulación de políticas</t>
  </si>
  <si>
    <t>am) Informes de empalme</t>
  </si>
  <si>
    <t>an) Informes de gestión y evaluación</t>
  </si>
  <si>
    <t>ao) Informes de auditoría</t>
  </si>
  <si>
    <t>ap) Informe pormenorizado de control interno</t>
  </si>
  <si>
    <t>aq) Informe de seguimiento al Plan Anticorrupción y de Atención al Ciudadano</t>
  </si>
  <si>
    <t>ar)  Informes de rendición de cuentas</t>
  </si>
  <si>
    <t>as) Planes de Mejoramiento (de organismos de control e internos)</t>
  </si>
  <si>
    <t>at) Listado de Entes de control que vigilan a la Entidad y mecanismos de supervisión</t>
  </si>
  <si>
    <t>au)  Información para población vulnerable</t>
  </si>
  <si>
    <t>av) Informes sobre demandas y procesos judiciales contra la Entidad</t>
  </si>
  <si>
    <t>aw) Procedimientos, lineamientos y políticas en materia de adquisición y compras</t>
  </si>
  <si>
    <t>ax) Plan Anual de Adquisiciones (PAA)</t>
  </si>
  <si>
    <t>ay) Publicación de la información contractual (o enlace SECOP)</t>
  </si>
  <si>
    <t>az) Relación de los nombres de los trámites y Otros Procedimientos administrativos inscritos en el SUIT, con un enlace directo al SI Virtual</t>
  </si>
  <si>
    <t>ba) Registro de Activos de Información</t>
  </si>
  <si>
    <t>bc) Esquema de Publicación de Información</t>
  </si>
  <si>
    <t>bd) Programa de Gestión Documental</t>
  </si>
  <si>
    <t>be)  Tablas de Retención Documental</t>
  </si>
  <si>
    <t>bf) Cuadro de Clasificación Documental</t>
  </si>
  <si>
    <t>bg) Registro de publicaciones</t>
  </si>
  <si>
    <t>bh) Acto administrativo de Costos de reproducción de la información pública</t>
  </si>
  <si>
    <t>bi) Mecanismos para presentar quejas y reclamos en relación con omisiones o acciones de la Entidad</t>
  </si>
  <si>
    <t>bj) Informe de peticiones, quejas, reclamos, denuncias  y solicitudes de acceso a la información</t>
  </si>
  <si>
    <t>Señale con cuales de los siguientes criterios de accesibilidad cumple el sitio web</t>
  </si>
  <si>
    <t>bk) Contenido no textual</t>
  </si>
  <si>
    <t>bl) Información y relaciones</t>
  </si>
  <si>
    <t>bm) Sugerencia significativa</t>
  </si>
  <si>
    <t>bn) Características sensoriales</t>
  </si>
  <si>
    <t>bo) Uso del color</t>
  </si>
  <si>
    <t>bp) Teclado</t>
  </si>
  <si>
    <t>bq) Sin trampas para el foco del teclado</t>
  </si>
  <si>
    <t>br) Tiempo ajustable</t>
  </si>
  <si>
    <t>bs) Poner en pausa, detener, ocultar</t>
  </si>
  <si>
    <t>bt) Evitar bloques</t>
  </si>
  <si>
    <t>bu) Titulado de páginas</t>
  </si>
  <si>
    <t>bv) Orden del foco</t>
  </si>
  <si>
    <t>bw) Propósito de los enlaces (en contexto)</t>
  </si>
  <si>
    <t>bx) Idioma de la página</t>
  </si>
  <si>
    <t>by) Al recibir el foco</t>
  </si>
  <si>
    <t>bz) Al recibir entradas</t>
  </si>
  <si>
    <t>ca) Identificación de errores</t>
  </si>
  <si>
    <t>cb) Etiquetas o instrucciones</t>
  </si>
  <si>
    <t>cc) Procesamiento</t>
  </si>
  <si>
    <t>cd) Nombre, función, valor</t>
  </si>
  <si>
    <t>ce) Ninguno de los anteriores</t>
  </si>
  <si>
    <t>Señale las directrices de usabilidad con las cuales cumple la Entidad en su sitio Web</t>
  </si>
  <si>
    <t>cf) Diseño ordenado y limpio</t>
  </si>
  <si>
    <t>cg) Ruta de migas</t>
  </si>
  <si>
    <t>ch) Interfaces en movimiento</t>
  </si>
  <si>
    <t>ci) URL limpios</t>
  </si>
  <si>
    <t>cj) Navegación global consistente</t>
  </si>
  <si>
    <t>ck) Uso adecuado de espacios en blanco</t>
  </si>
  <si>
    <t>cl) Navegación de contexto</t>
  </si>
  <si>
    <t>cm) Vínculo a página de inicio</t>
  </si>
  <si>
    <t>cn) Independencia de navegador</t>
  </si>
  <si>
    <t>co) Enlaces bien formulados</t>
  </si>
  <si>
    <t>cp) Ventanas emergentes</t>
  </si>
  <si>
    <t>cq) Botón atrás</t>
  </si>
  <si>
    <t>cr) Títulos y encabezados</t>
  </si>
  <si>
    <t>cs) Vínculos rotos</t>
  </si>
  <si>
    <t>ct) Justificación del texto</t>
  </si>
  <si>
    <t>cu) Ancho del cuerpo de texto</t>
  </si>
  <si>
    <t>cv) Texto subrayado</t>
  </si>
  <si>
    <t>cw) Desplazamiento horizontal</t>
  </si>
  <si>
    <t>cx) Hojas de estilo para diferentes formatos</t>
  </si>
  <si>
    <t>cy) Vínculos visitados</t>
  </si>
  <si>
    <t>cz) Campos obligatorios</t>
  </si>
  <si>
    <t>da) Asociación de etiquetas y campos</t>
  </si>
  <si>
    <t>db) Ejemplos en los campos de formulario</t>
  </si>
  <si>
    <t>dc) Listas</t>
  </si>
  <si>
    <t>de) Ninguno de los anteriores</t>
  </si>
  <si>
    <t>df) ¿Cuántos ejercicios de rendición de cuentas realizó la Entidad?</t>
  </si>
  <si>
    <t>dg) ¿Cuántos de los ejercicios de rendición de cuentas realizados por la Entidad, utilizaron medios electrónicos?</t>
  </si>
  <si>
    <t>dh) ¿Cuántos de los conjuntos de datos abiertos publicados están actualizados y fueron difundidos?</t>
  </si>
  <si>
    <t>¿La Entidad realizó seguimiento al uso de los conjuntos de datos publicados?</t>
  </si>
  <si>
    <t>di) Si</t>
  </si>
  <si>
    <t>dj) No</t>
  </si>
  <si>
    <t>VALOR DE DESEMPEÑO EN TRANSPARENCIA L1</t>
  </si>
  <si>
    <t>L1=(L1.1+L1.2+L1.3+L1.4+L1.5)/5</t>
  </si>
  <si>
    <t>La entidad ha adelanto acciones, iniciativas o ejercicios de colaboración con terceros usando medios electronicos para solucionar un problema de la Entidad</t>
  </si>
  <si>
    <t>VALOR DE DESEMPEÑO EN COLABORACIÓN L2</t>
  </si>
  <si>
    <t>L2=L2.1</t>
  </si>
  <si>
    <t>a) Rendición de Cuentas</t>
  </si>
  <si>
    <t>b) Elaboración de normatividad</t>
  </si>
  <si>
    <t>c) Formulación de la Planeación</t>
  </si>
  <si>
    <t>d) Formulación de políticas, programas y proyectos</t>
  </si>
  <si>
    <t>e) Ejecución de programas, proyectos y servicios</t>
  </si>
  <si>
    <t>f) Ejercicios de innovación abierta para la solución de problemas relacionados con sus funciones</t>
  </si>
  <si>
    <t>g) Promoción del control social y veeduría ciudadanas</t>
  </si>
  <si>
    <t>h) Otro, ¿Cuál?</t>
  </si>
  <si>
    <t>VALOR DE DESEMPEÑO EN PARTICIPACIÓN L3</t>
  </si>
  <si>
    <t>L3=L3.1</t>
  </si>
  <si>
    <t>VALOR DE DESEMPEÑO EN  Promedio indicadores de proceso TIC para Gobierno abierto</t>
  </si>
  <si>
    <t>PC1=(L1+L2+L3)/3</t>
  </si>
  <si>
    <t>a) ¿Cuántos conjuntos de datos abiertos estratégicos fueron identificados?</t>
  </si>
  <si>
    <t>(Número de datos estrategicos publicados/Número de datos estrategicos identificados )*100</t>
  </si>
  <si>
    <t>b)  ¿Cuántos de los conjuntos de datos abiertos estratégicos identificados fueron publicados?</t>
  </si>
  <si>
    <t>PIRTICGA=c&gt;0 = 50%      De lo contrario 0</t>
  </si>
  <si>
    <t>PIRTICGA=d&gt;0 = 50%    De lo contrario 0</t>
  </si>
  <si>
    <t>PIRTICGA=e&gt;0 = 100       De lo contrario 0</t>
  </si>
  <si>
    <t>VALOR DE DESEMPEÑO EN  Promedio indicadores de resultado TIC para Servicios</t>
  </si>
  <si>
    <t>RC1= (RC1.1+RC1.2+RC1.3+RC1.4)/4</t>
  </si>
  <si>
    <t>C1= (PC1 + RC1)/2</t>
  </si>
  <si>
    <t>a) Presencialmente</t>
  </si>
  <si>
    <t>(Número de Servicios en línea y parcialmente en línea que cuentan con caracterización de usuarios/ Total de Servicios en línea y parcialmente en línea) x 100</t>
  </si>
  <si>
    <t xml:space="preserve">b) Totalmente en línea </t>
  </si>
  <si>
    <t>c) Parcialmente en línea</t>
  </si>
  <si>
    <t>d) Presencialmente</t>
  </si>
  <si>
    <t xml:space="preserve">e) Totalmente en línea </t>
  </si>
  <si>
    <t>f) Parcialmente en línea</t>
  </si>
  <si>
    <t xml:space="preserve">g) Totalmente en línea </t>
  </si>
  <si>
    <t>h) Parcialmente en línea</t>
  </si>
  <si>
    <t>j) Parcialmente en línea</t>
  </si>
  <si>
    <t>k)  Presencialmente</t>
  </si>
  <si>
    <t>(Número de Servicios en línea y parcialmente en línea que cumplen con criterios de accesibilidad/ Total de Servicios en línea y parcialmente en línea) x 100</t>
  </si>
  <si>
    <t xml:space="preserve">l) Totalmente en línea </t>
  </si>
  <si>
    <t>m) Parcialmente en línea</t>
  </si>
  <si>
    <t>n) Presencialmente</t>
  </si>
  <si>
    <t>o) Totalmente en línea</t>
  </si>
  <si>
    <t>p) Parcialmente en línea</t>
  </si>
  <si>
    <t>q) Totalmente en línea</t>
  </si>
  <si>
    <t>r) Parcialmente en línea</t>
  </si>
  <si>
    <t>s) Totalmente en línea</t>
  </si>
  <si>
    <t>t)  Parcialmente en línea</t>
  </si>
  <si>
    <t>u) Presencialmente</t>
  </si>
  <si>
    <t>(Número de  Servicios que cumplen con criterios de usabilidad  /  Total de Servicios en línea) x 100</t>
  </si>
  <si>
    <t xml:space="preserve">v) Totalmente en línea </t>
  </si>
  <si>
    <t>w) Parcialmente en línea</t>
  </si>
  <si>
    <t>x) Presencialmente</t>
  </si>
  <si>
    <t>y) Totalmente en línea</t>
  </si>
  <si>
    <t>z) Parcialmente en línea</t>
  </si>
  <si>
    <t>aa) Totalmente en línea</t>
  </si>
  <si>
    <t>ab) Parcialmente en línea</t>
  </si>
  <si>
    <t>ac) Totalmente en línea</t>
  </si>
  <si>
    <t>ad) Parcialmente en línea</t>
  </si>
  <si>
    <t>ae) Presencialmente</t>
  </si>
  <si>
    <t>(Número de Servicios en línea promocionados  / Total de Servicios en línea) x 100</t>
  </si>
  <si>
    <t xml:space="preserve">af) Totalmente en línea </t>
  </si>
  <si>
    <t>ag) Parcialmente en línea</t>
  </si>
  <si>
    <t>ah) Presencialmente</t>
  </si>
  <si>
    <t>ai) Totalmente en línea</t>
  </si>
  <si>
    <t>aj) Parcialmente en línea</t>
  </si>
  <si>
    <t>ak) Totalmente en línea</t>
  </si>
  <si>
    <t>al) Parcialmente en línea</t>
  </si>
  <si>
    <t>am)  Totalmente en línea</t>
  </si>
  <si>
    <t>an) Parcialmente en línea</t>
  </si>
  <si>
    <t>VALOR DE DESEMPEÑO EN Servicios centrados en el usuario L4</t>
  </si>
  <si>
    <t>L4 =(L4.1+L4.2+L4.3+L4.4)/4</t>
  </si>
  <si>
    <t>Si selecciona a = 100</t>
  </si>
  <si>
    <t>Si Selecciona b = 0</t>
  </si>
  <si>
    <t>¿La Entidad ofreció la posibilidad de realizar peticiones, quejas, reclamos y denuncias a través de dispositivos móviles?</t>
  </si>
  <si>
    <t>c) Si</t>
  </si>
  <si>
    <t>d) No</t>
  </si>
  <si>
    <t>VALOR DE DESEMPEÑO EN Sistema integrado de PQRD</t>
  </si>
  <si>
    <t>L5= (L5.1+L5.2+L5.3)/3</t>
  </si>
  <si>
    <t>En relación con las certificaciones y constancias de la entidad, indique</t>
  </si>
  <si>
    <t>a) ¿Cuántas existen?</t>
  </si>
  <si>
    <t>(Número de Certificaciones y Constancias en línea /  Total de Certificaciones y Constancias) x 100</t>
  </si>
  <si>
    <t>b) ¿Cuántas se pueden realizar por medios electrónicos?</t>
  </si>
  <si>
    <t>c) Trámites</t>
  </si>
  <si>
    <t>(Número de Trámites y Servicios en línea /  Total de Trámites y Servicios potenciales en línea) x 100</t>
  </si>
  <si>
    <t>d) Otros procedimientos administrativos</t>
  </si>
  <si>
    <t>e) Presencialmente</t>
  </si>
  <si>
    <t xml:space="preserve">f) Totalmente en línea </t>
  </si>
  <si>
    <t>g)  Parcialmente en línea</t>
  </si>
  <si>
    <t>h)  Presencialmente</t>
  </si>
  <si>
    <t>i)  Totalmente en línea</t>
  </si>
  <si>
    <t>k) Trámites</t>
  </si>
  <si>
    <t>(Número de trámites y servicios en línea integrados a alguna ventanilla única / Total de trámites y servicios en línea) x 100</t>
  </si>
  <si>
    <t>l) Otros procedimientos administrativos</t>
  </si>
  <si>
    <t>VALOR DE DESEMPEÑO EN  Trámites y servicios en línea</t>
  </si>
  <si>
    <t>L6= (L6.1+L6.2+L6.3)/3</t>
  </si>
  <si>
    <t>VALOR DE DESEMPEÑO EN  Promedio indicadores de proceso TIC para Servicios</t>
  </si>
  <si>
    <t>PC2=(L4+L5+L6)/3</t>
  </si>
  <si>
    <t xml:space="preserve">Si es mayor o igual 80 = 100.
De lo contrario arroja el valor de la respuesta indicado por la entidad. </t>
  </si>
  <si>
    <t>Señale:</t>
  </si>
  <si>
    <t>RC2= (RC2.1+RC2.2)/2</t>
  </si>
  <si>
    <t>C2= (PC2+RC2)/2</t>
  </si>
  <si>
    <t xml:space="preserve">
¿Cual es el estado del plan estrategico de TI (PETI)?</t>
  </si>
  <si>
    <t>Si selecciona b = 70</t>
  </si>
  <si>
    <t>Si selecciona c = 0</t>
  </si>
  <si>
    <t>El plan estratégico de TI (PETI) contempló:</t>
  </si>
  <si>
    <t>d) Portafolio o mapa de ruta de proyectos</t>
  </si>
  <si>
    <t>e) Proyección del Presupuesto</t>
  </si>
  <si>
    <t>f) Entendimiento estratégico</t>
  </si>
  <si>
    <t>g) Análisis de la situación actual</t>
  </si>
  <si>
    <t>h) Plan de Comunicaciones del PETI</t>
  </si>
  <si>
    <t>i) Todos los dominios del Marco de Referencia</t>
  </si>
  <si>
    <t>¿En relación con el monitoreo y evaluación del Plan Estratégico de TI (PETI), la entidad ?</t>
  </si>
  <si>
    <t>k) Definió indicadores</t>
  </si>
  <si>
    <t>l) Definió indicadores  y realizó medición de los indicadores.</t>
  </si>
  <si>
    <t>m) Definió indicadores, realizó medición de los indicadores y  generó acciones de mejora a partir de los resultados de la medición.</t>
  </si>
  <si>
    <t>n) Ninguna de las anteriores</t>
  </si>
  <si>
    <t>En relación con el catálogo de servicios de TI, la Entidad:</t>
  </si>
  <si>
    <t>o) Lo tiene y está actualizado</t>
  </si>
  <si>
    <t>p)  Lo tiene y no está actualizado</t>
  </si>
  <si>
    <t>q) No lo tiene o se encuentra en proceso de construcción</t>
  </si>
  <si>
    <t xml:space="preserve"> VALOR DE DESEMPEÑO EN  Estrategia de TI   L7</t>
  </si>
  <si>
    <t>L7=(L7.1+L7.2+L7.3+L7.4)/4</t>
  </si>
  <si>
    <t>Señale los aspectos incorporados en el esquema de gobierno de TI de la Entidad</t>
  </si>
  <si>
    <t>Con respecto a la optimización de  las  compras de TI, la entidad:</t>
  </si>
  <si>
    <t>h) Utilizó Acuerdos Marco de Precios para bienes y servicios de TI</t>
  </si>
  <si>
    <t>i) Utilizó contratos de Agregación de demanda para bienes y servicios de TI.</t>
  </si>
  <si>
    <t>j) Aplicó metodologías o casos de negocio  y criterios  para la selección y/o evaluación de soluciones de TI</t>
  </si>
  <si>
    <t>k) Ninguna de las anteriores.</t>
  </si>
  <si>
    <t xml:space="preserve">¿La Entidad utiliza una metodología para la gestión de proyectos de TI?
</t>
  </si>
  <si>
    <t>Si selecciona l = 100</t>
  </si>
  <si>
    <t>m) No</t>
  </si>
  <si>
    <t>Si Selecciona m = 0</t>
  </si>
  <si>
    <t xml:space="preserve">
Hubo transferencia de conocimiento de los proveedores  y/o contratistas de TI hacia su Entidad?</t>
  </si>
  <si>
    <t>n) Sí</t>
  </si>
  <si>
    <t>Si selecciona  n= 100</t>
  </si>
  <si>
    <t>o) No</t>
  </si>
  <si>
    <t>Si Selecciona o= 0</t>
  </si>
  <si>
    <t>L8= (L8.1 +L8.2+L8.3+L8.4)/4</t>
  </si>
  <si>
    <t>Con relación a la gestión y planeación de los componentes de información la entidad:</t>
  </si>
  <si>
    <t>a) Definió un esquema de Gobierno de los Componentes de Información</t>
  </si>
  <si>
    <t>b)Definió una metodología para el diseño de los Componentes de Información</t>
  </si>
  <si>
    <t>c)Definió un esquema para el analisis y aprovechamiento de los Componentes de Información.</t>
  </si>
  <si>
    <t>d)Ninguna de anteriores</t>
  </si>
  <si>
    <t>La entidad usa el estándar GEL-XML en la implementación de servicios  para el intercambio de información con otras entidades</t>
  </si>
  <si>
    <t>e)SI</t>
  </si>
  <si>
    <t>Si selecciona e= 100</t>
  </si>
  <si>
    <t>f)No</t>
  </si>
  <si>
    <t>Si Selecciona f= 0</t>
  </si>
  <si>
    <t>Con respecto a la calidad de los componentes de información la Entidad:</t>
  </si>
  <si>
    <t>g) Definición de un programa y/o estrategia de calidad de los componentes de información institucional.</t>
  </si>
  <si>
    <t>h)Implementación y seguimiento del programa y/o estrategia de calidad de los componentes de información definido.</t>
  </si>
  <si>
    <t>i) Implementación de controles de calidad de los datos en los sistemas de información</t>
  </si>
  <si>
    <t>j) Definición de indicadores y metricas para medir la calidad de los componentes de información</t>
  </si>
  <si>
    <t>k) Ejercicios de diagnóstico y perfilamiento de la calidad de datos.</t>
  </si>
  <si>
    <t>m) Ninguna de las anteriores</t>
  </si>
  <si>
    <t>L9 =(L9.1 +L9.2 +L9.3)/3</t>
  </si>
  <si>
    <t>¿La Entidad ha incorporado dentro de los contratos de desarrollo de sistemas de información, claúsulas que obliguen a  realizar transferencia de derechos de autor a su favor?</t>
  </si>
  <si>
    <t>a) Sí</t>
  </si>
  <si>
    <t>b) No</t>
  </si>
  <si>
    <t>La entidad implementa  dentro de sus sistemas de información la guía de estilo y las especificaciones tecnicas de usabilidad  definidas por la Entidad y el Ministerio de TIC en:</t>
  </si>
  <si>
    <t>c) sistemas de información misionales</t>
  </si>
  <si>
    <t>d) sistemas de información de soporte</t>
  </si>
  <si>
    <t xml:space="preserve">e) sistemas de información estrategicos </t>
  </si>
  <si>
    <t>f) portales digitales</t>
  </si>
  <si>
    <t xml:space="preserve">g) ninguna de los anteriores </t>
  </si>
  <si>
    <t>Los sistemas de información de la Entidad tienen habilitadas caracteristicas que permitan la apertura de sus datos</t>
  </si>
  <si>
    <t>h)Si</t>
  </si>
  <si>
    <t>Si selecciona h= 100</t>
  </si>
  <si>
    <t>i) No</t>
  </si>
  <si>
    <t>Si Selecciona i= 0</t>
  </si>
  <si>
    <t>¿Con respecto a la gestión del ciclo de vida de los sistemas de información, la entidad?</t>
  </si>
  <si>
    <t>j) Definio y aplico metodologias para el diseño, desarrollo, implementación y despliegue de los sistemas de información.</t>
  </si>
  <si>
    <t>k) Implemento actividades para la gestión del control de cambios sobre los sistemas de información.</t>
  </si>
  <si>
    <t>l)  Realizo mantenimientos preventivos y correctivos sobre los sistemas de información.</t>
  </si>
  <si>
    <t>m) Establecio ambientes de pruebas y producción independientes, para asegurar la correcta funcionalidad de los sistemas de información.</t>
  </si>
  <si>
    <t>n) Ninguno de los anteriores.</t>
  </si>
  <si>
    <t>Con respecto  a la arquitectura de sistemas de información, la entidad?</t>
  </si>
  <si>
    <t xml:space="preserve">o) Elaboro  el catálogo de sistemas de información </t>
  </si>
  <si>
    <t>p) Definio los diagramas de interacción e interoperabilidad de sus sistemas de información.</t>
  </si>
  <si>
    <t>q)  Documento las arquitecturas de solución de sus sistemas de información.</t>
  </si>
  <si>
    <t>r) Ninguna de las anteriores</t>
  </si>
  <si>
    <t xml:space="preserve">¿La Entidad posee mecanismos para asegurar la trazabilidad sobre las transacciones realizadas en los sistemas de información?
</t>
  </si>
  <si>
    <t>s) Totalmente (Políticas y Parametrización en mas del 90% de Sistemas de Información)</t>
  </si>
  <si>
    <t>Si selecciona  s= 100</t>
  </si>
  <si>
    <t>t) Parcialmente (Políticas y parametrización entre el 50 y 90% de sus sistemas de información)</t>
  </si>
  <si>
    <t>Si selecciona  t = 50</t>
  </si>
  <si>
    <t>u) Incipientemente (Políticas y parametrización en menos del 50% de sus sistemas de información)</t>
  </si>
  <si>
    <t xml:space="preserve">Si selecciona   u= 0 </t>
  </si>
  <si>
    <t xml:space="preserve"> L10 =(L10.1+L10.2+L10.3+L10.4+L10.5+L10.6)/6</t>
  </si>
  <si>
    <t xml:space="preserve">La Entidad posee una arquitectura de servicios tecnológicos (arquitectura de infrestructura tecnológica):
</t>
  </si>
  <si>
    <t>a) Documentada y no actualizada</t>
  </si>
  <si>
    <t>Si a = 50</t>
  </si>
  <si>
    <t>b) Documentada y Actualizada</t>
  </si>
  <si>
    <t>Si b =  100</t>
  </si>
  <si>
    <t>c) No posee una arquitectura de servicios tecnológicos</t>
  </si>
  <si>
    <t>Si  c= 0</t>
  </si>
  <si>
    <t xml:space="preserve">¿La Entidad ha aplicado metodologías de evaluación de alternativas de solución y/o tendencias tecnológicas para la adquisición de servicios y/o soluciones de TI?
</t>
  </si>
  <si>
    <t>d)Siempre</t>
  </si>
  <si>
    <t>Si selecciona  d=100</t>
  </si>
  <si>
    <t>e) Algunas veces</t>
  </si>
  <si>
    <t>Si selecciona  e= 50</t>
  </si>
  <si>
    <t>f) Nunca</t>
  </si>
  <si>
    <t xml:space="preserve">Si selecciona  f= 0 </t>
  </si>
  <si>
    <t>La Entidad tiene implementado un programa de correcta disposición final de los residuos tecnológicos?</t>
  </si>
  <si>
    <t>g)Sí</t>
  </si>
  <si>
    <t>h) No</t>
  </si>
  <si>
    <t>Con relación a los  mecanismos de monitoreo de la continuidad y disponibilidad los servicios tecnológicos, la entidad  a:</t>
  </si>
  <si>
    <t>i) Definio acuerdos de Nivel de servicio para los servicios tecnologicos prestados por terceros.</t>
  </si>
  <si>
    <t>j) Definio y realizó seguimiento a los acuerdos de Nivel de servicio de los servicios tecnologicos prestados por terceros.</t>
  </si>
  <si>
    <t>k) Implementó herramientas de gestión para el monitoreo y genereación de alarmas tempranas sobre la continuidad y disponibilidad de lo servicios.</t>
  </si>
  <si>
    <t>l)  Realizo proyección de la capacidad de los servicios tecnologícos</t>
  </si>
  <si>
    <t>m) Ninguna de las anteriores.</t>
  </si>
  <si>
    <t xml:space="preserve">
¿Con relación a los procesos de operación y mantenimiento preventivo y correctivo de los servicios tecnológicos, la Entidad ?</t>
  </si>
  <si>
    <t>n) Implemento procesos de mantenimiento preventivo</t>
  </si>
  <si>
    <t>((n+o+p) /3)*100=100
Si selecciona  q=0</t>
  </si>
  <si>
    <t>o) Implemento procesos de mantenimiento correctivo</t>
  </si>
  <si>
    <t>p)  Implemento una mesa de servicios para el soporte y atención de incidentes y problemas de los servicios tecnológicos.</t>
  </si>
  <si>
    <t>q)  Ninguna de las anteriores</t>
  </si>
  <si>
    <t>Con respecto a  la gestión y control de la calidad y seguridad de los servicios tecnológicos, la entidad?</t>
  </si>
  <si>
    <t>r) Definio controles de calidad para los servicios tecnológicos.</t>
  </si>
  <si>
    <t>((r+s+t+u+v+w) /6 )*100 
 Si selecciona x = 0</t>
  </si>
  <si>
    <t>s) Definio controles de seguridad para los servicios tecnologicos</t>
  </si>
  <si>
    <t>t) Implemento controles de calidad para los servicios tecnológicos</t>
  </si>
  <si>
    <t>u) Implemento controles de seguridad para los servicios tecnológicos</t>
  </si>
  <si>
    <t>v) Definio indicadores para el seguimiento  de la efectividad de los controles de  calidad de los servicios tecnologicos.</t>
  </si>
  <si>
    <t>w)  Definio indicadores para el seguimineto de la efectividad de los controles de seguridad de los servicios tecnologicos.</t>
  </si>
  <si>
    <t>x) Ninguna de las anteriores</t>
  </si>
  <si>
    <t>L11= (L11.1 +L11.2 +L11.3 +L11.4 +L11.5 +L11.6)/6</t>
  </si>
  <si>
    <t>Uso y Apropiación</t>
  </si>
  <si>
    <t>¿Con respecto a la estrategia de uso y apropiación de TI, la entidad ?</t>
  </si>
  <si>
    <t>a) Realizo un diagnostico del uso y apropiación de TI en la entidad.</t>
  </si>
  <si>
    <t>((a+b+c+d+e/5)*50%                                                                                                                                                Si selecciona f = 0</t>
  </si>
  <si>
    <t>b) Realizo la caracterización de los grupos de interes internos y externos.</t>
  </si>
  <si>
    <t>c)  Implemento estrategias de gestión del cambio para los proyectos de TI</t>
  </si>
  <si>
    <t>d) Definio indicadores para la medición del impacto del uso y apropiación de TI en la entidad.</t>
  </si>
  <si>
    <t>e) Realizo capacitación para todos los grupos de interes con relación a los temas de TI.</t>
  </si>
  <si>
    <t>f)  Ninguna de las anteriores.</t>
  </si>
  <si>
    <t>¿La Entidad divulga y comunica internamente los proyectos de TI ?</t>
  </si>
  <si>
    <t>g) Sí</t>
  </si>
  <si>
    <t>Si selecciona  g= 50</t>
  </si>
  <si>
    <t>Si selecciona h= 0</t>
  </si>
  <si>
    <t>L12=L12.1</t>
  </si>
  <si>
    <t>Capacidades institucionales</t>
  </si>
  <si>
    <t xml:space="preserve">
En relación con la iniciativa del uso racional del papel, la Entidad durante la vigencia evaluada:
</t>
  </si>
  <si>
    <t>a) Imprimió a doble cara</t>
  </si>
  <si>
    <t>((a+b+c+d+e+f/6)*100 
Si selecciona  g= 0</t>
  </si>
  <si>
    <t>b) Reutilizó el papel</t>
  </si>
  <si>
    <t>e) Utilizó papel ecológico</t>
  </si>
  <si>
    <t>f) Redujo el papel consumido por la Entidad durante la vigencia evaluada</t>
  </si>
  <si>
    <t>g) Ninguna de las anteriores</t>
  </si>
  <si>
    <t>La Entidad incorpora soluciones tecnológicas para la gestión de documentos con base en</t>
  </si>
  <si>
    <t>h) El análisis de los procesos de la Entidad</t>
  </si>
  <si>
    <t>i) La reducción del uso del papel</t>
  </si>
  <si>
    <t>l) Todas las anteriores</t>
  </si>
  <si>
    <t>¿La Entidad previo a la automatización de  procesos y/o procedimientos, hace revisión desde la perspectiva funcional?</t>
  </si>
  <si>
    <t>En el ultimó año la entidad realizó automatización de:</t>
  </si>
  <si>
    <t xml:space="preserve">p) Procesos </t>
  </si>
  <si>
    <t>((p+q)/2*50%)
Si seleccion r= 0</t>
  </si>
  <si>
    <t>q) Procedimientos.</t>
  </si>
  <si>
    <t>s) Ninguno de los anteriores.</t>
  </si>
  <si>
    <t>L13=(L13.1 +L13.2+L13.3 )/3</t>
  </si>
  <si>
    <t>VALOR DE DESEMPEÑO EN Promedio Indicadores de proceso TIC para la Gestión</t>
  </si>
  <si>
    <t>PC3=(L7+L8+L9+L10+L11+L12+L13)/7</t>
  </si>
  <si>
    <t>(c/d)*100</t>
  </si>
  <si>
    <t>(e/f)*100</t>
  </si>
  <si>
    <t>(g/h)*100</t>
  </si>
  <si>
    <t>(i/j)*100</t>
  </si>
  <si>
    <t>k)Sí</t>
  </si>
  <si>
    <t>l) No</t>
  </si>
  <si>
    <t>RC3=RC3.1+RC3.2+RC3.3+RC3.4+RC3.5+RC3.6)/6</t>
  </si>
  <si>
    <t>C3= (PC3+RC3)/2</t>
  </si>
  <si>
    <t>Cuál de las siguientes acciones ya ha realizado la Entidad?</t>
  </si>
  <si>
    <t xml:space="preserve">a) Se ha generado un documento de diagnóstico, donde se identifica de manera clara el estado actual de la entidad en la implementación de Seguridad y Privacidad de la Información. </t>
  </si>
  <si>
    <t xml:space="preserve">Si selecciona  a y b= 100; </t>
  </si>
  <si>
    <t>b) La entidad ha determinado el estado actual de la  infraestructura tecnológica para desarrollar el plan de transición del protocolo IPv4 a IPv6.</t>
  </si>
  <si>
    <t xml:space="preserve">Si selecciona  a ó b= 50; </t>
  </si>
  <si>
    <t>c) Ninguna de las anteriores.</t>
  </si>
  <si>
    <t>Si selecciona   c = 0</t>
  </si>
  <si>
    <t>Se tiene establecida la política de seguridad y privacidad de la información para la Entidad</t>
  </si>
  <si>
    <t>d) Sí</t>
  </si>
  <si>
    <t>e) No</t>
  </si>
  <si>
    <t>La política de seguridad y privacidad de la información de la Entidad cuenta con las siguientes caracteristicas:</t>
  </si>
  <si>
    <t>f) Se encuentra alineada con los objetivos estratégicos de la entidad.</t>
  </si>
  <si>
    <t>Si selecciona  f y g = 100; 
Si selecciona  f ó g= 50; 
Si selecciona  h = 0</t>
  </si>
  <si>
    <t>g) Define los objetivos y da alcance a todos los procesos de la entidad.</t>
  </si>
  <si>
    <t>h) No se cuenta con una política de seguridad.</t>
  </si>
  <si>
    <t>El documento o manual con las políticas de seguridad y privacidad de la información se encuentra:</t>
  </si>
  <si>
    <t>i) En construcción</t>
  </si>
  <si>
    <t xml:space="preserve">j) En revisión </t>
  </si>
  <si>
    <t>k) En aprobación</t>
  </si>
  <si>
    <t>l) Revisado, Aprobado y divulgado por el comité institucional de desarrollo administrativo o el que haga sus veces.</t>
  </si>
  <si>
    <t>m) No lo tiene</t>
  </si>
  <si>
    <t>p) En construcción</t>
  </si>
  <si>
    <t xml:space="preserve">q) En revisión </t>
  </si>
  <si>
    <t>r) En aprobación</t>
  </si>
  <si>
    <t>s) Revisado, Aprobado y divulgado por comité institucional de desarrollo administrativo o el que haga sus veces.</t>
  </si>
  <si>
    <t>t) No la tiene</t>
  </si>
  <si>
    <t>u) Sí</t>
  </si>
  <si>
    <t>v) En Desarrollo/En proceso</t>
  </si>
  <si>
    <t>w) No</t>
  </si>
  <si>
    <t>La entidad cuenta con:</t>
  </si>
  <si>
    <t>x) Un avance del documento de la metodología para la gestión de los riesgos de seguridad y privacidad de la información.</t>
  </si>
  <si>
    <t>y) Una metodología formalizada para la gestión de los riesgos de seguridad y privacidad de la información.</t>
  </si>
  <si>
    <t>z) Un avance del plan de tratamiento del riesgo.</t>
  </si>
  <si>
    <t>aa) El plan de tratamiento del riesgo establecido.</t>
  </si>
  <si>
    <t>ab) La declaración de aplicabilidad en desarollo.</t>
  </si>
  <si>
    <t>ac) Una declaración de aplicabilidad definida.</t>
  </si>
  <si>
    <t>ad) Ninguna de las anteriores</t>
  </si>
  <si>
    <t>ae) Sí</t>
  </si>
  <si>
    <t>af) En Desarrollo/En Proceso</t>
  </si>
  <si>
    <t>ag) No</t>
  </si>
  <si>
    <t>ah) En construcción</t>
  </si>
  <si>
    <t>ai) En revisión</t>
  </si>
  <si>
    <t>aj) En aprobación</t>
  </si>
  <si>
    <t>ak) Revisado, Aprobado y divulgado por comité institucional de desarrollo o el que haga sus veces.</t>
  </si>
  <si>
    <t>al) No lo tiene</t>
  </si>
  <si>
    <t>am) Sí</t>
  </si>
  <si>
    <t>an) En Desarrollo</t>
  </si>
  <si>
    <t>ao) No</t>
  </si>
  <si>
    <t>¿Que canales de comunicación emplea para divulgar las políticas, buenas prácticas o directrices relacionadas con seguridad de la información?</t>
  </si>
  <si>
    <t>ap) Sitio Web o Intranet.</t>
  </si>
  <si>
    <t xml:space="preserve">1 opción de respuesta,excepto at=25                                                                                                         2 opciones de respuesta,excepto at=50                                                                                                         3 opciones de respuesta,excepto at=75                                                                                                  4 opciones de respuesta,excepto at=100                                                                                                si selecciona at=0   </t>
  </si>
  <si>
    <t>aq) Eventos especiales relacionados con seguridad.</t>
  </si>
  <si>
    <t>ar) Medios físicos (Volantes, carteleras etc…)</t>
  </si>
  <si>
    <t xml:space="preserve">as) Medios Digitales (e-learning, correo, pantallas, etc...)  </t>
  </si>
  <si>
    <t>L14 = (L14.1+L14.2+L14.3+L14.4+L14.5+L14.6)/6</t>
  </si>
  <si>
    <t>Seleccione las fortalezas que la entidad ha mostrado frente a la implementación del Sistema de Gestión de Seguridad de la Información</t>
  </si>
  <si>
    <t>a) Asignación presupuesto para la implementación del SGSI.</t>
  </si>
  <si>
    <t>b) Asignación recurso humano altamente capacitado.</t>
  </si>
  <si>
    <t>c) Identificación de los controles adecuados.</t>
  </si>
  <si>
    <t>d) Definición de la implementación de las actividades o fases del SGSI.</t>
  </si>
  <si>
    <t>e) Compromiso por parte de la Dirección y Coordinadores en el apoyo activo al MSPI, mostrando su importancia para la entidad.</t>
  </si>
  <si>
    <t>f) Otro, ¿Cuál?</t>
  </si>
  <si>
    <t>Indique cual de las siguientes acciones ha desarrollado la entidad y en que estado se encuentra:</t>
  </si>
  <si>
    <t>h) El plan de control operacional, en el cual se indica la metodología para implementar las medidas de seguridad definidas en el plan de tratamiento de riesgos: en construcción.</t>
  </si>
  <si>
    <t>i) El plan de control operacional, en el cual se indica la metodología para implementar las medidas de seguridad definidas en el plan de tratamiento de riesgos: aprobado.</t>
  </si>
  <si>
    <t>j) Informes relacionados con la implementación de los controles de seguridad y privacidad de la información: en construcción.</t>
  </si>
  <si>
    <t>k) Informes relacionados con la implementación de los controles de seguridad y privacidad de la información: aprobados.</t>
  </si>
  <si>
    <t>l) Definición de indicadores de gestión y cumplimiento que permitan identificar si la implementación del MSPI es eficiente, eficaz y efectiva:  en construcción.</t>
  </si>
  <si>
    <t>m) Definición de indicadores de gestión y cumplimiento que permitan identificar si la implementación del MSPI es eficiente, eficaz y efectiva: aprobados.</t>
  </si>
  <si>
    <t>Con relación al plan de comunicación, sensibilización y capacitación, la entidad:</t>
  </si>
  <si>
    <t>o) Lo tiene pero no lo ejecuta.</t>
  </si>
  <si>
    <t>p) Lo ejecuta sin tener en cuenta la caracterización de grupos focales (Usuarios, Directivos, Técnicos y Terceros).</t>
  </si>
  <si>
    <t>q) Lo ejecuta con base a la caracterización de grupos focales (Usuarios, Directivos, Técnicos y Terceros).</t>
  </si>
  <si>
    <t>r) No lo tiene</t>
  </si>
  <si>
    <t>L15 = (L15.1+L15.2+L15.3)/3</t>
  </si>
  <si>
    <t>Se revisan periódicamente los compromisos establecidos para ejecutar el plan de tratamiento de riesgos.</t>
  </si>
  <si>
    <t>Cuales de las siguientes actividades realiza  la entidad:</t>
  </si>
  <si>
    <t>c) Seguimiento a la medición de efectividad de los controles.</t>
  </si>
  <si>
    <t>d) Determinar la eficacia en la gestión de incidentes de seguridad de la información en la entidad.</t>
  </si>
  <si>
    <t>e) c y d</t>
  </si>
  <si>
    <t>f) Ninguna de las anteriores</t>
  </si>
  <si>
    <t>La entidad cuenta con los siguientes Planes:</t>
  </si>
  <si>
    <t>g) Plan de seguimiento, evaluación y análisis de resultados del MSPI, teniendo en cuenta los indicadores de gestión y cumplimiento.</t>
  </si>
  <si>
    <t>i) g y h</t>
  </si>
  <si>
    <t>j) Ninguna de las anteriores.</t>
  </si>
  <si>
    <t>¿El comité institucional de desarrollo administrativo o el que haga sus veces, realiza seguimiento y control a la implementación del MSPI?</t>
  </si>
  <si>
    <t>k) Sí</t>
  </si>
  <si>
    <t>La entidad determina las posibles acciones correctivas derivadas de los hallazgos o debilidades identificadas en la evaluación del desempeño de la seguridad y privacidad de la información al interior de la entidad.</t>
  </si>
  <si>
    <t>m) Sí</t>
  </si>
  <si>
    <t>n) No</t>
  </si>
  <si>
    <t>La entidad implementa las acciones correctivas y los planes de mejora de la seguridad y privacidad de la información al interior de la entidad.</t>
  </si>
  <si>
    <t>o) Sí</t>
  </si>
  <si>
    <t>p) No</t>
  </si>
  <si>
    <t xml:space="preserve">La entidad determina si las acciones correctivas aplicadas son las adecuadas para gestionar los hallazgos y debilidades identificadas en seguridad y privacidad de la información al interior de la entidad.             </t>
  </si>
  <si>
    <t>q) Sí</t>
  </si>
  <si>
    <t>r) No</t>
  </si>
  <si>
    <t>L16=(L16.1+L16.2)/2</t>
  </si>
  <si>
    <t>PC4=(L14+L15+L16)/3</t>
  </si>
  <si>
    <t>La entidad cuenta con un proceso de identificación de infraestructura crítica, lo aplica y comunica los resultados a las partes interesadas?</t>
  </si>
  <si>
    <t>Cuanto tiempo en promedio demora la entidad en corregir una vulnerabilidad una vez reportada por el COLCERT?</t>
  </si>
  <si>
    <t>c) Minutos</t>
  </si>
  <si>
    <t>d) Horas</t>
  </si>
  <si>
    <t>e) Días</t>
  </si>
  <si>
    <t>f) Semanas</t>
  </si>
  <si>
    <t>g) La entidad no ha tenido reporte de ColCert</t>
  </si>
  <si>
    <t>h) Si</t>
  </si>
  <si>
    <t>j) La Entidad no ha identificado incidentes.</t>
  </si>
  <si>
    <t>VALOR DE DESEMPEÑO EN Promedio indicadores de resultado Seguridad y Privacidad de la Información</t>
  </si>
  <si>
    <t>RC4=(R4.1+R4.2+R4.3)/3</t>
  </si>
  <si>
    <t>C4= (PC4+RC4)/2</t>
  </si>
  <si>
    <t xml:space="preserve">AREA DE GESTIÓN </t>
  </si>
  <si>
    <t xml:space="preserve">Indicador </t>
  </si>
  <si>
    <t xml:space="preserve">NOMBRE DEL INDICADOR </t>
  </si>
  <si>
    <t xml:space="preserve">VARIABLES </t>
  </si>
  <si>
    <t>Total ingresos recaudados</t>
  </si>
  <si>
    <t>Al final de la vigencia año t
EGPI= (Total ingresos recaudados /Total de ingresos presupuestados)*100</t>
  </si>
  <si>
    <t>Total de ingresos presupuestados</t>
  </si>
  <si>
    <t>Total presupuesto en estado Obligado</t>
  </si>
  <si>
    <t xml:space="preserve">Total del presupuesto de gastos </t>
  </si>
  <si>
    <t>VARIABLES</t>
  </si>
  <si>
    <t xml:space="preserve">INFORMACIÓN DILIGENCIADA POR LA CORPORACIÓN </t>
  </si>
  <si>
    <t xml:space="preserve">FORMULA DE CÁLCULO </t>
  </si>
  <si>
    <t xml:space="preserve">RECURSOS PROPIOS </t>
  </si>
  <si>
    <t>Total ingresos por recursos propios recaudados</t>
  </si>
  <si>
    <t>Total de ingresos presupuestados por recursos propios</t>
  </si>
  <si>
    <t xml:space="preserve">PRESUPUESTO DE INVERSIÓN </t>
  </si>
  <si>
    <t xml:space="preserve">Total Presupuesto de Inversión </t>
  </si>
  <si>
    <t>Total presupuesto Corporativo</t>
  </si>
  <si>
    <t>Total presupuesto de Inversión en estado Obligado</t>
  </si>
  <si>
    <t>Total del presupuesto de gastos de Inversión.</t>
  </si>
  <si>
    <t>Modificaciones al valor de los contratos según los pliegos</t>
  </si>
  <si>
    <t>Porcentaje de contratos que se adjudicaron mediante un proceso no competitivo</t>
  </si>
  <si>
    <t xml:space="preserve">Contratos adjudicados sin competencia </t>
  </si>
  <si>
    <t xml:space="preserve">Para fin de la vigencia t=
(Contratos adjudicados sin competencia t /  Total de contratos adjudicados)*100 </t>
  </si>
  <si>
    <t xml:space="preserve">Total de contratos adjudicados </t>
  </si>
  <si>
    <t>Entidades que son usuarias del SECOP II</t>
  </si>
  <si>
    <t xml:space="preserve"> Indique el número de procesos que fueron publicados en el SECOP II</t>
  </si>
  <si>
    <t xml:space="preserve">Para fin de la vigencia t=
(Contratos publicados en el SECOP II /  Total de contratos suscritos por la entidad )*100 </t>
  </si>
  <si>
    <t xml:space="preserve">  Indique el número de contratos suscritos por la entidad</t>
  </si>
  <si>
    <t>Entidades que publican sus Planes Anuales de Adquisiciones</t>
  </si>
  <si>
    <t>EPPAA=b=0</t>
  </si>
  <si>
    <t>Porcentaje de publicación de la contratación en el SECOP</t>
  </si>
  <si>
    <t>Valor contratos en tiempo t</t>
  </si>
  <si>
    <t xml:space="preserve"> Presupuesto de la entidad reducido </t>
  </si>
  <si>
    <t xml:space="preserve"> Cupos de vigencias futuras autorizadas </t>
  </si>
  <si>
    <t xml:space="preserve">Porcentaje de contratos con modificaciones en tiempo de ejecución </t>
  </si>
  <si>
    <t>Número de contratos con modificaciones en plazo t.</t>
  </si>
  <si>
    <t>Total de contratos suscritos t</t>
  </si>
  <si>
    <t xml:space="preserve">Porcentaje de contratos con modificaciones en monto de ejecución </t>
  </si>
  <si>
    <t>Número de contratos con modificaciones en valor t.</t>
  </si>
  <si>
    <t>OBSERVACIONES</t>
  </si>
  <si>
    <t>si selecciona t=100%</t>
  </si>
  <si>
    <t>Se incluyeron los sistemas de gestión implementados por la corporación a las auditorías internas realizadas</t>
  </si>
  <si>
    <t xml:space="preserve">((g+h+i+j))/4)*100    </t>
  </si>
  <si>
    <t>Se cuenta con un procedimiento que considera los elementos de las opciones f), g) y h)</t>
  </si>
  <si>
    <t>Tiene asociados indicadores verificables</t>
  </si>
  <si>
    <t xml:space="preserve">Se estableció a partir de los objetivos del SGC </t>
  </si>
  <si>
    <t>Total presupuesto en estado Comprometido</t>
  </si>
  <si>
    <t>Total presupuesto de Inversión en estado Comprometido</t>
  </si>
  <si>
    <t>Número de contratos con modificaciones en valor y tiempo t.</t>
  </si>
  <si>
    <t xml:space="preserve">Porcentaje de contratos con modificaciones en monto y  tiempo de ejecución </t>
  </si>
  <si>
    <t xml:space="preserve">Planes de ordenamiento de los recursos naturales de la jurisdicción </t>
  </si>
  <si>
    <t xml:space="preserve">Plan de Acción Cuatrienal de la entidad </t>
  </si>
  <si>
    <t xml:space="preserve"> Promoción del control social </t>
  </si>
  <si>
    <t>Cuántos ciudadanos participaron a través de Tecnologías de la Información y las Comunicaciones como telefonía y/o Internet (redes sociales, streaming, foros, chat) en la construcción y/o desarrollo de planes, programas o proyectos</t>
  </si>
  <si>
    <t xml:space="preserve"> Mesas de Concertación con grupos de interés </t>
  </si>
  <si>
    <t>Se garantiza la atención al usuario en su orden de llegada.</t>
  </si>
  <si>
    <t>Teniendo en cuenta la caracterización de usuarios y la información recolectada de necesidades y expectativas la Entidad:</t>
  </si>
  <si>
    <t>Registro de control de acceso a la consulta de documentos e información institucional</t>
  </si>
  <si>
    <t>¿Cuántos trámites u otros procedimientos administrativos planeó racionalizar en la vigencia evaluada?</t>
  </si>
  <si>
    <t>¿Cuántos trámites u otros procedimientos administrativos racionalizó en la vigencia evaluada?</t>
  </si>
  <si>
    <t>Los resultados de los trámites u otros procedimientos administrativos racionalizados, ¿se reportaron en el informe final de la estrategia antitrámites del plan anticorrupción y de atención al ciudadano?</t>
  </si>
  <si>
    <t xml:space="preserve"> Pertinencia de la existencia del Trámite </t>
  </si>
  <si>
    <t>¿Los trámites u otros procedimientos administrativos priorizados fueron los que se incluyeron en la estrategia antitrámites del plan anticorrupción y de atención al ciudadano?</t>
  </si>
  <si>
    <t>¿Compartió su información con otras Entidades para facilitar la realización de los trámites u otros procedimientos administrativos a los usuarios?</t>
  </si>
  <si>
    <t>De los trámites u otros procedimientos administrativos racionalizados, ¿alguno hace parte de una cadena de trámites?</t>
  </si>
  <si>
    <t>Del total de trámites u otros procedimientos administrativos que tiene la Entidad, ¿cuántos se encuentran inscritos en el Sistema Único de Información de trámites - SUIT?</t>
  </si>
  <si>
    <t xml:space="preserve">¿Cuántos de los trámites u otros procedimientos administrativos que pueden realizarse a través de medios electrónicos estuvieron vinculados a alguna ventanilla única? </t>
  </si>
  <si>
    <t>Ponderación Regional para PMM, establecido por la corporación (c)</t>
  </si>
  <si>
    <t>Meta del cuatrenio de cuerpos de agua con planes de ordenamiento del recurso hídrico (PORH) adoptados</t>
  </si>
  <si>
    <t>Meta del cuatrenio de áreas protegidas regionales declaradas, homologadas o recategorizadas, inscritas en el RUNAP (ha)</t>
  </si>
  <si>
    <t xml:space="preserve"> </t>
  </si>
  <si>
    <t>Porcentaje de la autorización de permisos de emisiones atmoféricas con seguimiento PPAFS</t>
  </si>
  <si>
    <t>Valor de desempeño en Controles establecidos en el Mapa de Riesgos de Corrupción</t>
  </si>
  <si>
    <t xml:space="preserve">Porcentaje de participación Ciudadana, mediante el uso de tecnologías de la Información. </t>
  </si>
  <si>
    <t>No fue objeto de vigilancia por las Entidades de Control a partir de denuncias e Inició procesos internos disciplinarios a servidores a partir de denuncias instauradas</t>
  </si>
  <si>
    <t>Consolidó, formalizó y adoptó el Manual de Calidad</t>
  </si>
  <si>
    <t>número de actividades en el PETI/6                                                                                                                        Si selecciona  g=0.</t>
  </si>
  <si>
    <t>(a/b)*100</t>
  </si>
  <si>
    <t xml:space="preserve">A mayor nivel de compromisos, mayor desempeño. 
El resultado de la fórmula es el mismo porcentaje de desempeño </t>
  </si>
  <si>
    <t>Valor  de la contratación</t>
  </si>
  <si>
    <t xml:space="preserve">A mayor nivel de usabilidad mayor desempeño. </t>
  </si>
  <si>
    <t>Se aplica valor según opción seleccionada</t>
  </si>
  <si>
    <t>EPPAA=a=100%</t>
  </si>
  <si>
    <t>SEGUIMIENTO Y MONITOREO AMBIENTAL</t>
  </si>
  <si>
    <t>Meta del cuatrenio, la formulación de PMA,  en la jurisdicción de la CAR según la zonificación hidrográfica</t>
  </si>
  <si>
    <t>Meta del cuatrenio, en  la formulación de PMM,  en la jurisdicción de la CAR según la zonificación hidrográfica</t>
  </si>
  <si>
    <t>Meta del cuatrenio,  en el avance en la formulación del Plan de Ordenación Forestal (ha) (APOF )</t>
  </si>
  <si>
    <t>Superficie de avance en la formulación del Plan de Ordenación Forestal (ha) (APOF ), para la vigencia evaluada</t>
  </si>
  <si>
    <t>Meta de avance en la formulación del Plan de Ordenación Forestal (ha) (MAPOF), para la vigencia evaluada</t>
  </si>
  <si>
    <t xml:space="preserve">Tiempo promedio de duración del trámite de otorgamiento de licencias ambientales T.L.A  (Número de días) </t>
  </si>
  <si>
    <t>Tiempo promedio de duración del trámite de otorgamiento de una concesión de agua T.C.A (Número de días)</t>
  </si>
  <si>
    <t>Tiempo promedio de duración del trámite de otorgamiento de un permiso de vertimiento T.P.V (Número de días)</t>
  </si>
  <si>
    <t>Tiempo promedio de duración del trámite de otorgamiento de un aprovechamiento Forestal T.A.F (Número de días)</t>
  </si>
  <si>
    <t xml:space="preserve">Tiempo promedio de duración del trámite de otorgamiento de un permiso de emisión atmosférica (número de días). TP.E. </t>
  </si>
  <si>
    <t>Meta del cuatrenio, de cuerpos de agua con reglamentación del uso de las aguas  RUA</t>
  </si>
  <si>
    <t xml:space="preserve">ÁREA DE GESTIÓN </t>
  </si>
  <si>
    <t>CONVENCIÓN DE COLORES</t>
  </si>
  <si>
    <r>
      <t xml:space="preserve">Valor de desempeño en eficacia para el subcomponente </t>
    </r>
    <r>
      <rPr>
        <b/>
        <sz val="9"/>
        <color theme="1"/>
        <rFont val="Calibri"/>
        <family val="2"/>
        <scheme val="minor"/>
      </rPr>
      <t xml:space="preserve">PLANIFICACIÓN, ORDENAMIENTO Y COORDINACIÓN AMBIENTAL REGIONAL </t>
    </r>
    <r>
      <rPr>
        <sz val="9"/>
        <color theme="1"/>
        <rFont val="Calibri"/>
        <family val="2"/>
        <scheme val="minor"/>
      </rPr>
      <t xml:space="preserve">
(GPCR)
</t>
    </r>
  </si>
  <si>
    <t>Indicadores propuestos en el  IEDI</t>
  </si>
  <si>
    <r>
      <t xml:space="preserve">Valor de desempeño en eficacia para el subcomponente </t>
    </r>
    <r>
      <rPr>
        <b/>
        <sz val="9"/>
        <color theme="1"/>
        <rFont val="Calibri"/>
        <family val="2"/>
        <scheme val="minor"/>
      </rPr>
      <t>ADMON, CONTROL Y VIGILANCIA DEL AMBIENTE, SUS RECURSOS NATURALES Y ECOSISTEMAS ESTRATÉGICOS  (GACV)</t>
    </r>
  </si>
  <si>
    <t xml:space="preserve">Valor de desempeño en el área ADMINISTRACIÓN DE LOS RECURSOS NATURALES  (ARN 0,35) </t>
  </si>
  <si>
    <t xml:space="preserve">ADMINISTRACIÓN DE LOS RECURSOS NATURALES </t>
  </si>
  <si>
    <t>Indicadores propuestos en el IEDI</t>
  </si>
  <si>
    <t>Valor de desempeño en el subcomponente GACV</t>
  </si>
  <si>
    <t xml:space="preserve">Meta del cuatrenio de POMCAS en ejecución. </t>
  </si>
  <si>
    <t xml:space="preserve">Número de POMCAS en ejecución POMCASEE, en la vigencia evaluada </t>
  </si>
  <si>
    <t>Número de PMA en ejecución PMAEE, en la vigencia evaluada</t>
  </si>
  <si>
    <t>Meta del cuatrenio de PMA en ejecución.</t>
  </si>
  <si>
    <t>Meta del cuatrenio de PMM en ejecución.</t>
  </si>
  <si>
    <t>Número de PMM en ejecución PMMEE, en la vigencia evaluada</t>
  </si>
  <si>
    <t>Porcentaje de ejecución  total de acciones en gestión ambiental urbana ETAGAU</t>
  </si>
  <si>
    <t xml:space="preserve"> Ejecución total de acciones en gestión ambiental urbana ETAGAU, en la vigencia evaluada.</t>
  </si>
  <si>
    <t>Meta  para la vigencia, en la ejecución total de acciones en gestión ambiental urbana METAGAU.</t>
  </si>
  <si>
    <t>Meta cuatrienal en la ejecución total de acciones en gestión ambiental urbana.</t>
  </si>
  <si>
    <t xml:space="preserve">Meta cuatrienal en la implementación del programa regional de negocios verdes por la autoridad ambiental </t>
  </si>
  <si>
    <t>Implementación del programa regional de negocios verdes por la autoridad ambiental, para la vigencia evaluada IPRNV</t>
  </si>
  <si>
    <t>Meta para la vigencia, en la Implementación del programa regional de negocios verdes por la autoridad ambiental MIPRNV</t>
  </si>
  <si>
    <t>Implementación del programa regional de negocios verdes por la autoridad ambiental PIPRNV</t>
  </si>
  <si>
    <t>GESTIÓN EN PARTICIPACION, EDUCACIÓN Y CULTURA AMBIENTAL</t>
  </si>
  <si>
    <t>Meta cuatrienal en Ejecución de acciones en educación ambiental</t>
  </si>
  <si>
    <t>Ejecución de acciones en educación ambiental PEAEA</t>
  </si>
  <si>
    <t>Ejecución de acciones en educación ambiental, para la vigencia evaluada EAEA</t>
  </si>
  <si>
    <t>Meta para la vigencia, en la ejecución de acciones en educación ambiental MEAEA</t>
  </si>
  <si>
    <t>Valor de desempeño en el subcomponente GPADS</t>
  </si>
  <si>
    <t>Valor de desempeño en el área GESTIÓN EN PARTICIPACIÓN, EDUCACIÓN Y CULTURA AMBIENTAL  (GEA 0,10)</t>
  </si>
  <si>
    <r>
      <t xml:space="preserve">Valor de desempeño en eficacia para el subcomponente  </t>
    </r>
    <r>
      <rPr>
        <b/>
        <sz val="9"/>
        <color theme="1"/>
        <rFont val="Calibri"/>
        <family val="2"/>
        <scheme val="minor"/>
      </rPr>
      <t>PROTECCIÓN AMBIENTAL Y PROMOCIÓN DEL DESARROLLO SOSTENIBLE  (GPADS)</t>
    </r>
  </si>
  <si>
    <t xml:space="preserve"> PROTECCIÓN AMBIENTAL Y PROMOCIÓN DEL DESARROLLO SOSTENIBLE </t>
  </si>
  <si>
    <t xml:space="preserve">COMPONENTE GESTIÓN ADMINISTRATIVA </t>
  </si>
  <si>
    <t xml:space="preserve">SUBCOMPONENTE TRANSPARENCIA Y SERVICIO AL CIUDADANO, AREA DE DESEMPEÑO PLAN ANTICORRUPCIÓN </t>
  </si>
  <si>
    <t>Valor de desempeño en el área Plan Anticorrupción</t>
  </si>
  <si>
    <t xml:space="preserve">OPCIÓN DE RESPUESTA </t>
  </si>
  <si>
    <t>COMPONENTE GESTIÓN ADMINISTRATIVA</t>
  </si>
  <si>
    <t xml:space="preserve">SUBCOMPONENTE TRANSPARENCIA Y SERVICIO AL CIUDADANO, ÁREA DE DESEMPEÑO TRANSPARENCIA Y ACCESO A LA INFORMACIÓN </t>
  </si>
  <si>
    <t>Valor de desempeño en la dimensión criterio diferencial de accesibilidad para el acceso a la información  CDAAI</t>
  </si>
  <si>
    <t>Valor de desempeño en la dimensión instrumentos de gestión de la información IGI</t>
  </si>
  <si>
    <t>Valor de desempeño en la dimensión institucionalización de la política de acceso a la información pública IPAI</t>
  </si>
  <si>
    <t>Valor de desempeño en la dimensión lineamientos para el manejo y la seguridad de la información pública  LMSIP</t>
  </si>
  <si>
    <t>Valor de desempeño en la dimensión monitoreo del acceso a la información pública DMAIP</t>
  </si>
  <si>
    <t xml:space="preserve">  Valor desempeño en la dimensión transparencia activa TA</t>
  </si>
  <si>
    <t xml:space="preserve"> Valor desempeño en la dimensión transparencia pasiva TP</t>
  </si>
  <si>
    <t>Garantiza que la atención al usuario se cumple en orden de llegada.</t>
  </si>
  <si>
    <t>La Entidad:</t>
  </si>
  <si>
    <t>Preguntas con opción de única respuesta</t>
  </si>
  <si>
    <t>Preguntas con opción de múltiple respuesta</t>
  </si>
  <si>
    <t xml:space="preserve">Indicadores propuestos en el IEDI </t>
  </si>
  <si>
    <t>Valor de desempeño en el área transparencia y acceso a la información</t>
  </si>
  <si>
    <t>Dimensiones de evaluación establecidas para el área de desempeño transparencia y acceso a la información</t>
  </si>
  <si>
    <r>
      <t xml:space="preserve">Valor de desempeño en el área </t>
    </r>
    <r>
      <rPr>
        <b/>
        <sz val="9"/>
        <color theme="1"/>
        <rFont val="Calibri"/>
        <family val="2"/>
        <scheme val="minor"/>
      </rPr>
      <t>TRANSPARENCIA Y ACCESO A LA INFORMACIÓN</t>
    </r>
    <r>
      <rPr>
        <sz val="9"/>
        <color theme="1"/>
        <rFont val="Calibri"/>
        <family val="2"/>
        <scheme val="minor"/>
      </rPr>
      <t xml:space="preserve">  </t>
    </r>
    <r>
      <rPr>
        <b/>
        <sz val="9"/>
        <color theme="1"/>
        <rFont val="Calibri"/>
        <family val="2"/>
        <scheme val="minor"/>
      </rPr>
      <t>TYAI</t>
    </r>
  </si>
  <si>
    <t xml:space="preserve">SUBCOMPONENTE TRANSPARENCIA Y SERVICIO AL CIUDADANO, ÁREA DE DESEMPEÑO  PARTICIPACIÓN CIUDADANA </t>
  </si>
  <si>
    <t>Valor de desempeño en planeación de la participación PP</t>
  </si>
  <si>
    <t>Valor de desempeño en Identificación del nivel de participación ciudadana en la gestión de la entidad INPCGE</t>
  </si>
  <si>
    <t>Valor de desempeño en consulta en línea para la solución de problemas CLSP</t>
  </si>
  <si>
    <t>Valor de desempeño en formulación participativa de las políticas públicas, planes y programas institucionales FPPPPPI</t>
  </si>
  <si>
    <r>
      <t xml:space="preserve">Valor de desempeño en el área </t>
    </r>
    <r>
      <rPr>
        <b/>
        <sz val="9"/>
        <color theme="1"/>
        <rFont val="Calibri"/>
        <family val="2"/>
        <scheme val="minor"/>
      </rPr>
      <t>PARTICIPACIÓN CIUDADANA PC</t>
    </r>
  </si>
  <si>
    <t>Valor de desempeño en el área participación ciudadana</t>
  </si>
  <si>
    <t>((c+d+e+f+g+h+i)/7)*100                                        si selecciona j=0</t>
  </si>
  <si>
    <t>((k+l+m+n+o+p+q+r)/8)*100                                  si selecciona s=0</t>
  </si>
  <si>
    <t>((t+u+v+w+x+y+z+aa+ab)/9)*100                          si selecciona ac o ad =0</t>
  </si>
  <si>
    <t>((a+b+c+d+e+f+g+h)/8)*100                                   si selecciona i o j=0</t>
  </si>
  <si>
    <t>((k+l+m+n+o))/5)*100                                              si selecciona p o q=0</t>
  </si>
  <si>
    <t>((a+b+c+d+e+f+g+h+i+j)/10)*100                           si selecciona k=0</t>
  </si>
  <si>
    <t>((l+m+n+o+p+q+r+s))/8 *100                                 si selecciona t o u= 0</t>
  </si>
  <si>
    <t>((v+w+x+y+z+aa+ab)/7)*100                                 si selecciona ac o ad =0</t>
  </si>
  <si>
    <t>((ag+ah+ai+aj)/4)*100                                           si selecciona ak=0</t>
  </si>
  <si>
    <t>((a+b+c+d+e)/5)*100                                              si selecciona f o g=0</t>
  </si>
  <si>
    <t>((h+i+j+k+l+m)/6)*100                                             si selecciona n u o=0</t>
  </si>
  <si>
    <t>((p+q+r+s+t+u)/6)*100                                            si selecciona v o w=0</t>
  </si>
  <si>
    <t>((x+y+z+aa+ab)/5)*100                                          si selecciona ac,ad o ae =0</t>
  </si>
  <si>
    <t>http://estrategia.gobiernoenlinea.gov.co/623/articles-8250_Guiainnovacion.pdf</t>
  </si>
  <si>
    <t xml:space="preserve">SUBCOMPONENTE TRANSPARENCIA Y SERVICIO AL CIUDADANO, AREA DE DESEMPEÑO RENDICIÓN DE CUENTAS </t>
  </si>
  <si>
    <t>Valor de desempeño en Planeación P</t>
  </si>
  <si>
    <t>Valor de desempeño en información I</t>
  </si>
  <si>
    <t>Valor de desempeño en diálogo D</t>
  </si>
  <si>
    <t>Valor de desempeño en incentivos I</t>
  </si>
  <si>
    <t>Valor de desempeño en evaluación E</t>
  </si>
  <si>
    <t>RC=(P*0,20)+(I*0,20)+(D*0,20)+(In*0,20)+(E*0,20)</t>
  </si>
  <si>
    <t>Valor de desempeño en el área rendición de cuentas</t>
  </si>
  <si>
    <r>
      <t xml:space="preserve">Valor de desempeño en el área,  </t>
    </r>
    <r>
      <rPr>
        <b/>
        <sz val="9"/>
        <color theme="1"/>
        <rFont val="Calibri"/>
        <family val="2"/>
        <scheme val="minor"/>
      </rPr>
      <t>RENDICIÓN DE CUENTAS RC</t>
    </r>
  </si>
  <si>
    <t>Valor de desempeño en planeación y organización PO</t>
  </si>
  <si>
    <t>¿La entidad determina, recopila y analiza los datos sobre la percepción del cliente o usuario, con respecto al cumplimiento de los requisitos ofrecidos?</t>
  </si>
  <si>
    <t>Valor de desempeño en interacción con el usuario IU</t>
  </si>
  <si>
    <t>Valor de desempeño en atención de quejas reclamos y peticiones AQRP</t>
  </si>
  <si>
    <t>Valor de desempeño en evaluación del desempeño institucional  EDI</t>
  </si>
  <si>
    <t>AQRP= ∑a+b…+j</t>
  </si>
  <si>
    <t>Valor de desempeño en protección de datos PD</t>
  </si>
  <si>
    <t xml:space="preserve">SUBCOMPONENTE TRANSPARENCIA Y SERVICIO AL CIUDADANO, AREA DE DESEMPEÑO SERVICIO AL CIUDADANO </t>
  </si>
  <si>
    <r>
      <t>¿La entidad efectúa</t>
    </r>
    <r>
      <rPr>
        <b/>
        <sz val="9"/>
        <color theme="1"/>
        <rFont val="Calibri"/>
        <family val="2"/>
        <scheme val="minor"/>
      </rPr>
      <t xml:space="preserve"> </t>
    </r>
    <r>
      <rPr>
        <sz val="9"/>
        <color theme="1"/>
        <rFont val="Calibri"/>
        <family val="2"/>
        <scheme val="minor"/>
      </rPr>
      <t>ajustes razonables para garantizar la accesibilidad a los espacios físicos conforme a lo establecido en la  NTC 6047?</t>
    </r>
  </si>
  <si>
    <r>
      <t xml:space="preserve">Valor de desempeño en el área, </t>
    </r>
    <r>
      <rPr>
        <b/>
        <sz val="9"/>
        <color theme="1"/>
        <rFont val="Calibri"/>
        <family val="2"/>
        <scheme val="minor"/>
      </rPr>
      <t>SERVICIO AL CIUDADANO SC</t>
    </r>
  </si>
  <si>
    <t>• Como información adicional, para aclaración de dudas respecto a la temática de ejercicios de innovación abierta y  datos abiertos; se presentan los siguientes vínculos de consulta de las guías de TIC de Gobierno abierto.</t>
  </si>
  <si>
    <t xml:space="preserve">http://estrategia.gobiernoenlinea.gov.co/623/articles-8248_Guia_Apertura_Datos.pdf </t>
  </si>
  <si>
    <t xml:space="preserve">•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</si>
  <si>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http://www.funcionpublica.gov.co/documents/418537/9865585/Instructivo_ingreso_y_diligenciamineto_FURAG.pdf/fb25ad16-ce84-49ca-97f0-558a7b72cdcc </t>
  </si>
  <si>
    <t>valor de desempeño en mantenimiento del sistema de gestión de calidad MSGC</t>
  </si>
  <si>
    <t>Valor de desempeño en alcance, política y objetivos del SGC APOSGC</t>
  </si>
  <si>
    <t>Valor de desempeño en procesos y procedimientos DPP</t>
  </si>
  <si>
    <t>Valor de desempeño en productos y/o servicios PS</t>
  </si>
  <si>
    <t>Valor de desempeño en integración de los sistemas IS</t>
  </si>
  <si>
    <t>Valor de desempeño en mejora M</t>
  </si>
  <si>
    <t>Valor de desempeño en diagnóstico y planeación para la implementación DPI</t>
  </si>
  <si>
    <t>SGC=(MSGC*0,15)*(APOSGC*0,10)*(UCC*0,10)*(PP*0,10)*(PS*0,10)+(IS*0,15)+(M*0,10)+(DPI*0,20)</t>
  </si>
  <si>
    <r>
      <t xml:space="preserve">Valor de desempeño en el área,  </t>
    </r>
    <r>
      <rPr>
        <b/>
        <sz val="9"/>
        <color theme="1"/>
        <rFont val="Calibri"/>
        <family val="2"/>
        <scheme val="minor"/>
      </rPr>
      <t>SISTEMA DE GESTIÓN DE CALIDAD SGC</t>
    </r>
  </si>
  <si>
    <t>¿A través de los mecanismos de evaluación de la satisfacción del usuario, éste ha manifestado haber recibido producto(s) o servicio(s) no conforme(s)?</t>
  </si>
  <si>
    <t xml:space="preserve">((a+b+c+d+e)/5)*100                                                si selecciona f=0 </t>
  </si>
  <si>
    <t>((j+k+l)/3)*100                                                            si selecciona m= 0</t>
  </si>
  <si>
    <t>((a+b+c+d)/4)*100                                                     si selecciona e=0</t>
  </si>
  <si>
    <t xml:space="preserve">((f+g+h)/3)*100                                                          si selecciona i=100%                                               si selecciona j=0      </t>
  </si>
  <si>
    <t>(r+s)/2                                                                          si selecciona t =0</t>
  </si>
  <si>
    <t>((a+b+c)/3)*100                                                          si selecciona d=0</t>
  </si>
  <si>
    <t>Valor de desempeño en el área sistema de gestión de calidad</t>
  </si>
  <si>
    <t xml:space="preserve">SUBCOMPONENTE EFICIENCIA ADMINISTRATIVA, ÁREA DE DESEMPEÑO GESTIÓN DOCUMENTAL </t>
  </si>
  <si>
    <t>PESO DEL INDICADOR</t>
  </si>
  <si>
    <t>SUB INDICADOR</t>
  </si>
  <si>
    <t>DETALLE DE LA PREGUNTA</t>
  </si>
  <si>
    <t>OPCIÓN DE RESPUESTA</t>
  </si>
  <si>
    <t>DETALLE DE LA RESPUESTA</t>
  </si>
  <si>
    <t>VALOR INDIVIDUAL DE RESPUESTA</t>
  </si>
  <si>
    <t>PLANEACIÓN ESTRATÉGICA</t>
  </si>
  <si>
    <t>DISPOSICIÓN DOCUMENTAL</t>
  </si>
  <si>
    <t>TECNOLÓGICO</t>
  </si>
  <si>
    <r>
      <t>Emulación:</t>
    </r>
    <r>
      <rPr>
        <sz val="9"/>
        <color theme="1"/>
        <rFont val="Calibri"/>
        <family val="2"/>
        <scheme val="minor"/>
      </rPr>
      <t xml:space="preserve"> Encapsula el comportamiento del software o hardware junto con el objeto digital mismo. Esta siendo considerada como una alternativa a la migración Ej. Un documento en Microsoft Word 2000 podría llevar incorporados metadatos que informan sobre como reconstruir el documento y el propio entorno del software al nivel más bajo de bits y bytes.</t>
    </r>
  </si>
  <si>
    <r>
      <t>Foco:</t>
    </r>
    <r>
      <rPr>
        <sz val="9"/>
        <color theme="1"/>
        <rFont val="Calibri"/>
        <family val="2"/>
        <scheme val="minor"/>
      </rPr>
      <t xml:space="preserve"> Indica las ventanas o componentes gráficos de un escritorio (botones de comando, casillas de verificación etc.) que están activos. </t>
    </r>
  </si>
  <si>
    <r>
      <t>Metadatos:</t>
    </r>
    <r>
      <rPr>
        <sz val="9"/>
        <color theme="1"/>
        <rFont val="Calibri"/>
        <family val="2"/>
        <scheme val="minor"/>
      </rPr>
      <t xml:space="preserve"> Consiste en información que caracteriza datos, describe el contenido, calidad, condiciones, historia, disponibilidad y otras características de los datos. </t>
    </r>
  </si>
  <si>
    <r>
      <t>Migración:</t>
    </r>
    <r>
      <rPr>
        <sz val="9"/>
        <color theme="1"/>
        <rFont val="Calibri"/>
        <family val="2"/>
        <scheme val="minor"/>
      </rPr>
      <t xml:space="preserve"> Se utiliza para copiar o convertir datos desde una tecnología a otra, ya sea que se trate de hardware o de software, conservando las características esenciales de los datos. </t>
    </r>
  </si>
  <si>
    <r>
      <t>Planes de previsión de recursos humanos:</t>
    </r>
    <r>
      <rPr>
        <sz val="9"/>
        <color theme="1"/>
        <rFont val="Calibri"/>
        <family val="2"/>
        <scheme val="minor"/>
      </rPr>
      <t xml:space="preserve"> Es un instrumento de gestión de talento humano que permite controlar los requerimientos del persona con la disponibilidad interna que se tenga del mismo, a fin de adoptar las medidas necesarias para atender dichos requerimientos. </t>
    </r>
  </si>
  <si>
    <r>
      <t>Refreshing:</t>
    </r>
    <r>
      <rPr>
        <sz val="9"/>
        <color theme="1"/>
        <rFont val="Calibri"/>
        <family val="2"/>
        <scheme val="minor"/>
      </rPr>
      <t xml:space="preserve"> Transferencia de datos de un soporte a otro nuevo, para reducir el riesgo de la perdida de datos debido a la degradación lógica por el uso y el paso del tiempo. </t>
    </r>
  </si>
  <si>
    <r>
      <t>Registros activos de información:</t>
    </r>
    <r>
      <rPr>
        <sz val="9"/>
        <color theme="1"/>
        <rFont val="Calibri"/>
        <family val="2"/>
        <scheme val="minor"/>
      </rPr>
      <t xml:space="preserve"> Inventario de la información pública que dispone una entidad.</t>
    </r>
  </si>
  <si>
    <r>
      <t>Sede administrativa electrónica:</t>
    </r>
    <r>
      <rPr>
        <sz val="9"/>
        <color theme="1"/>
        <rFont val="Calibri"/>
        <family val="2"/>
        <scheme val="minor"/>
      </rPr>
      <t xml:space="preserve"> Sitio web que está a disposición de la ciudadanía en internet y del cual es titular una entidad administrativa pública encargada de gestionarla y administrarla; por medio del cual la ciudadanía puede acceder a la información, tramites y servicios ahorrando tiempo. </t>
    </r>
  </si>
  <si>
    <r>
      <t xml:space="preserve">Valor de desempeño en Cultural </t>
    </r>
    <r>
      <rPr>
        <b/>
        <sz val="9"/>
        <rFont val="Calibri"/>
        <family val="2"/>
        <scheme val="minor"/>
      </rPr>
      <t>C</t>
    </r>
  </si>
  <si>
    <r>
      <t xml:space="preserve">Valor de desempeño en el área, Gestión Documental  </t>
    </r>
    <r>
      <rPr>
        <b/>
        <sz val="9"/>
        <color theme="1"/>
        <rFont val="Calibri"/>
        <family val="2"/>
        <scheme val="minor"/>
      </rPr>
      <t>GD</t>
    </r>
  </si>
  <si>
    <t>PRESERVACIÓN</t>
  </si>
  <si>
    <t>Valor de desempeño en el área sistema de gestión documental</t>
  </si>
  <si>
    <t xml:space="preserve">SUBCOMPONENTE EFICIENCIA ADMINISTRATIVA, ÁREA DE DESEMPEÑO RACIONALIZACIÓN DE TRÁMITES </t>
  </si>
  <si>
    <t>Valor de desempeño en simplificación S</t>
  </si>
  <si>
    <t>Valor de desempeño en automatización  A</t>
  </si>
  <si>
    <r>
      <t xml:space="preserve">Valor de desempeño en el área,  </t>
    </r>
    <r>
      <rPr>
        <b/>
        <sz val="9"/>
        <color theme="1"/>
        <rFont val="Calibri"/>
        <family val="2"/>
        <scheme val="minor"/>
      </rPr>
      <t>RACIONALIZACIÓN DE TRÁMITES</t>
    </r>
    <r>
      <rPr>
        <sz val="9"/>
        <color theme="1"/>
        <rFont val="Calibri"/>
        <family val="2"/>
        <scheme val="minor"/>
      </rPr>
      <t xml:space="preserve"> </t>
    </r>
    <r>
      <rPr>
        <b/>
        <sz val="9"/>
        <color theme="1"/>
        <rFont val="Calibri"/>
        <family val="2"/>
        <scheme val="minor"/>
      </rPr>
      <t>RT</t>
    </r>
  </si>
  <si>
    <t>Valor de desempeño en el área racionalización de trámites</t>
  </si>
  <si>
    <t xml:space="preserve">SUBCOMPONENTE GESTIÓN DEL TALENTO HUMANO, ÁREA DE DESEMPEÑO BIENESTAR, CAPACITACIÓN DE TALENTO HUMANO Y GESTIÓN DEL SIGEP </t>
  </si>
  <si>
    <t>Valor de desempeño en sistema de estímulos DSE</t>
  </si>
  <si>
    <t>Valor de desempeño en sistema de capacitación  DSC</t>
  </si>
  <si>
    <t>Valor de desempeño en planeación estratégica de recursos humanos  PERH</t>
  </si>
  <si>
    <t xml:space="preserve">Planeación Estratégica de Recursos Humanos </t>
  </si>
  <si>
    <t xml:space="preserve"> Valor de desempeño en el área BIENESTAR, CAPACITACIÓN DEL TALENTO HUMANO Y SIGEP BCTHSIGEP</t>
  </si>
  <si>
    <t>INDICADORES DE PROCESO (PC) O RESULTADO (RC)</t>
  </si>
  <si>
    <t>LOGROS CONTENIDOS EN INDICADORES DE PROCESO</t>
  </si>
  <si>
    <t>DESCRIPCIÓN DEL CONTENIDO DE INDICADORES DE PROCESO (PC) O RESULTADO (RC)</t>
  </si>
  <si>
    <t>PREGUNTA</t>
  </si>
  <si>
    <t>GEL = (C1+C2+C3+C4)/4</t>
  </si>
  <si>
    <r>
      <t>a)</t>
    </r>
    <r>
      <rPr>
        <sz val="9"/>
        <color theme="1"/>
        <rFont val="Times New Roman"/>
        <family val="1"/>
      </rPr>
      <t xml:space="preserve">    </t>
    </r>
    <r>
      <rPr>
        <sz val="9"/>
        <color theme="1"/>
        <rFont val="Calibri"/>
        <family val="2"/>
        <scheme val="minor"/>
      </rPr>
      <t>Mecanismos para la atención al ciudadano</t>
    </r>
  </si>
  <si>
    <r>
      <t>b)</t>
    </r>
    <r>
      <rPr>
        <sz val="9"/>
        <color theme="1"/>
        <rFont val="Times New Roman"/>
        <family val="1"/>
      </rPr>
      <t xml:space="preserve">    </t>
    </r>
    <r>
      <rPr>
        <sz val="9"/>
        <color theme="1"/>
        <rFont val="Calibri"/>
        <family val="2"/>
        <scheme val="minor"/>
      </rPr>
      <t>Localización física, sucursales o regionales, horarios y días de atención al público</t>
    </r>
  </si>
  <si>
    <r>
      <t>c)</t>
    </r>
    <r>
      <rPr>
        <sz val="9"/>
        <color theme="1"/>
        <rFont val="Times New Roman"/>
        <family val="1"/>
      </rPr>
      <t xml:space="preserve">    </t>
    </r>
    <r>
      <rPr>
        <sz val="9"/>
        <color theme="1"/>
        <rFont val="Calibri"/>
        <family val="2"/>
        <scheme val="minor"/>
      </rPr>
      <t xml:space="preserve"> Correo electrónico para notificaciones judiciales</t>
    </r>
  </si>
  <si>
    <r>
      <t>d)</t>
    </r>
    <r>
      <rPr>
        <sz val="9"/>
        <color theme="1"/>
        <rFont val="Times New Roman"/>
        <family val="1"/>
      </rPr>
      <t xml:space="preserve">    </t>
    </r>
    <r>
      <rPr>
        <sz val="9"/>
        <color theme="1"/>
        <rFont val="Calibri"/>
        <family val="2"/>
        <scheme val="minor"/>
      </rPr>
      <t>Políticas de seguridad de la información del sitio web y protección de datos personales</t>
    </r>
  </si>
  <si>
    <r>
      <t>e)</t>
    </r>
    <r>
      <rPr>
        <sz val="9"/>
        <color theme="1"/>
        <rFont val="Times New Roman"/>
        <family val="1"/>
      </rPr>
      <t xml:space="preserve">    </t>
    </r>
    <r>
      <rPr>
        <sz val="9"/>
        <color theme="1"/>
        <rFont val="Calibri"/>
        <family val="2"/>
        <scheme val="minor"/>
      </rPr>
      <t>Derechos de los ciudadanos y medios para garantizarlos (Carta de trato digno)</t>
    </r>
  </si>
  <si>
    <r>
      <t>f)</t>
    </r>
    <r>
      <rPr>
        <sz val="9"/>
        <color theme="1"/>
        <rFont val="Times New Roman"/>
        <family val="1"/>
      </rPr>
      <t xml:space="preserve">     </t>
    </r>
    <r>
      <rPr>
        <sz val="9"/>
        <color theme="1"/>
        <rFont val="Calibri"/>
        <family val="2"/>
        <scheme val="minor"/>
      </rPr>
      <t>Publicación en datos abiertos</t>
    </r>
  </si>
  <si>
    <r>
      <t>g)</t>
    </r>
    <r>
      <rPr>
        <sz val="9"/>
        <color theme="1"/>
        <rFont val="Times New Roman"/>
        <family val="1"/>
      </rPr>
      <t xml:space="preserve">    </t>
    </r>
    <r>
      <rPr>
        <sz val="9"/>
        <color theme="1"/>
        <rFont val="Calibri"/>
        <family val="2"/>
        <scheme val="minor"/>
      </rPr>
      <t>Estudios, investigaciones y otras publicaciones</t>
    </r>
  </si>
  <si>
    <r>
      <t>h)</t>
    </r>
    <r>
      <rPr>
        <sz val="9"/>
        <color theme="1"/>
        <rFont val="Times New Roman"/>
        <family val="1"/>
      </rPr>
      <t xml:space="preserve">    </t>
    </r>
    <r>
      <rPr>
        <sz val="9"/>
        <color theme="1"/>
        <rFont val="Calibri"/>
        <family val="2"/>
        <scheme val="minor"/>
      </rPr>
      <t>Convocatorias</t>
    </r>
  </si>
  <si>
    <r>
      <t>i)</t>
    </r>
    <r>
      <rPr>
        <sz val="9"/>
        <color theme="1"/>
        <rFont val="Times New Roman"/>
        <family val="1"/>
      </rPr>
      <t xml:space="preserve">      </t>
    </r>
    <r>
      <rPr>
        <sz val="9"/>
        <color theme="1"/>
        <rFont val="Calibri"/>
        <family val="2"/>
        <scheme val="minor"/>
      </rPr>
      <t xml:space="preserve"> Preguntas y respuestas frecuentes</t>
    </r>
  </si>
  <si>
    <r>
      <t>j)</t>
    </r>
    <r>
      <rPr>
        <sz val="9"/>
        <color theme="1"/>
        <rFont val="Times New Roman"/>
        <family val="1"/>
      </rPr>
      <t xml:space="preserve">      </t>
    </r>
    <r>
      <rPr>
        <sz val="9"/>
        <color theme="1"/>
        <rFont val="Calibri"/>
        <family val="2"/>
        <scheme val="minor"/>
      </rPr>
      <t>Glosario</t>
    </r>
  </si>
  <si>
    <r>
      <t>k)</t>
    </r>
    <r>
      <rPr>
        <sz val="9"/>
        <color theme="1"/>
        <rFont val="Times New Roman"/>
        <family val="1"/>
      </rPr>
      <t xml:space="preserve">    </t>
    </r>
    <r>
      <rPr>
        <sz val="9"/>
        <color theme="1"/>
        <rFont val="Calibri"/>
        <family val="2"/>
        <scheme val="minor"/>
      </rPr>
      <t>Noticias</t>
    </r>
  </si>
  <si>
    <r>
      <t>l)</t>
    </r>
    <r>
      <rPr>
        <sz val="9"/>
        <color theme="1"/>
        <rFont val="Times New Roman"/>
        <family val="1"/>
      </rPr>
      <t xml:space="preserve">      </t>
    </r>
    <r>
      <rPr>
        <sz val="9"/>
        <color theme="1"/>
        <rFont val="Calibri"/>
        <family val="2"/>
        <scheme val="minor"/>
      </rPr>
      <t>Calendario de actividades</t>
    </r>
  </si>
  <si>
    <r>
      <t>m)</t>
    </r>
    <r>
      <rPr>
        <sz val="9"/>
        <color theme="1"/>
        <rFont val="Times New Roman"/>
        <family val="1"/>
      </rPr>
      <t xml:space="preserve">  </t>
    </r>
    <r>
      <rPr>
        <sz val="9"/>
        <color theme="1"/>
        <rFont val="Calibri"/>
        <family val="2"/>
        <scheme val="minor"/>
      </rPr>
      <t>Información para niños, niñas y  adolescentes</t>
    </r>
  </si>
  <si>
    <r>
      <t>n)</t>
    </r>
    <r>
      <rPr>
        <sz val="9"/>
        <color theme="1"/>
        <rFont val="Times New Roman"/>
        <family val="1"/>
      </rPr>
      <t xml:space="preserve">    </t>
    </r>
    <r>
      <rPr>
        <sz val="9"/>
        <color theme="1"/>
        <rFont val="Calibri"/>
        <family val="2"/>
        <scheme val="minor"/>
      </rPr>
      <t>Información adicional (útil para los usuarios, ciudadanos y grupos de interés)</t>
    </r>
  </si>
  <si>
    <r>
      <t>o)</t>
    </r>
    <r>
      <rPr>
        <sz val="9"/>
        <color theme="1"/>
        <rFont val="Times New Roman"/>
        <family val="1"/>
      </rPr>
      <t xml:space="preserve">    </t>
    </r>
    <r>
      <rPr>
        <sz val="9"/>
        <color theme="1"/>
        <rFont val="Calibri"/>
        <family val="2"/>
        <scheme val="minor"/>
      </rPr>
      <t>Misión y visión de la Entidad</t>
    </r>
  </si>
  <si>
    <r>
      <t>p)</t>
    </r>
    <r>
      <rPr>
        <sz val="9"/>
        <color theme="1"/>
        <rFont val="Times New Roman"/>
        <family val="1"/>
      </rPr>
      <t xml:space="preserve">    </t>
    </r>
    <r>
      <rPr>
        <sz val="9"/>
        <color theme="1"/>
        <rFont val="Calibri"/>
        <family val="2"/>
        <scheme val="minor"/>
      </rPr>
      <t>Funciones y deberes de la Entidad</t>
    </r>
  </si>
  <si>
    <r>
      <t>q)</t>
    </r>
    <r>
      <rPr>
        <sz val="9"/>
        <color theme="1"/>
        <rFont val="Times New Roman"/>
        <family val="1"/>
      </rPr>
      <t xml:space="preserve">    </t>
    </r>
    <r>
      <rPr>
        <sz val="9"/>
        <color theme="1"/>
        <rFont val="Calibri"/>
        <family val="2"/>
        <scheme val="minor"/>
      </rPr>
      <t>Procesos y procedimientos de la Entidad</t>
    </r>
  </si>
  <si>
    <r>
      <t>r)</t>
    </r>
    <r>
      <rPr>
        <sz val="9"/>
        <color theme="1"/>
        <rFont val="Times New Roman"/>
        <family val="1"/>
      </rPr>
      <t xml:space="preserve">     </t>
    </r>
    <r>
      <rPr>
        <sz val="9"/>
        <color theme="1"/>
        <rFont val="Calibri"/>
        <family val="2"/>
        <scheme val="minor"/>
      </rPr>
      <t>Organigrama de la Entidad</t>
    </r>
  </si>
  <si>
    <r>
      <t>s)</t>
    </r>
    <r>
      <rPr>
        <sz val="9"/>
        <color theme="1"/>
        <rFont val="Times New Roman"/>
        <family val="1"/>
      </rPr>
      <t xml:space="preserve">    </t>
    </r>
    <r>
      <rPr>
        <sz val="9"/>
        <color theme="1"/>
        <rFont val="Calibri"/>
        <family val="2"/>
        <scheme val="minor"/>
      </rPr>
      <t>Escalas Salariales</t>
    </r>
  </si>
  <si>
    <r>
      <t>t)</t>
    </r>
    <r>
      <rPr>
        <sz val="9"/>
        <color theme="1"/>
        <rFont val="Times New Roman"/>
        <family val="1"/>
      </rPr>
      <t xml:space="preserve">     </t>
    </r>
    <r>
      <rPr>
        <sz val="9"/>
        <color theme="1"/>
        <rFont val="Calibri"/>
        <family val="2"/>
        <scheme val="minor"/>
      </rPr>
      <t>Directorio de información de servidores públicos, empleados y contratistas (o enlace a SIGEP con el directorio)</t>
    </r>
  </si>
  <si>
    <r>
      <t>u)</t>
    </r>
    <r>
      <rPr>
        <sz val="9"/>
        <color theme="1"/>
        <rFont val="Times New Roman"/>
        <family val="1"/>
      </rPr>
      <t xml:space="preserve">    </t>
    </r>
    <r>
      <rPr>
        <sz val="9"/>
        <color theme="1"/>
        <rFont val="Calibri"/>
        <family val="2"/>
        <scheme val="minor"/>
      </rPr>
      <t>Directorio de entidades del Sector</t>
    </r>
  </si>
  <si>
    <r>
      <t>v)</t>
    </r>
    <r>
      <rPr>
        <sz val="9"/>
        <color theme="1"/>
        <rFont val="Times New Roman"/>
        <family val="1"/>
      </rPr>
      <t xml:space="preserve">    </t>
    </r>
    <r>
      <rPr>
        <sz val="9"/>
        <color theme="1"/>
        <rFont val="Calibri"/>
        <family val="2"/>
        <scheme val="minor"/>
      </rPr>
      <t>Directorio de agremiaciones, asociaciones y otros grupos de interés</t>
    </r>
  </si>
  <si>
    <r>
      <t>w)</t>
    </r>
    <r>
      <rPr>
        <sz val="9"/>
        <color theme="1"/>
        <rFont val="Times New Roman"/>
        <family val="1"/>
      </rPr>
      <t xml:space="preserve">   </t>
    </r>
    <r>
      <rPr>
        <sz val="9"/>
        <color theme="1"/>
        <rFont val="Calibri"/>
        <family val="2"/>
        <scheme val="minor"/>
      </rPr>
      <t>Ofertas de empleo</t>
    </r>
  </si>
  <si>
    <r>
      <t>x)</t>
    </r>
    <r>
      <rPr>
        <sz val="9"/>
        <color theme="1"/>
        <rFont val="Times New Roman"/>
        <family val="1"/>
      </rPr>
      <t xml:space="preserve">    </t>
    </r>
    <r>
      <rPr>
        <sz val="9"/>
        <color theme="1"/>
        <rFont val="Calibri"/>
        <family val="2"/>
        <scheme val="minor"/>
      </rPr>
      <t>Decreto único reglamentario sectorial</t>
    </r>
  </si>
  <si>
    <r>
      <t>y)</t>
    </r>
    <r>
      <rPr>
        <sz val="9"/>
        <color theme="1"/>
        <rFont val="Times New Roman"/>
        <family val="1"/>
      </rPr>
      <t xml:space="preserve">    </t>
    </r>
    <r>
      <rPr>
        <sz val="9"/>
        <color theme="1"/>
        <rFont val="Calibri"/>
        <family val="2"/>
        <scheme val="minor"/>
      </rPr>
      <t>Los decretos no compilados</t>
    </r>
  </si>
  <si>
    <r>
      <t>z)</t>
    </r>
    <r>
      <rPr>
        <sz val="9"/>
        <color theme="1"/>
        <rFont val="Times New Roman"/>
        <family val="1"/>
      </rPr>
      <t xml:space="preserve">    </t>
    </r>
    <r>
      <rPr>
        <sz val="9"/>
        <color theme="1"/>
        <rFont val="Calibri"/>
        <family val="2"/>
        <scheme val="minor"/>
      </rPr>
      <t>Resoluciones, circulares u otro tipo de actos administrativos de carácter general</t>
    </r>
  </si>
  <si>
    <r>
      <t>aa)</t>
    </r>
    <r>
      <rPr>
        <sz val="9"/>
        <color theme="1"/>
        <rFont val="Times New Roman"/>
        <family val="1"/>
      </rPr>
      <t xml:space="preserve"> </t>
    </r>
    <r>
      <rPr>
        <sz val="9"/>
        <color theme="1"/>
        <rFont val="Calibri"/>
        <family val="2"/>
        <scheme val="minor"/>
      </rPr>
      <t>Presupuesto general asignado</t>
    </r>
  </si>
  <si>
    <r>
      <t>bb)</t>
    </r>
    <r>
      <rPr>
        <sz val="9"/>
        <color theme="1"/>
        <rFont val="Times New Roman"/>
        <family val="1"/>
      </rPr>
      <t xml:space="preserve"> </t>
    </r>
    <r>
      <rPr>
        <sz val="9"/>
        <color theme="1"/>
        <rFont val="Calibri"/>
        <family val="2"/>
        <scheme val="minor"/>
      </rPr>
      <t>Índice de Información Clasificada y Reservada</t>
    </r>
  </si>
  <si>
    <r>
      <t>j) Ninguna de las anteriores</t>
    </r>
    <r>
      <rPr>
        <b/>
        <sz val="9"/>
        <color theme="1"/>
        <rFont val="Calibri"/>
        <family val="2"/>
        <scheme val="minor"/>
      </rPr>
      <t xml:space="preserve"> </t>
    </r>
  </si>
  <si>
    <r>
      <t>a)</t>
    </r>
    <r>
      <rPr>
        <sz val="9"/>
        <color theme="1"/>
        <rFont val="Times New Roman"/>
        <family val="1"/>
      </rPr>
      <t xml:space="preserve">    </t>
    </r>
    <r>
      <rPr>
        <sz val="9"/>
        <color theme="1"/>
        <rFont val="Calibri"/>
        <family val="2"/>
        <scheme val="minor"/>
      </rPr>
      <t>Políticas de TI</t>
    </r>
  </si>
  <si>
    <r>
      <t>b)</t>
    </r>
    <r>
      <rPr>
        <sz val="9"/>
        <color theme="1"/>
        <rFont val="Times New Roman"/>
        <family val="1"/>
      </rPr>
      <t xml:space="preserve">    </t>
    </r>
    <r>
      <rPr>
        <sz val="9"/>
        <color theme="1"/>
        <rFont val="Calibri"/>
        <family val="2"/>
        <scheme val="minor"/>
      </rPr>
      <t>Procesos de TI</t>
    </r>
  </si>
  <si>
    <r>
      <t>c)</t>
    </r>
    <r>
      <rPr>
        <sz val="9"/>
        <color theme="1"/>
        <rFont val="Times New Roman"/>
        <family val="1"/>
      </rPr>
      <t xml:space="preserve">    </t>
    </r>
    <r>
      <rPr>
        <sz val="9"/>
        <color theme="1"/>
        <rFont val="Calibri"/>
        <family val="2"/>
        <scheme val="minor"/>
      </rPr>
      <t>Indicadores de TI</t>
    </r>
  </si>
  <si>
    <r>
      <t>d)</t>
    </r>
    <r>
      <rPr>
        <sz val="9"/>
        <color theme="1"/>
        <rFont val="Times New Roman"/>
        <family val="1"/>
      </rPr>
      <t xml:space="preserve">    </t>
    </r>
    <r>
      <rPr>
        <sz val="9"/>
        <color theme="1"/>
        <rFont val="Calibri"/>
        <family val="2"/>
        <scheme val="minor"/>
      </rPr>
      <t>Instancias de decisión de TI</t>
    </r>
  </si>
  <si>
    <r>
      <t>e)</t>
    </r>
    <r>
      <rPr>
        <sz val="9"/>
        <color theme="1"/>
        <rFont val="Times New Roman"/>
        <family val="1"/>
      </rPr>
      <t xml:space="preserve">    </t>
    </r>
    <r>
      <rPr>
        <sz val="9"/>
        <color theme="1"/>
        <rFont val="Calibri"/>
        <family val="2"/>
        <scheme val="minor"/>
      </rPr>
      <t xml:space="preserve">Roles y responsabilidades de TI </t>
    </r>
  </si>
  <si>
    <r>
      <t>f)</t>
    </r>
    <r>
      <rPr>
        <sz val="9"/>
        <color theme="1"/>
        <rFont val="Times New Roman"/>
        <family val="1"/>
      </rPr>
      <t xml:space="preserve">     </t>
    </r>
    <r>
      <rPr>
        <sz val="9"/>
        <color theme="1"/>
        <rFont val="Calibri"/>
        <family val="2"/>
        <scheme val="minor"/>
      </rPr>
      <t xml:space="preserve">Estructura organizacional del área de TI </t>
    </r>
  </si>
  <si>
    <r>
      <t>g)</t>
    </r>
    <r>
      <rPr>
        <sz val="9"/>
        <color theme="1"/>
        <rFont val="Times New Roman"/>
        <family val="1"/>
      </rPr>
      <t xml:space="preserve">    </t>
    </r>
    <r>
      <rPr>
        <sz val="9"/>
        <color theme="1"/>
        <rFont val="Calibri"/>
        <family val="2"/>
        <scheme val="minor"/>
      </rPr>
      <t>No cuenta con un esquema de gobierno de TI</t>
    </r>
  </si>
  <si>
    <r>
      <t>VALOR DE DESEMPEÑO EN Gobierno de TI</t>
    </r>
    <r>
      <rPr>
        <b/>
        <sz val="9"/>
        <color theme="1"/>
        <rFont val="Calibri"/>
        <family val="2"/>
        <scheme val="minor"/>
      </rPr>
      <t xml:space="preserve"> L8</t>
    </r>
  </si>
  <si>
    <r>
      <t xml:space="preserve">VALOR DE DESEMPEÑO EN INFORMACIÓN </t>
    </r>
    <r>
      <rPr>
        <b/>
        <sz val="9"/>
        <color theme="1"/>
        <rFont val="Calibri"/>
        <family val="2"/>
        <scheme val="minor"/>
      </rPr>
      <t>L9</t>
    </r>
  </si>
  <si>
    <r>
      <t xml:space="preserve">VALOR DE DESEMPEÑO EN SISTEMAS DE INFORMACIÓN </t>
    </r>
    <r>
      <rPr>
        <b/>
        <sz val="9"/>
        <color theme="1"/>
        <rFont val="Calibri"/>
        <family val="2"/>
        <scheme val="minor"/>
      </rPr>
      <t>L10</t>
    </r>
  </si>
  <si>
    <r>
      <t xml:space="preserve">VALOR DE DESEMPEÑO EN  SERVICIOS TECNOLÓGICOS </t>
    </r>
    <r>
      <rPr>
        <b/>
        <sz val="9"/>
        <color theme="1"/>
        <rFont val="Calibri"/>
        <family val="2"/>
        <scheme val="minor"/>
      </rPr>
      <t>L11</t>
    </r>
  </si>
  <si>
    <r>
      <t xml:space="preserve">VALOR DE DESEMPEÑO EN USO Y APROPIACIÓN  </t>
    </r>
    <r>
      <rPr>
        <b/>
        <sz val="9"/>
        <color theme="1"/>
        <rFont val="Calibri"/>
        <family val="2"/>
        <scheme val="minor"/>
      </rPr>
      <t>L12</t>
    </r>
  </si>
  <si>
    <r>
      <t xml:space="preserve">VALOR DE DESEMPEÑO EN CAPACIDADES INSTITUCIONALES </t>
    </r>
    <r>
      <rPr>
        <b/>
        <sz val="9"/>
        <color theme="1"/>
        <rFont val="Calibri"/>
        <family val="2"/>
        <scheme val="minor"/>
      </rPr>
      <t>L13</t>
    </r>
  </si>
  <si>
    <r>
      <t xml:space="preserve">VALOR DE DESEMPEÑO EN  Promedio indicadores de resultado TIC para la Gestión  </t>
    </r>
    <r>
      <rPr>
        <b/>
        <sz val="9"/>
        <color theme="1"/>
        <rFont val="Calibri"/>
        <family val="2"/>
        <scheme val="minor"/>
      </rPr>
      <t>RC3</t>
    </r>
  </si>
  <si>
    <r>
      <t xml:space="preserve">VALOR DE DESEMPEÑO EN Definición del marco de seguridad y privacidad de la información y de los sistemas de información  </t>
    </r>
    <r>
      <rPr>
        <b/>
        <sz val="9"/>
        <color theme="1"/>
        <rFont val="Calibri"/>
        <family val="2"/>
        <scheme val="minor"/>
      </rPr>
      <t>L14</t>
    </r>
  </si>
  <si>
    <r>
      <t xml:space="preserve">VALOR DE DESEMPEÑO EN  Implementación del plan de seguridad y privacidad de la información y de los sistemas de información  </t>
    </r>
    <r>
      <rPr>
        <b/>
        <sz val="9"/>
        <color theme="1"/>
        <rFont val="Calibri"/>
        <family val="2"/>
        <scheme val="minor"/>
      </rPr>
      <t>L15</t>
    </r>
  </si>
  <si>
    <r>
      <t xml:space="preserve">VALOR DE DESEMPEÑO EN Monitoreo y mejoramiento continuo </t>
    </r>
    <r>
      <rPr>
        <b/>
        <sz val="9"/>
        <color theme="1"/>
        <rFont val="Calibri"/>
        <family val="2"/>
        <scheme val="minor"/>
      </rPr>
      <t xml:space="preserve">L16 </t>
    </r>
  </si>
  <si>
    <t xml:space="preserve">Componentes establecidos para gobierno en línea </t>
  </si>
  <si>
    <t>Indicadores establecidos para el IEDI</t>
  </si>
  <si>
    <t xml:space="preserve">Sub indicadores establecidos para gobierno en línea </t>
  </si>
  <si>
    <t xml:space="preserve">Preguntas con opción de única respuesta </t>
  </si>
  <si>
    <t xml:space="preserve">Valor de desempeño en el área, Implementación de gobierno en línea </t>
  </si>
  <si>
    <t>http://estrategia.gobiernoenlinea.gov.co/623/articles-8237_guia_usabilidad.pdf</t>
  </si>
  <si>
    <t>• Como información adicional, para aclaración de dudas respecto a la temática de la aplicabilidad de gobierno en línea, se presentan los siguientes vínculos de consulta de las guías de TIC de Gobierno abierto.</t>
  </si>
  <si>
    <t>• Las preguntas que no están clasificadas en la convención de colores; son preguntas en las que se deben reportar valores numéricos</t>
  </si>
  <si>
    <t xml:space="preserve">COMPONENTE GESTIÓN FINANCIERA Y CONTRACTUAL </t>
  </si>
  <si>
    <t xml:space="preserve">SUBCOMPONENTE EJECUCIÓN GLOBAL DEL PRESUPUESTO </t>
  </si>
  <si>
    <t xml:space="preserve">Información reportada por la Corporación </t>
  </si>
  <si>
    <t xml:space="preserve">Valor de desempeño en el subcomponente ejecución global del presupuesto </t>
  </si>
  <si>
    <t>EJECUCIÓN GLOBAL DEL PRESUPUESTO</t>
  </si>
  <si>
    <t>COMPONENTE GESTIÓN FINANCIERA Y CONTRACTUAL</t>
  </si>
  <si>
    <t xml:space="preserve">SUBCOMPONENTE  GESTIÓN DE LA INVERSIÓN </t>
  </si>
  <si>
    <t>Valor de desempeño en el subcomponente gestión de la inversión</t>
  </si>
  <si>
    <r>
      <t xml:space="preserve">Valor de desempeño en el subcomponente de </t>
    </r>
    <r>
      <rPr>
        <b/>
        <sz val="9"/>
        <color theme="1"/>
        <rFont val="Calibri"/>
        <family val="2"/>
        <scheme val="minor"/>
      </rPr>
      <t>GESTIÓN DE LA INVERSIÓN GI</t>
    </r>
  </si>
  <si>
    <t>SUBCOMPONENTE GESTIÓN CONTRACTUAL - MANEJO DE PROCESOS DE CONTRATACIÓN Y SECOP</t>
  </si>
  <si>
    <t>NOMBRE DEL INDICADOR</t>
  </si>
  <si>
    <t>INFORMACIÓN REPORTADA POR LAS CORPORACIONES</t>
  </si>
  <si>
    <t>CÁLCULO DE LA FÓRMULA</t>
  </si>
  <si>
    <t>INTERPRETACIÓN DEL INDICADOR</t>
  </si>
  <si>
    <r>
      <t xml:space="preserve">Indique el valor de los registros presupuestales que afectan las apropiaciones vigentes. </t>
    </r>
    <r>
      <rPr>
        <b/>
        <sz val="9"/>
        <color theme="1"/>
        <rFont val="Calibri"/>
        <family val="2"/>
        <scheme val="minor"/>
      </rPr>
      <t>COMPROMISOS</t>
    </r>
  </si>
  <si>
    <r>
      <rPr>
        <b/>
        <sz val="9"/>
        <color theme="1"/>
        <rFont val="Calibri"/>
        <family val="2"/>
        <scheme val="minor"/>
      </rPr>
      <t>Para fin de vigencia t:</t>
    </r>
    <r>
      <rPr>
        <sz val="9"/>
        <color theme="1"/>
        <rFont val="Calibri"/>
        <family val="2"/>
        <scheme val="minor"/>
      </rPr>
      <t xml:space="preserve"> 
(Compromisos (t) /  Apropiación vigente reducida (t))*100</t>
    </r>
  </si>
  <si>
    <r>
      <t xml:space="preserve"> Indique el valor de apropiación inicial más las adiciones a créditos, menos las reducciones y contra créditos a la fecha en la que se reporta la información. </t>
    </r>
    <r>
      <rPr>
        <b/>
        <sz val="9"/>
        <color theme="1"/>
        <rFont val="Calibri"/>
        <family val="2"/>
        <scheme val="minor"/>
      </rPr>
      <t xml:space="preserve">APROPIACIÓN VIGENTE. </t>
    </r>
  </si>
  <si>
    <r>
      <t xml:space="preserve">Indique el valor final de los contratos suscritos por la corporación. </t>
    </r>
    <r>
      <rPr>
        <b/>
        <sz val="9"/>
        <color theme="1"/>
        <rFont val="Calibri"/>
        <family val="2"/>
        <scheme val="minor"/>
      </rPr>
      <t>Valor final</t>
    </r>
  </si>
  <si>
    <r>
      <t xml:space="preserve">Indique el valor de acuerdo a los pliegos. </t>
    </r>
    <r>
      <rPr>
        <b/>
        <sz val="9"/>
        <color theme="1"/>
        <rFont val="Calibri"/>
        <family val="2"/>
        <scheme val="minor"/>
      </rPr>
      <t>Valor Pliegos</t>
    </r>
  </si>
  <si>
    <r>
      <rPr>
        <u/>
        <sz val="9"/>
        <color theme="1"/>
        <rFont val="Calibri"/>
        <family val="2"/>
        <scheme val="minor"/>
      </rPr>
      <t>Final de vigenciat</t>
    </r>
    <r>
      <rPr>
        <sz val="9"/>
        <color theme="1"/>
        <rFont val="Calibri"/>
        <family val="2"/>
        <scheme val="minor"/>
      </rPr>
      <t>: 
(∑ Valor Contratos en tiempo t  / (Presupuesto de la entidad reducido + cupos de vigencias futuras autorizadas)t)*100</t>
    </r>
  </si>
  <si>
    <r>
      <rPr>
        <u/>
        <sz val="9"/>
        <color theme="1"/>
        <rFont val="Calibri"/>
        <family val="2"/>
        <scheme val="minor"/>
      </rPr>
      <t xml:space="preserve">Para fin de la vigencia </t>
    </r>
    <r>
      <rPr>
        <sz val="9"/>
        <color theme="1"/>
        <rFont val="Calibri"/>
        <family val="2"/>
        <scheme val="minor"/>
      </rPr>
      <t xml:space="preserve">t = 
(Número de contratos con modificaciones en plazo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</si>
  <si>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</si>
  <si>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y tiempo/Total de contratos suscritos t) *100 </t>
    </r>
  </si>
  <si>
    <r>
      <t xml:space="preserve">Valor de desempeño en el subcomponente, </t>
    </r>
    <r>
      <rPr>
        <b/>
        <sz val="9"/>
        <color theme="1"/>
        <rFont val="Calibri"/>
        <family val="2"/>
        <scheme val="minor"/>
      </rPr>
      <t>Gestión contractual -  Manejo de procesos de contratación y SECOP  GC</t>
    </r>
  </si>
  <si>
    <t xml:space="preserve">ÁREAS DE GESTIÓN </t>
  </si>
  <si>
    <t>SUBCOMPONENTE</t>
  </si>
  <si>
    <t>CÁLCULO DEL SUBCOMPONENTE</t>
  </si>
  <si>
    <t xml:space="preserve">CÁLCULO DEL ÁREA DE GESTIÓN </t>
  </si>
  <si>
    <t>Valor de desempeño en el área bienestar, capacitación del talento humano y SIGEP</t>
  </si>
  <si>
    <t>Valor de desempeño en el subcomponente gestión contractual - manejo de procesos de contratación y SECOP</t>
  </si>
  <si>
    <t>VALOR DE DESEMPEÑO DEL IEDI</t>
  </si>
  <si>
    <t>Componente Gestión Financiero y Contractual</t>
  </si>
  <si>
    <t>(s+t+u)/3)*100                                                               si selecciona v=0</t>
  </si>
  <si>
    <t>((z+aa+ab+ac+ad+ae)/6)*100                                      si selecciona af=0</t>
  </si>
  <si>
    <t xml:space="preserve">((a+b+c+d+e+f)/6)*100                                                 si selecciona g=0 </t>
  </si>
  <si>
    <t>(ax+ay+az)/3)*100                                                        si selecciona ba o bb=0</t>
  </si>
  <si>
    <t>Meta anual del Número de cuerpos de agua con planes de ordenamiento del recurso hídrico adoptados (MPORHA)</t>
  </si>
  <si>
    <t>Avance en superficie de áreas protegidas regionales declaradas, homologadas o recategorizadas, inscritas en el RUNAP (ha) (SAPR)</t>
  </si>
  <si>
    <t>Meta anual de Superficie de áreas protegidas regionales declaradas, homologadas o recategorizadas, inscritas en el RUNAP (ha) (MAPR)</t>
  </si>
  <si>
    <t xml:space="preserve">Número de POMCAS aprobados POMCASF </t>
  </si>
  <si>
    <t>Número de PMA aprobados PMAF</t>
  </si>
  <si>
    <t>Número de PMM aprobados PMMF</t>
  </si>
  <si>
    <t xml:space="preserve">Meta del cuatrenio, en la formulación de POMCAS,  en la jurisdicción de la CAR según la zonificación hidrográfica </t>
  </si>
  <si>
    <t>Porcentaje de actualización y reporte de la información al  subsistema SIRH del SIAC (PARS SIRH)</t>
  </si>
  <si>
    <t>Número de registros reportados en el año al subsistema SIRH del SIAC (RRS SIRH)</t>
  </si>
  <si>
    <t>Número de registros esperados reportados en el año al subsistema SIRH del SIAC (RES SIRH)</t>
  </si>
  <si>
    <t>Porcentaje de actualización y reporte de la información al subsistema SISAIRE del SIAC  (PARS SISAIRE)</t>
  </si>
  <si>
    <t>Número de registros reportados en el año al subsistema SISAIRE del SIAC (RRS SISAIRE)</t>
  </si>
  <si>
    <t>Número de registros esperados reportados en el año al subsistema SISAIRE del SIAC (RES SISAIRE)</t>
  </si>
  <si>
    <t>Porcentaje de actualización y reporte de la información al subsistema SNIF (PARS SNIF)</t>
  </si>
  <si>
    <t>Número de registros reportados en el año al subsistema SNIF del SIAC (RRS SNIF)</t>
  </si>
  <si>
    <t>Porcentaje de actualización y reporte de la información al subsistema RESPEL (PARS RESPEL)</t>
  </si>
  <si>
    <t>Número de registros reportados en el año al subsistema RESPEL del SIAC (RRS RESPEL)</t>
  </si>
  <si>
    <t>Número de registros esperados reportados en el año al subsistema RESPEL del SIAC (RES RESPEL)</t>
  </si>
  <si>
    <t>Porcentaje de actualización y reporte de la información al subsistema SIR (RUA) del SIAC (PARS SIR)</t>
  </si>
  <si>
    <t>Número de registros reportados en el año al subsistema  SIR (RUA) del SIAC (RRS SIR)</t>
  </si>
  <si>
    <t>Número de registros esperados reportados en el año al subsistema SIR (RUA) del SIAC (RES SIR)</t>
  </si>
  <si>
    <t>MISIONAL (60%)</t>
  </si>
  <si>
    <t>Calificación del Desempeño</t>
  </si>
  <si>
    <t>Categoría</t>
  </si>
  <si>
    <t>Denominación Rango</t>
  </si>
  <si>
    <t>Calificación</t>
  </si>
  <si>
    <t>Color Representativo</t>
  </si>
  <si>
    <t>Sobresaliente</t>
  </si>
  <si>
    <t>≥90</t>
  </si>
  <si>
    <t>Bueno</t>
  </si>
  <si>
    <t>≥75 y &lt;90</t>
  </si>
  <si>
    <t>Regular</t>
  </si>
  <si>
    <t>≥60 y &lt;75</t>
  </si>
  <si>
    <t>Deficiente</t>
  </si>
  <si>
    <t>≥40 y &lt;60</t>
  </si>
  <si>
    <t>Muy deficiente</t>
  </si>
  <si>
    <t>&lt;40</t>
  </si>
  <si>
    <t>Planificación, Ordenamiento Y Coordinación Ambiental Regional (PCR) (35%)</t>
  </si>
  <si>
    <t>Protección Ambiental Y Promoción Del Desarrollo Sostenible (PADS) (35%)</t>
  </si>
  <si>
    <t xml:space="preserve">Administración, control y vigilancia del ambiente, sus recursos naturales renovables y ecosistemas estratégicos
(30%)
</t>
  </si>
  <si>
    <t>ESTRUCTURA INDICE DE EVALUACIÓN Y DESEMPEÑO INSTITUCIONAL DE LAS CARS - IEDI CARS</t>
  </si>
  <si>
    <t>ADMINISTRATIVO (20%)</t>
  </si>
  <si>
    <t>FINANCIERO Y CONTRACTUAL (20%)</t>
  </si>
  <si>
    <t>VALOR DE DESEMPEÑO TOTAL DEL COMPONENTE GESTIÓN MISIONAL</t>
  </si>
  <si>
    <t>VALOR DE DESEMPEÑO EN EFICIENCIA DEL COMPONENTE GESTIÓN MISIONAL (30%)</t>
  </si>
  <si>
    <t>VALOR DE DESEMPEÑO EN EFICACIA DEL COMPONENTE GESTIÓN MISIONAL (70%)</t>
  </si>
  <si>
    <t>Asesoría en procesos de planificación ambiental de las entidades territoriales y los sectores productivos (APP) (35%)</t>
  </si>
  <si>
    <t>Instrumentos para el ordenamiento de las cuencas hidrográficas y los recursos naturales (IOCRN) (35%)</t>
  </si>
  <si>
    <t>Implementación, operación y reporte de los sistemas de información ambiental (IORSIA) (30%)</t>
  </si>
  <si>
    <t>Administración de los recursos naturales. (ARN) (35%)</t>
  </si>
  <si>
    <t>Seguimiento y monitoreo ambiental (SMA) (35%)</t>
  </si>
  <si>
    <t>Atención contravenciones ambientales (ACA) (30%)</t>
  </si>
  <si>
    <t>Gestión en ecosistemas estratégicos y la biodiversidad (GEEB) (25%)</t>
  </si>
  <si>
    <t>Gestión integral del recurso hídrico (GIRH) (30%)</t>
  </si>
  <si>
    <t>Gestión integral del recurso suelo (GIS) (10%)</t>
  </si>
  <si>
    <t>Gestión sectorial y urbana (GSU) (25%)</t>
  </si>
  <si>
    <t>Gestión en participación, educación y cultura ambiental (GEA) (10%)</t>
  </si>
  <si>
    <t>Plan Anticorrupción (25%)</t>
  </si>
  <si>
    <t>Transparencia y Acceso a la Información (30%)</t>
  </si>
  <si>
    <t>Participación Ciudadana (10%)</t>
  </si>
  <si>
    <t>Rendición de cuentas (10%)</t>
  </si>
  <si>
    <t>Servicio al ciudadano (25%)</t>
  </si>
  <si>
    <t>Gestión de la Calidad (30%)</t>
  </si>
  <si>
    <t>Gestión Documental (40%)</t>
  </si>
  <si>
    <t>Racionalización de trámites (30%)</t>
  </si>
  <si>
    <t>Bienestar, capacitación del talento humano y SIGEP (100%)</t>
  </si>
  <si>
    <t>Implementación  Estrategia de Gobierno En Línea  (100%)</t>
  </si>
  <si>
    <t>Ejecución global del presupuesto (35%)</t>
  </si>
  <si>
    <t>Gestión de la Inversión (30%)</t>
  </si>
  <si>
    <t>Gestión contractual - manejo de procesos de contratación y SECOP (35%)</t>
  </si>
  <si>
    <t>Transparencia y Servicio  al Ciudadano (TSC) (25%)</t>
  </si>
  <si>
    <t>Eficiencia Administrativa (25%)</t>
  </si>
  <si>
    <t>Gestión del Talento Humano (25%)</t>
  </si>
  <si>
    <t>Gobierno en Línea (25%)</t>
  </si>
  <si>
    <t>Gestión Contractual (35%)</t>
  </si>
  <si>
    <t>VALOR DE DESEMPEÑO EN EL COMPONENTE GESTIÓN ADMINISTRATIVA</t>
  </si>
  <si>
    <t>VALOR DE DESEMPEÑO EN EL COMPONENTE GESTIÓN FINANCIERO Y CONTRACTUAL</t>
  </si>
  <si>
    <t>Componente Gestión Misional</t>
  </si>
  <si>
    <t>Componente Gestión Administrativo</t>
  </si>
  <si>
    <t>Cálculo del IEDI</t>
  </si>
  <si>
    <t>INFORMACIÓN GLOBAL</t>
  </si>
  <si>
    <r>
      <t>• Teniendo en cuenta los Artículos 7 y 11 de la Resolución 0667 del 27 de abril de 2016 del Ministerio de Ambiente y Desarrollo Sostenible (MADS).</t>
    </r>
    <r>
      <rPr>
        <b/>
        <sz val="9"/>
        <color theme="1"/>
        <rFont val="Calibri"/>
        <family val="2"/>
        <scheme val="minor"/>
      </rPr>
      <t xml:space="preserve"> Artículo 7°. "Los indicadores mínimos y las especificidades regionales.</t>
    </r>
    <r>
      <rPr>
        <sz val="9"/>
        <color theme="1"/>
        <rFont val="Calibri"/>
        <family val="2"/>
        <scheme val="minor"/>
      </rPr>
      <t xml:space="preserve"> Los indicadores mínimos son de obligatorio reporte por parte de las Corporaciones. En los casos en que, por las especificidades ambientales, regionales, algunos de estos indicadores no se puedan aplicar, el Director General de la respectiva Corporación deberá presentar una justificación ante el Consejo Directivo, el cual decidirá mediante acuerdo la procedencia o no de la aplicación del indicador. En los casos en que la inaplicación del indicador obedezca a limitaciones de información disponible, que no permita el reporte del mismo, la Corporación deberá diseñar y ejecutar agenda de implementación para su aplicación y reporte, que deberá ser aprobada por el Consejo Directivo y que hará parte del respectivo Plan de Acción".</t>
    </r>
    <r>
      <rPr>
        <b/>
        <sz val="9"/>
        <color theme="1"/>
        <rFont val="Calibri"/>
        <family val="2"/>
        <scheme val="minor"/>
      </rPr>
      <t xml:space="preserve"> Artículo 11° "Incorporación de los indicadores mínimos de gestión en los Planes de Acción.</t>
    </r>
    <r>
      <rPr>
        <sz val="9"/>
        <color theme="1"/>
        <rFont val="Calibri"/>
        <family val="2"/>
        <scheme val="minor"/>
      </rPr>
      <t xml:space="preserve"> Las Corporaciones Autónomas Regionales y de Desarrollo Sostenible que a la fecha de entrada en vigencia de la presente Resolución ya hayan aprobado el Plan de Acción Cuatrienal, deberán ajustar tal instrumento para la incorporación de las disposiciones previstas en la presente norma, dentro de los dos meses siguientes. Las demás Corporaciones deberán incorporar estas disposiciones en su Plan de Acción Cuatrienal, previo a su aprobación por parte del Consejo Directivo".  Por lo anterior en el presente instrumento se toma como instrumento de validación de la información reportada, los  Planes de Acción de las Corporaciones. En el caso de la no aplicabilidad del indicador se debe especificar en la casilla de observaciones  las respectivas justificaciones presentadas para el no reporte de los mismos. 
</t>
    </r>
  </si>
  <si>
    <t>http://www.minambiente.gov.co/images/normativa/app/resoluciones/59-res%20667%20abril%202016.pdf</t>
  </si>
  <si>
    <t xml:space="preserve">INFORMACIÓN GLOBAL </t>
  </si>
  <si>
    <t>El mapa de riesgos de corrupción está incluido como política en el Plan de Acción de la entidad?</t>
  </si>
  <si>
    <t xml:space="preserve">COMPONENTE MISIONAL 
PLANIFICACIÓN, ORDENAMIENTO Y COORDINACIÓN AMBIENTAL REGIONAL   
</t>
  </si>
  <si>
    <t xml:space="preserve">FUNCIÓN DE PRODUCCION </t>
  </si>
  <si>
    <t>PRODUCTO 1</t>
  </si>
  <si>
    <t>Diligenciado por la CAR</t>
  </si>
  <si>
    <t>INSUMO 1</t>
  </si>
  <si>
    <t xml:space="preserve">INSUMO 2 </t>
  </si>
  <si>
    <t xml:space="preserve">ASESORIA EN PROCESOS DE PLANIFICACION AMBIENTAL DE LAS ENTIDADES TERRITORIALES Y LOS SECTORES PRODUCTIVOS </t>
  </si>
  <si>
    <t xml:space="preserve">ASESORIA Y ACOMPAÑAMIENTO A MUNICIPIOS EN LOS PROCESOS DE PLANIFICACÓN Y ORDENAMIENTO TERRITORIAL </t>
  </si>
  <si>
    <t xml:space="preserve">Número de municipios asesorados en la inclusión del componente ambiental en los procesos de planificación y ordenamiento territorial. </t>
  </si>
  <si>
    <t xml:space="preserve">Inversión total de la CAR en el proceso de asistencia técnica realizada a los municipios </t>
  </si>
  <si>
    <t xml:space="preserve">Personal total de la entidad (planta y contrato) vinculado al proceso de asesoría a los municipios. </t>
  </si>
  <si>
    <t xml:space="preserve">INSTRUMENTOS PARA EL ORDENAMIENTO DE LAS CUENCAS HIDROGRAFICAS Y LOS RECURSOS NATURALES </t>
  </si>
  <si>
    <t xml:space="preserve">FORMULACIÓN DE LOS PLANES DE ORDENACIÓN DE CUENCAS HIDROGRÁFICAS </t>
  </si>
  <si>
    <t>Número de áreas con plan de ordenación y manejo de cuencas formulados y adoptados.</t>
  </si>
  <si>
    <t>Inversión total de la CAR en proceso de alistamiento, formulación (consultorías), interventoría, insumos y logística institucional.</t>
  </si>
  <si>
    <t xml:space="preserve">Personal total de la entidad (planta y contrato) vinculado al proceso de ordenamiento, tanto en fase preparatoria como de ejecución. </t>
  </si>
  <si>
    <t>INSCRIPCIÓN DE AREAS PROTEGIDAS EN EL RUNAP</t>
  </si>
  <si>
    <t>Número de áreas protegidas regionales declaradas, homologadas o recategorizadas inscritas en el RUNAP</t>
  </si>
  <si>
    <t xml:space="preserve">Inversión total en procesos de declaratoria de áreas protegidas, incluyendo alistamiento, formulación (consultorías, interventoría, insumos y logística </t>
  </si>
  <si>
    <t xml:space="preserve">Personal total de la entidad (planta y contrato) vinculado al proceso de declaración e inscripción, tanto en fase preparatoria como de ejecución. Costos del personal </t>
  </si>
  <si>
    <t xml:space="preserve">COMPONENTE MISIONAL 
ADMON, CONTROL Y VIGILANCIA DEL AMBIENTE, SUS RECURSOS NATURALES Y ECOSISTEMAS ESTRATÉGICOS 
</t>
  </si>
  <si>
    <t xml:space="preserve">AREA DE GESTION </t>
  </si>
  <si>
    <t xml:space="preserve">FUNCION DE PRODUCCIÓN </t>
  </si>
  <si>
    <t>INFORMACÓN DE ENTRADA Y SALIDA AL MODELO</t>
  </si>
  <si>
    <t xml:space="preserve">Diligenciado por la CAR </t>
  </si>
  <si>
    <t>INSUMO 3</t>
  </si>
  <si>
    <t>ADMINISTRACION DE LOS RECURSOS NATURALES</t>
  </si>
  <si>
    <t xml:space="preserve">PERMISOS Y AUTORIZACIONES AMBIENTALES RESUELTAS </t>
  </si>
  <si>
    <t>Número de permisos y autorizaciones ambientales resueltas por la corporación (CA, PV, AF, PEA)</t>
  </si>
  <si>
    <t xml:space="preserve">Inversión total en el proceso de evaluación de permisos y autorizaciones incluyendo personal (técnico, administrativo y jurídico), insumos y logística. </t>
  </si>
  <si>
    <t xml:space="preserve">Personal total de la entidad (planta y contrato, técnico, admo y jurídico) vinculado al proceso de evaluación de autorizaciones ambientales </t>
  </si>
  <si>
    <t xml:space="preserve">SEGUIMIENTO A AUTORIZACIONES AMBIENTALES </t>
  </si>
  <si>
    <t>Número de autorizaciones ambientales con seguimiento (LA, CA, PV, AF, PEA)</t>
  </si>
  <si>
    <t xml:space="preserve">Inversión total  de la CAR en el proceso de seguimiento a licencias, permisos y autorizaciones incluyendo personal (técnico, administrativo y jurídico), insumos y logística. </t>
  </si>
  <si>
    <t xml:space="preserve">Personal total de la entidad (planta y contrato, técnico, admo y jurídico) vinculado al proceso de seguimiento de autorizaciones ambientales </t>
  </si>
  <si>
    <t>ATENCION DE QUEJAS Y CONTRAVENCIONES AMBIENTALES</t>
  </si>
  <si>
    <t xml:space="preserve"> QUEJAS Y CONTRAVENCIONES AMBIENTALES </t>
  </si>
  <si>
    <t>Número de procesos sancionatorios resueltos por la corporación</t>
  </si>
  <si>
    <t xml:space="preserve">Inversión total de la CAR en el proceso de atención de quejas y contravenciones ambientales, incluyendo personal (técnico, administrativo y jurídico), insumos y logística. </t>
  </si>
  <si>
    <t xml:space="preserve">Personal total de la entidad (planta y contrato, técnico, admo y jurídico) vinculado al proceso de atención de quejas y contravenciones ambientales, incluyendo personal (técnico, administrativo y jurídico), insumos y logística. </t>
  </si>
  <si>
    <t>INSUMO 2</t>
  </si>
  <si>
    <t>GESTION INTEGRAL DEL RECURSO HÍDRICO</t>
  </si>
  <si>
    <t>Áreas de ecosistemas en restauración, rehabilitación y reforestación.</t>
  </si>
  <si>
    <t>Áreas en proceso de restauración, rehabilitación y reforestación</t>
  </si>
  <si>
    <t xml:space="preserve">Inversión total en el proceso de de restauración, rehabilitación y reforestación incluyendo personal (técnico, administrativo y jurídico), insumos y logística. </t>
  </si>
  <si>
    <t>Personal total de la entidad (planta y contrato, técnico, admo y jurídico) vinculado al proceso de restauración, rehabilitación y reforestación</t>
  </si>
  <si>
    <t>GESTION EN EDUCACIÓN Y CULTURA AMBIENTAL</t>
  </si>
  <si>
    <t xml:space="preserve">Ejecución de Acciones en educación ambiental </t>
  </si>
  <si>
    <t>Personas capacitadas en programas de educación ambiental ejecutados por la Corporación</t>
  </si>
  <si>
    <t xml:space="preserve">Inversión total  de la CAR en implementación de programas de educación ambiental no formal incluyendo personal (técnico, administrativo y jurídico), insumos y logística. </t>
  </si>
  <si>
    <t>Personal total de la entidad (planta y contrato, técnico, admo y jurídico) vinculado al proceso de educación ambiental no formal.</t>
  </si>
  <si>
    <t>Porcentaje de avance de la meta anual en la formulación de POMCAS (PAMAPOMCAS)</t>
  </si>
  <si>
    <t>Porcentaje de avance de la meta anual en la formulación de PMA (PAMAPMA)</t>
  </si>
  <si>
    <t>Número Total de PMA, en la vigencia evaluada. N</t>
  </si>
  <si>
    <t>Número Total de POMCAS, en la vigencia evaluada. N</t>
  </si>
  <si>
    <t>Número Total de PMM, en la vigencia evaluada. N</t>
  </si>
  <si>
    <t>Avance porcentual en el número de cuerpos de agua con planes de ordenamiento del recurso hídrico adoptados (PORHA)</t>
  </si>
  <si>
    <t>¿Durante la recolección de datos personales, la Entidad informa al ciudadano (titular) sobre la finalidad del tratamiento?.</t>
  </si>
  <si>
    <t>Diligenciado por la CAR en pesos</t>
  </si>
  <si>
    <t>http://www.minambiente.gov.co/images/GestionIntegraldelRecursoHidrico/pdf/Plan-de-ordenamiento-del-Recurso-Hidrico/GUIA_TECNICA_PORH.pdf</t>
  </si>
  <si>
    <t>Porcentaje de cuerpos de agua con Plan de Ordenamiento del Recurso Hídrico (PORH) adoptados (PPORHA). ( Ver guía técnica formulación de PORH)</t>
  </si>
  <si>
    <t>Porcentaje de avance en la formulación del Plan de Ordenación Forestal (PAPOF). ( Ver  Política Nacional de Gestión Integral de la Biodiversidad y sus servicios Ecosistémicos)</t>
  </si>
  <si>
    <t>http://www.humboldt.org.co/images/pdf/PNGIBSE_espa%C3%B1ol_web.pdf</t>
  </si>
  <si>
    <t>Meta del cuatrenio, en el número de páramos  previamente delimitados por el MADS en la jurisdicción de la CAR, a los cuales la CAR les expide el Acto Administrativo de zonificación y régimen de usos</t>
  </si>
  <si>
    <t>Porcentaje de páramos delimitados por el Ministerio, con zonificación y régimen de usos adoptados por la CAR (PPDZRU).  ( Ver  Política Nacional de Gestión Integral de la Biodiversidad y sus servicios Ecosistémicos)</t>
  </si>
  <si>
    <t>Porcentaje de avance en la formulación de los Planes de Ordenación y Manejo de Cuencas (PPAPOMCAS)</t>
  </si>
  <si>
    <t>Porcentaje de avance en la formulación de los Planes de Manejo de Acuíferos (PPAPMA)</t>
  </si>
  <si>
    <t>Porcentaje de avance en la formulación de los Planes de Microcuencas (PPAPMM)</t>
  </si>
  <si>
    <t>Tiempo promedio de trámite para la resolución de autorizaciones ambientales otorgadas por la corporación T (Ver Tiempos establecidos por la autoridad ambiental en cada trámite)</t>
  </si>
  <si>
    <t>http://www.anla.gov.co/tramites-inscritos-si</t>
  </si>
  <si>
    <t>Número de cuerpos de agua con reglamentación del uso de las aguas, para la vigencia  RUA</t>
  </si>
  <si>
    <t>Meta de número de cuerpos de agua con reglamentación del uso de las aguas, para la vigencia MRUA</t>
  </si>
  <si>
    <t xml:space="preserve">Meta del cuatrenio en Número de autorizaciones de licencias ambientales con seguimiento </t>
  </si>
  <si>
    <t>Número de autorizaciones de licencias ambientales con seguimiento, para la vigencia LAS</t>
  </si>
  <si>
    <t>Meta de autorizaciones de licencias ambientales con seguimiento, para la vigencia MLAS</t>
  </si>
  <si>
    <t>Número de autorizaciones de concesión de aguas con seguimiento, para la vigencia CAS</t>
  </si>
  <si>
    <t>Meta de autorizaciones de concesión de aguas con seguimiento, para la vigencia MCAS</t>
  </si>
  <si>
    <t>Número de autorizaciones de permisos de aprovechamiento forestal  con seguimiento, para la vigencia PAFS</t>
  </si>
  <si>
    <t>Meta de autorizaciones de permisos de aprovechamiento forestal con seguimiento, para la vigencia MPAFS</t>
  </si>
  <si>
    <t>Número de autorizaciones de permisos de vertimientos con seguimiento, para la vigencia PVS</t>
  </si>
  <si>
    <t>Meta de autorizaciones de permisos de vertimientos con seguimiento, para la vigencia MPVS</t>
  </si>
  <si>
    <t>Meta de autorizaciones de permisos de emisiones atmosféricas con seguimiento, para la vigencia MPEA</t>
  </si>
  <si>
    <t xml:space="preserve">Meta del cuatrenio en Número de autorizaciones de concesión de aguas con seguimiento </t>
  </si>
  <si>
    <t>Meta del cuatrenio en Número de autorizaciones de permisos de aprovechamiento forestal  con seguimiento</t>
  </si>
  <si>
    <t>Meta del cuatrenio en Número de autorizaciones de permisos de vertimientos con seguimiento</t>
  </si>
  <si>
    <t>Meta del cuatrenio en Número de autorizaciones de permisos de emisiones atmosféricas con seguimiento</t>
  </si>
  <si>
    <t xml:space="preserve">Meta del cuatrenio en el Número de Programas de Uso Eficiente y Ahorro del Agua con seguimiento </t>
  </si>
  <si>
    <t>Número de Programas de Uso Eficiente y Ahorro del Agua con seguimiento, para la vigencia PUEAACS</t>
  </si>
  <si>
    <t>Meta de Programas de Uso Eficiente y Ahorro del Agua con seguimiento, para la vigencia MPUEAACS</t>
  </si>
  <si>
    <t>Meta del cuatrenio en el Número de Planes de Saneamiento y Manejo de Vertimientos con seguimiento PSMVCS</t>
  </si>
  <si>
    <t>Número de Planes de Saneamiento y Manejo de Vertimientos con seguimiento, para la vigencia PSMVCS</t>
  </si>
  <si>
    <t>Meta de Planes de Saneamiento y Manejo de Vertimientos con seguimiento, para la vigencia MPSMVCS</t>
  </si>
  <si>
    <t>Número de Planes de Gestión Integral de Residuos Sólidos con seguimiento a las metas de aprovechamiento, para la vigencia PGIRSCS</t>
  </si>
  <si>
    <t>Meta de Planes de Gestión Integral de Residuos Sólidos con seguimiento a las metas de aprovechamiento, para la vigencia MPGIRSCS</t>
  </si>
  <si>
    <t>Meta del cuatrenio en el Número de Planes de Gestión Integral de Residuos Sólidos con seguimiento a las metas de aprovechamiento</t>
  </si>
  <si>
    <t>Número de registros esperados reportados en el año al subsistema SNIF del SIAC (RES SNIF)</t>
  </si>
  <si>
    <t>Municipios asesorados o asistidos en la inclusión del componente ambiental en los procesos de planificación y ordenamiento territorial, con énfasis en la incorporación de las determinantes ambientales para la revisión y ajuste de los POT (MAPOT)</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</si>
  <si>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</si>
  <si>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 xml:space="preserve">Meta del cuatrenio en el Número de áreas protegidas con planes de manejo en ejecución </t>
  </si>
  <si>
    <t>Número de áreas protegidas con planes de manejo en ejecución, para la vigencia (APME)</t>
  </si>
  <si>
    <t xml:space="preserve">Meta del cuatrenio en el Número de especies amenazadas con medidas de conservación y manejo en ejecución </t>
  </si>
  <si>
    <t>Meta del cuatrenio en el Número de especies invasoras con medidas de prevención, control y manejo en ejecución</t>
  </si>
  <si>
    <t>Meta del cuatrenio en Superficie de áreas en restauración, rehabilitación y recuperación (ha)</t>
  </si>
  <si>
    <t xml:space="preserve">Meta del cuatrenio en Superficie de suelos degradados en recuperación o rehabilitación (ha) </t>
  </si>
  <si>
    <t>Superficie de áreas en restauración, rehabilitación y recuperación (ha), en la vigencia AERRR</t>
  </si>
  <si>
    <t>Meta de áreas en restauración, rehabilitación y recuperación (ha), en la vigencia MAERRR</t>
  </si>
  <si>
    <t>Superficie de suelos degradados en recuperación o rehabilitación (ha), en la vigencia SER</t>
  </si>
  <si>
    <t>Meta de suelos degradados en recuperación o rehabilitación (ha), en la vigencia MSER</t>
  </si>
  <si>
    <t>Meta del cuatrenio en Sectores acompañados en la reconversión hacia sistemas sostenibles de producción</t>
  </si>
  <si>
    <t>PAP=a+c</t>
  </si>
  <si>
    <t>PAP=b=0</t>
  </si>
  <si>
    <t>PAP=d=0</t>
  </si>
  <si>
    <t xml:space="preserve">MARQUE CON UNA X, O SELECCIONE LA OPCIÓN DE RESPUESTA QUE APLIQUE PARA LA CORPORACIÓN </t>
  </si>
  <si>
    <r>
      <t xml:space="preserve">Valor de desempeño en el área   </t>
    </r>
    <r>
      <rPr>
        <b/>
        <sz val="9"/>
        <color theme="1"/>
        <rFont val="Calibri"/>
        <family val="2"/>
        <scheme val="minor"/>
      </rPr>
      <t>PLAN ANTICORRUPCIÓN</t>
    </r>
    <r>
      <rPr>
        <sz val="9"/>
        <color theme="1"/>
        <rFont val="Calibri"/>
        <family val="2"/>
        <scheme val="minor"/>
      </rPr>
      <t xml:space="preserve">  </t>
    </r>
    <r>
      <rPr>
        <b/>
        <sz val="9"/>
        <color theme="1"/>
        <rFont val="Calibri"/>
        <family val="2"/>
        <scheme val="minor"/>
      </rPr>
      <t xml:space="preserve">PA </t>
    </r>
  </si>
  <si>
    <t xml:space="preserve">• La información reportada en el área de desempeño Plan Anticorrupción, se trabajó con apoyo de la Secretaría de Transparencia de la presidencia de la República.
•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</si>
  <si>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 Si</t>
  </si>
  <si>
    <t>Construcción</t>
  </si>
  <si>
    <t>Revisión</t>
  </si>
  <si>
    <t>Pregunta única respuesta</t>
  </si>
  <si>
    <t xml:space="preserve">VALOR DE LA PREGUNTA </t>
  </si>
  <si>
    <t xml:space="preserve"> De 1 a 3 veces en el año</t>
  </si>
  <si>
    <t>Porcentaje</t>
  </si>
  <si>
    <t>La entidad ha adelanto acciones, iniciativas o ejercicios de colaboración con terceros usando medios
electrónicos para solucionar un problema de la Entidad</t>
  </si>
  <si>
    <t>Única respuesta</t>
  </si>
  <si>
    <t>((a+b+c+d)/4)*100                                                        si selecciona e o f =0</t>
  </si>
  <si>
    <t>Casi siempre</t>
  </si>
  <si>
    <t xml:space="preserve">Nunca </t>
  </si>
  <si>
    <t>Siempre</t>
  </si>
  <si>
    <t>Alta</t>
  </si>
  <si>
    <t>Media</t>
  </si>
  <si>
    <t>Baja</t>
  </si>
  <si>
    <t>Casi nunca</t>
  </si>
  <si>
    <t>A veces</t>
  </si>
  <si>
    <t>((f+g+h+i+j+k+l+m+n+o+p+q)/12)*100                      si selecciona r=0</t>
  </si>
  <si>
    <t>SUBCOMPONENTE EFICIENCIA ADMINISTRATIVA, ÁREA DE DESEMPEÑO SISTEMA DE GESTIÓN DE CALIDAD (ISO 9001: 2008)</t>
  </si>
  <si>
    <t>si selecciona e=100%</t>
  </si>
  <si>
    <t>si selecciona f=50%</t>
  </si>
  <si>
    <t>si selecciona g=0</t>
  </si>
  <si>
    <t>Elaboró el soporte documental en aspectos como: manuales, instructivos, formatos, procedimientos u otros necesarios para el sistema</t>
  </si>
  <si>
    <t>Valor de desempeño en usuario, ciudadano o cliente  UCC</t>
  </si>
  <si>
    <t>La información que sobre los productos o servicios suministran los grupos de valor</t>
  </si>
  <si>
    <t>Número de páramos previamente delimitados por el MADS en la jurisdicción de la CAR, a los cuales la CAR les expide el Acto Administrativo de zonificación y régimen de usos, en el tiempo T (PZRU)</t>
  </si>
  <si>
    <t>Porcentaje de avance de la meta anual en la formulación de PMM (PAPMM)</t>
  </si>
  <si>
    <t xml:space="preserve">Número de redes y estaciones en operación dentro de la jurisdicción de la CAR (NERO) </t>
  </si>
  <si>
    <t xml:space="preserve">Número de redes y estaciones instaladas en la jurisdicción de la CAR (NERI) </t>
  </si>
  <si>
    <t>Meta establecida en el Plan de Acción para otorgamiento de Licencias ambientales (Número de días)</t>
  </si>
  <si>
    <t>Meta anual establecida en el Plan de Acción para otorgamiento de permiso de vertimientos (Número de días)</t>
  </si>
  <si>
    <t>Meta anual establecida en el Plan de Acción para otorgamiento de Concesión de aguas (Número de días)</t>
  </si>
  <si>
    <t>Meta anual establecida en el Plan de Acción para otorgamiento de permiso de aprovechamiento forestal. (Número de días)</t>
  </si>
  <si>
    <t>Meta anual establecida en el Plan de Acción para otorgamiento de permiso de emisión atmosférica. (Número de días)</t>
  </si>
  <si>
    <t>Número de autorizaciones de permisos de emisiones atmosféricas con seguimiento, para la vigencia EA</t>
  </si>
  <si>
    <t>CDAAI=(ICHLIDC*0,14)+(AEP*0,24)+(AISCD*0,24)+(AIW*0,24)+(IPDSWDGP*0.24)+(AUEISIE*0,14)</t>
  </si>
  <si>
    <t>ACC=a+b+c+d</t>
  </si>
  <si>
    <t>TA=(ESTAIP*0,20)+(ALIMOE*0,30)+(AIBSEEDME*0,20)+(RCDA*0,15)+(PDACDE*0,15)</t>
  </si>
  <si>
    <t>LMSIP=(IPTDP*0.25)+(DPSI*0,2)*(DPTD*0.15)+(IPSI*0.15)+(EDSP*0.25)</t>
  </si>
  <si>
    <t xml:space="preserve">IRAI=a+b+c+d
IRAI=e=0
</t>
  </si>
  <si>
    <r>
      <rPr>
        <b/>
        <sz val="9"/>
        <color theme="1"/>
        <rFont val="Calibri"/>
        <family val="2"/>
        <scheme val="minor"/>
      </rPr>
      <t>TYAI=</t>
    </r>
    <r>
      <rPr>
        <sz val="9"/>
        <color theme="1"/>
        <rFont val="Calibri"/>
        <family val="2"/>
        <scheme val="minor"/>
      </rPr>
      <t>(TP*0.16)+(TA*0.16)+(DMAIP*0.16)+(LMSIP*0.12)+(IPAI*0.12)+(IGI*0.16)+(CDAAI*0.12)</t>
    </r>
  </si>
  <si>
    <t>((al+am+an+ao+ap+aq)/6)*100                     si selecciona ar o as=0</t>
  </si>
  <si>
    <t>((a+b+c+d+e+f+g+h+i+j+k+l)/12)*100            
Si selecciona m o n =0</t>
  </si>
  <si>
    <t>((a+b+c+d+e+f+g+h+i+j)/10)*100   
Si selecciona k o l =0</t>
  </si>
  <si>
    <t>((o+p+q)/3)*100                                                            Si selecciona r=0</t>
  </si>
  <si>
    <t>((a+b+c+d+e+f+g+h+i+j)/10)*100                   
Si selecciona k o l =0</t>
  </si>
  <si>
    <t xml:space="preserve">((o+p+q+r+s+t+u+v+w)/9)*100                          
Si selecciona  x o y =0 </t>
  </si>
  <si>
    <t>((ab+ac+ad+ae)/4)*100                                               Si selecciona af o ag =0</t>
  </si>
  <si>
    <t>((g+h+i+j+k)/5)*100                                          
Si selecciona  l=0</t>
  </si>
  <si>
    <t>((ad+ae+af+ag)/4)*100                                    
Si selecciona ah o ai =0</t>
  </si>
  <si>
    <t>((m+n+o+p+q+r+s+t+u+v+w+x+y)/13)*100     
Si selecciona z o aa=0</t>
  </si>
  <si>
    <t>((ah+ai+aj+ak+al+am)/6)*100                                    Si selecciona  an o ao=0</t>
  </si>
  <si>
    <t>((ap+aq+ar+as+at)/5)*100
Si selecciona  au o av=0</t>
  </si>
  <si>
    <t>• La información reportada en el área de gestión servicio al ciudadano, es tomada del departamento de servicio al ciudadano de DNP. Fuente; FURAG versión 2016 de DAFP.
* Como información adicional, para aclaración de dudas respecto a la temática de ejercicios de innovación abierta y  datos abiertos; se presentan los siguientes vínculos de consulta de las guías de TIC de Gobierno abierto.</t>
  </si>
  <si>
    <t>Si selecciona c=100%</t>
  </si>
  <si>
    <t>Si selecciona d=0</t>
  </si>
  <si>
    <t>Si selecciona e=100%</t>
  </si>
  <si>
    <t>Si selecciona f=0</t>
  </si>
  <si>
    <t>PE= ∑g+h….aa                           Si selecciona ab=0</t>
  </si>
  <si>
    <t>PONDERACIÓN DE LA PREGUNTA RESPECTO AL INDICADOR</t>
  </si>
  <si>
    <t>PE= ∑ak+al+am                           Si selecciona aj=0</t>
  </si>
  <si>
    <t>Ponderado de la pregunta</t>
  </si>
  <si>
    <t>PE= ∑ac+ad…ah                           Si selecciona ai=0</t>
  </si>
  <si>
    <t>PE= ∑ao+ap…ar                           Si selecciona an=0</t>
  </si>
  <si>
    <t>PE= ∑at+au…ax                           Si selecciona as=0</t>
  </si>
  <si>
    <t>Si selecciona ag=0</t>
  </si>
  <si>
    <t>Si selecciona ah=-100%</t>
  </si>
  <si>
    <t>Si selecciona ai=-100%</t>
  </si>
  <si>
    <t xml:space="preserve">D= ∑a+b+c….ac </t>
  </si>
  <si>
    <t xml:space="preserve">D= ∑ad+ae+af </t>
  </si>
  <si>
    <t>D= ∑ak+al…ap                           Si selecciona aj=0</t>
  </si>
  <si>
    <t>D= ∑au+av…ay                                  Si selecciona at=0</t>
  </si>
  <si>
    <t>D= ∑aq+as                                  Si selecciona ar=0</t>
  </si>
  <si>
    <t>Informativo</t>
  </si>
  <si>
    <t>Si selecciona bc=0</t>
  </si>
  <si>
    <t>Si selecciona bd=20</t>
  </si>
  <si>
    <t>Si selecciona be=50</t>
  </si>
  <si>
    <t>Si selecciona bf=80</t>
  </si>
  <si>
    <t>Si selecciona bg=100</t>
  </si>
  <si>
    <t>Si selecciona bh=0</t>
  </si>
  <si>
    <t>Si selecciona bi=20</t>
  </si>
  <si>
    <t>Si selecciona bj=50</t>
  </si>
  <si>
    <t>Si selecciona bk=80</t>
  </si>
  <si>
    <t>Si selecciona bl=100</t>
  </si>
  <si>
    <t>Si selecciona bm=100</t>
  </si>
  <si>
    <t>Si selecciona bo=100</t>
  </si>
  <si>
    <t>Si selecciona bp=0</t>
  </si>
  <si>
    <t>Si selecciona bq=0</t>
  </si>
  <si>
    <t>Si selecciona br=10</t>
  </si>
  <si>
    <t>Si selecciona bs=100</t>
  </si>
  <si>
    <t>Si selecciona bt=0</t>
  </si>
  <si>
    <t>Si selecciona bu=10</t>
  </si>
  <si>
    <t>Si selecciona bv=100</t>
  </si>
  <si>
    <t>D= ∑bx+by…cb                                  Si selecciona bw=0</t>
  </si>
  <si>
    <t>Si selecciona cd=0</t>
  </si>
  <si>
    <t>Si selecciona ce=100</t>
  </si>
  <si>
    <t>Si selecciona cf=0</t>
  </si>
  <si>
    <t>D= ∑ch+ci…ck                                  Si selecciona cg=0</t>
  </si>
  <si>
    <t>D= ∑cm+cn…cu                                  Si selecciona cl=0</t>
  </si>
  <si>
    <r>
      <t xml:space="preserve">Valor de desempeño en Documental  </t>
    </r>
    <r>
      <rPr>
        <b/>
        <sz val="11"/>
        <rFont val="Calibri"/>
        <family val="2"/>
        <scheme val="minor"/>
      </rPr>
      <t>D</t>
    </r>
  </si>
  <si>
    <t>D= ∑cw+cx…da                                  Si selecciona cv=0</t>
  </si>
  <si>
    <t>Si selecciona g=100</t>
  </si>
  <si>
    <t>Si selecciona e=100</t>
  </si>
  <si>
    <t>Si selecciona c=100</t>
  </si>
  <si>
    <t>Si selecciona a=100</t>
  </si>
  <si>
    <t>C= ∑c+d..f                                  Si selecciona g o h=0</t>
  </si>
  <si>
    <t>C= ∑i+j…n                                  Si selecciona  o=0</t>
  </si>
  <si>
    <t>Si selecciona p=100</t>
  </si>
  <si>
    <t>Si selecciona q=0</t>
  </si>
  <si>
    <r>
      <t>Valor de desempeño en interoperabilidad</t>
    </r>
    <r>
      <rPr>
        <b/>
        <sz val="11"/>
        <color theme="1"/>
        <rFont val="Calibri"/>
        <family val="2"/>
        <scheme val="minor"/>
      </rPr>
      <t xml:space="preserve"> </t>
    </r>
    <r>
      <rPr>
        <sz val="11"/>
        <color theme="1"/>
        <rFont val="Calibri"/>
        <family val="2"/>
        <scheme val="minor"/>
      </rPr>
      <t>I</t>
    </r>
  </si>
  <si>
    <t>Realizó seguimiento</t>
  </si>
  <si>
    <t>si selecciona ao=100%</t>
  </si>
  <si>
    <t>si selecciona ap=75%</t>
  </si>
  <si>
    <t>si selecciona ar=25%</t>
  </si>
  <si>
    <t xml:space="preserve">si selecciona as=0% </t>
  </si>
  <si>
    <t>BCTHSIGEP=(PERH*0,25+DSC*0,25+DSE*0,25+SIGEP*0,25)</t>
  </si>
  <si>
    <t>MARQUE CON UNA X, INDIQUE EL NÚMERO SEGÚN CORRESPONDA O LA LISTA DE DESPLEGABLE</t>
  </si>
  <si>
    <t>1.Ha logrado establecer los requisitos del usuario frente a los productos y/o servicios</t>
  </si>
  <si>
    <t>2.Ha documentado dichos requisitos dentro del Sistema de Gestión de Calidad.</t>
  </si>
  <si>
    <t>3.No se ha utilizado la información para establecer los requisitos del usuario</t>
  </si>
  <si>
    <t>Única respuesta (lista desplegable)</t>
  </si>
  <si>
    <t>En una escala de 0 a 100, indique el porcentaje de satisfacción de los usuarios frente a todos los trámites y/u otros procedimientos administrativos prestados por la Entidad a través de:</t>
  </si>
  <si>
    <t>1.Trabajó de forma coordinada con el líder de la Oficina de Control Interno o quien hace sus veces</t>
  </si>
  <si>
    <t>2.Trabajó de forma independiente y separada de las auditorías realizadas por parte de la Oficina de Control Interno</t>
  </si>
  <si>
    <t>3.No definió Programa Anual de Auditorías</t>
  </si>
  <si>
    <t>1.Se ejecutó de acuerdo a lo previsto y se logró una ejecución entre 100% y 90% de lo planeado</t>
  </si>
  <si>
    <t>2.No se ejecutó en su totalidad pero se avanzó en ello, entre un 60% y 89% de lo planeado</t>
  </si>
  <si>
    <t>3.La ejecución fue inferior al 60% de lo planeado</t>
  </si>
  <si>
    <t>Lo publicó en página web (Link en casilla de observaciones)</t>
  </si>
  <si>
    <t>MARQUE CON UNA X LA OPCIÓN DE RESPUESTA QUE APLIQUE PARA LA CORPORACIÓN O  LISTA DESPLEGABLE</t>
  </si>
  <si>
    <t>C= ∑r+s+t</t>
  </si>
  <si>
    <t>D= ∑az+ba                                 Si selecciona bb=0</t>
  </si>
  <si>
    <t>Si selecciona bn=0</t>
  </si>
  <si>
    <t xml:space="preserve">Si selecciona c= 100 </t>
  </si>
  <si>
    <t xml:space="preserve">Si selecciona e= 100 </t>
  </si>
  <si>
    <t>RT=(S*0,33)+(A*0,33)+(I*0,34)</t>
  </si>
  <si>
    <t>(a+b+c/3)*100                                                               si selecciona d=100%                                                   si selecciona e=0</t>
  </si>
  <si>
    <t>((f+g+h+i+j+k+l+m+n+o+p+q)/12)*100                                                                                                                                       si selecciona r=0</t>
  </si>
  <si>
    <t>a) El número de los objetivos definidos en el Plan Estratégico de Ti que fueron alcanzados. RC3.1</t>
  </si>
  <si>
    <r>
      <t xml:space="preserve">Valor de desempeño en el subcomponente </t>
    </r>
    <r>
      <rPr>
        <b/>
        <sz val="10"/>
        <color theme="1"/>
        <rFont val="Calibri"/>
        <family val="2"/>
        <scheme val="minor"/>
      </rPr>
      <t>EJECUCIÓN GLOBAL DEL PRESUPUESTO EGP</t>
    </r>
  </si>
  <si>
    <t>INFORMACIÓN PARA DILIGENCIAR POR LA CORPORACIÓN (EN MILES $)</t>
  </si>
  <si>
    <t>Ejecución total del presupuesto de Ingresos (Recaudo) EGPI</t>
  </si>
  <si>
    <t>Ejecución total del presupuesto de Gastos (Comprometidos) ETPG</t>
  </si>
  <si>
    <t>Ejecución total presupuesto de Gastos (Obligaciones) ETPG</t>
  </si>
  <si>
    <t>Porcentaje de recaudo de recursos propios. PRRP</t>
  </si>
  <si>
    <t>Porcentaje de la Inversión sobre el total del presupuesto. PITP</t>
  </si>
  <si>
    <t>Ejecución total presupuesto de Inversión (Comprometidos). EPIC</t>
  </si>
  <si>
    <t>Ejecución total presupuesto de Inversión (Obligaciones). EPIO</t>
  </si>
  <si>
    <t>Entre mayor sea el nivel de variación con los pliegos, menor será el desempeño. 
0 - 0,1 = 100%
Entre el 0,11 y el 0,25=60%
Entre el 0,26 y el 0,5= 20%
Mayor del 0,51=0%</t>
  </si>
  <si>
    <t>Entre mayor sea el nivel de contratos adjudicados sin competencia, menor será el desempeño. 
0 - 0,1 = 100%
0,11 - 0,30= 70%
0,31 - 0,60= 40%
Mayor del 0,60= 0</t>
  </si>
  <si>
    <t>Promedio indicadores de proceso TIC para Gobierno abierto.PC1</t>
  </si>
  <si>
    <t>Transparencia.L1</t>
  </si>
  <si>
    <t>Porcentaje de información obligatoria, publicada en línea. L1.1</t>
  </si>
  <si>
    <t>Sitio web oficial de la entidad accesible y usable. L1.2</t>
  </si>
  <si>
    <t xml:space="preserve">Ejercicios de rendición de cuentas soportados en medios electrónicos L.13
</t>
  </si>
  <si>
    <t>Conjuntos de datos abiertos publicados, actualizados y difundidos L1.4</t>
  </si>
  <si>
    <t xml:space="preserve"> Monitoreo de conjuntos de datos abiertos L1.5</t>
  </si>
  <si>
    <t xml:space="preserve">Colaboración L2
</t>
  </si>
  <si>
    <t>Ejercicios de innovación abierta realizados L2.1</t>
  </si>
  <si>
    <t xml:space="preserve">Participación L3
</t>
  </si>
  <si>
    <t xml:space="preserve"> Uso de medios electrónicos en la formulación participativa de los planes de acción  L3.1</t>
  </si>
  <si>
    <t>Promedio indicadores de resultado TIC para Servicios. RC1</t>
  </si>
  <si>
    <t xml:space="preserve"> Porcentaje de conjuntos de datos abiertos estratégicos publicados RC1.1</t>
  </si>
  <si>
    <t>Número de aplicaciones o de publicaciones generadas a partir de datos abiertos RC1.2</t>
  </si>
  <si>
    <t xml:space="preserve"> Número de soluciones implementadas a colaboracion que hacen uso de medios electrónicos RC1.3</t>
  </si>
  <si>
    <t xml:space="preserve">Porcentaje de ejercicios de consulta o toma de decisiones  en los que se hizo uso de medios electrónicos RC 1.4
</t>
  </si>
  <si>
    <t>Promedio indicadores de proceso TIC para Servicios PC2</t>
  </si>
  <si>
    <t>Servicios centrados en el usuario L4</t>
  </si>
  <si>
    <t xml:space="preserve"> Porcentaje de trámites y servicios en línea que cuentan con caracterización de los usuarios L4.1</t>
  </si>
  <si>
    <t>Porcentaje de trámites y servicios en línea que cumplen los criterios de accesibilidad L4.2</t>
  </si>
  <si>
    <t>Porcentaje de trámites y servicios en línea  que cumplen los criterios de usabilidad L4.3</t>
  </si>
  <si>
    <t>Porcentaje de trámites y servicios en línea que fueron promocionados L4.4</t>
  </si>
  <si>
    <t>Sistema integrado de PQRD L5</t>
  </si>
  <si>
    <t>Cuenta con un sistema web para la recepción, trámite y respuesta de PQRD. L5.1</t>
  </si>
  <si>
    <t>Cuenta con un sistema móvil para la recepción, trámite y respuesta de PQRD. L5.2</t>
  </si>
  <si>
    <t>Cuenta con un sistema integrado  de PQRD. L5.3</t>
  </si>
  <si>
    <t>Porcentaje de certificaciones y constancias disponibles en línea. L6.1</t>
  </si>
  <si>
    <t>Porcentaje de trámites y servicios disponibles en línea. L6.2</t>
  </si>
  <si>
    <t>Porcentaje de trámites y servicios en línea integrados a alguna ventanilla única. L6.3</t>
  </si>
  <si>
    <t>Trámites y servicios en línea L6</t>
  </si>
  <si>
    <t>Promedio indicadores de resultado TIC para Servicios. RC2</t>
  </si>
  <si>
    <t>Satisfacción con los trámites y servicios en línea. RC2.1</t>
  </si>
  <si>
    <t>Porcentaje de transacciones en línea RC2.2</t>
  </si>
  <si>
    <t>Promedio Indicadores de proceso TIC para la Gestión PC3</t>
  </si>
  <si>
    <t>Estrategia de TI. L7</t>
  </si>
  <si>
    <t>Gobierno de TI. L8</t>
  </si>
  <si>
    <t>Información.L9</t>
  </si>
  <si>
    <t>Sistemas de Información. L10</t>
  </si>
  <si>
    <t>Servicios Tecnológicos. L11</t>
  </si>
  <si>
    <t xml:space="preserve">Cumplimiento del plan estratégico de TI.  L7.1
</t>
  </si>
  <si>
    <t>Cumplimiento con el alcance del plan estratégico. L7.2</t>
  </si>
  <si>
    <t>Cumplimiento con el monitoreo y evaluación de la estrategia de TI. L7.3</t>
  </si>
  <si>
    <t>Cumplimiento con el catálogo de servicios de TI. L7.4</t>
  </si>
  <si>
    <t xml:space="preserve">Cumplimiento con el esquema de gobierno de TI. L8.1
</t>
  </si>
  <si>
    <t xml:space="preserve">Cumplimiento con la optimización de  compras públicas  de TI.  L8.2
</t>
  </si>
  <si>
    <t>Cumplimiento en la aplicación de buenas prácticas para la gerencia de proyectos TI. L8.3</t>
  </si>
  <si>
    <t>Cumplimiento con la transferencia de conocimiento por parte de proveedores. L8.4</t>
  </si>
  <si>
    <t xml:space="preserve"> Cumplimiento de gestión de componentes de información. L9.1
</t>
  </si>
  <si>
    <t xml:space="preserve">Plataforma de Interoperabilidad. L9.2
</t>
  </si>
  <si>
    <t>Mecanismos  de aseguramiento, control, inspección y             mejoramiento de la calidad de los componentes de información. L9.3</t>
  </si>
  <si>
    <t>Cumplimiento con la gestión derechos de autor. L10.1</t>
  </si>
  <si>
    <t xml:space="preserve">Cumplimiento con las recomendaciones de estilo y Usabilidad. L10.2
</t>
  </si>
  <si>
    <t>Cumplimiento de los sistemas de información con la apertura de datos. L10.3</t>
  </si>
  <si>
    <t xml:space="preserve">Cumplimiento con el ciclo de vida de los sistemas de información. L10.4
</t>
  </si>
  <si>
    <t>Cumplimiento con el seguimiento a etapas del ciclo de vida. L10.5</t>
  </si>
  <si>
    <t>Auditoría, seguridad, privacidad y trazabilidad de los sistemas de información. L10.6</t>
  </si>
  <si>
    <t xml:space="preserve">Cumplimiento con la arquitectura de servicios. L11.1 
</t>
  </si>
  <si>
    <t xml:space="preserve">Cumplimiento con el programa de disposición final de residuos tecnológicos. L11.3
</t>
  </si>
  <si>
    <t>Cumplimiento con mecanismos de monitoreo de los servicios tecnológicos. L11.4</t>
  </si>
  <si>
    <t>Cumplimiento con el soporte y mantenimiento de los servicios tecnológicos. L11.5</t>
  </si>
  <si>
    <t>Cumplimiento con la gestión de la calidad y seguridad de servicios tecnológicos . L11.6</t>
  </si>
  <si>
    <t xml:space="preserve">Cumplimiento de la estrategia de uso y apropiación . L12.1
</t>
  </si>
  <si>
    <t>Cumplimiento con la iniciativa de uso eficiente del papel. L13.1</t>
  </si>
  <si>
    <t>Cumplimiento con la gestión de documentos electrónicos. L13.2</t>
  </si>
  <si>
    <t>Cumplimiento con la automatización de procesos y procedimientos internos. L13.3</t>
  </si>
  <si>
    <t>Promedio indicadores de resultado TIC para la Gestión RC3</t>
  </si>
  <si>
    <t>b) El número de objetivos que definió la entidad en el Plan Estratégico de TI. RC3.1</t>
  </si>
  <si>
    <t>c)El número de servicios de información dispuestos en la plataforma de interoperabilidad del Estado colombiano. RC3.2</t>
  </si>
  <si>
    <t>d) El número total de servicios de información a entidades externas relacionados e identificados en el catalogo de servicios de información de la entidad. RC3.2</t>
  </si>
  <si>
    <t>e) Número de sistemas de información que incorporan mecanismos de auditoria y trazabilidad.RC3.3</t>
  </si>
  <si>
    <t>f) Número total de sistemas de información que posee la entidad . RC3.3</t>
  </si>
  <si>
    <t>g) Número de mantenimientos preventivos realizados a los servicios tecnologicos. RC3.4</t>
  </si>
  <si>
    <t>i) Numero de proyectos de TI a los cuales se les ha realizado una estrategia de uso y apropiación. RC3.5</t>
  </si>
  <si>
    <t>h) Número de mantenimientos preventivos establecidos en el plan de mantenimiento de servicios tecnológicos. RC3.4</t>
  </si>
  <si>
    <t>j) El número de proyectos de TI ejecutados durante la vigencia. RC3.5</t>
  </si>
  <si>
    <t>¿La entidad ha desarrollado capacidades de gestión de TI que generen mayor eficiencia en la prestación del servicio al usuario (interno o externo)? RC3.6</t>
  </si>
  <si>
    <t>Promedio indicadores de proceso Seguridad y Privacidad de la Información PC4</t>
  </si>
  <si>
    <t>Definición del marco de seguridad y privacidad de la información y de los sistemas de información. L14</t>
  </si>
  <si>
    <t>Diagnostico Seguridad y Privacidad de la Información. L14.1</t>
  </si>
  <si>
    <t>La entidad establece y documenta las  políticas del MSPI.L14.2</t>
  </si>
  <si>
    <t>La entidad establece procedimientos, roles y responsabilidades dentro del MSPI. L14.3</t>
  </si>
  <si>
    <t>La entidad realiza el inventario de activos de información. L14.4</t>
  </si>
  <si>
    <t>La entidad gestiona los riesgos de seguridad y privacidad de la información. L14.5</t>
  </si>
  <si>
    <t>La entidad genera planes de comunicación, sensibilización y capacitación en seguridad de la información. L14.6</t>
  </si>
  <si>
    <t>Implementación del plan de seguridad y privacidad de la información y de los sistemas de información. L15</t>
  </si>
  <si>
    <t>La entidad implementa el plan de tratamiento de riesgos de seguridad y privacidad de la información. L15.2</t>
  </si>
  <si>
    <t>Se divulga y capacita a los funcionarios sobre las temáticas del modelo de gestión de seguridad de la información establecido para la entidad. L15.3</t>
  </si>
  <si>
    <t>Monitoreo y mejoramiento continuo. L16</t>
  </si>
  <si>
    <t>La entidad cuenta con actividades para el seguimiento, medición, análisis y evaluación del desempeño de la seguridad y privacidad con el fin de generar los ajustes o cambios pertinentes y oportunos. L16.1</t>
  </si>
  <si>
    <t>La entidad revisa e implementa acciones de mejora continua que garanticen el cumplimiento del plan de seguridad y privacidad de la Información. L16.2</t>
  </si>
  <si>
    <t>Promedio indicadores de resultado Seguridad y Privacidad de la Información. RC4</t>
  </si>
  <si>
    <t>Identificación de activos críticos de información R4.1</t>
  </si>
  <si>
    <t>Gestión vulnerabilidades R4.2</t>
  </si>
  <si>
    <t>Remediación  R4.3</t>
  </si>
  <si>
    <t>COMPONENTE  GOBIERNO ABIERTO. C1</t>
  </si>
  <si>
    <r>
      <t xml:space="preserve">(Num.  de criterios de accesibilidad </t>
    </r>
    <r>
      <rPr>
        <sz val="9"/>
        <color theme="1"/>
        <rFont val="Calibri"/>
        <family val="2"/>
      </rPr>
      <t>Ʃ</t>
    </r>
    <r>
      <rPr>
        <sz val="9"/>
        <color theme="1"/>
        <rFont val="Calibri"/>
        <family val="2"/>
        <scheme val="minor"/>
      </rPr>
      <t>bk+bl+...ce )/20)*50</t>
    </r>
  </si>
  <si>
    <t xml:space="preserve">PIPTICGAT=( Num.de temáticas de información publicadas en línea a+b+...bj)/(Total de temáticas de información a publicar en línea a+b+...bj)*100 </t>
  </si>
  <si>
    <t>La Entidad publicó en su sitio web oficial, en la sección de Transparencia y acceso a información pública. PIPTICGAT</t>
  </si>
  <si>
    <t xml:space="preserve">  dg/df  &gt;= 50% = 100      De lo contrario  0</t>
  </si>
  <si>
    <t xml:space="preserve">
  dh/dg  &gt;50% = 100%    De lo contrario 0
</t>
  </si>
  <si>
    <t>Si responde di = 100%</t>
  </si>
  <si>
    <t>Si responde dj= 0</t>
  </si>
  <si>
    <t>Si responde a= 100%</t>
  </si>
  <si>
    <t>Si responde b= 0</t>
  </si>
  <si>
    <r>
      <t>b)</t>
    </r>
    <r>
      <rPr>
        <sz val="9"/>
        <color theme="1"/>
        <rFont val="Times New Roman"/>
        <family val="1"/>
      </rPr>
      <t>  </t>
    </r>
    <r>
      <rPr>
        <sz val="9"/>
        <color theme="1"/>
        <rFont val="Calibri"/>
        <family val="2"/>
        <scheme val="minor"/>
      </rPr>
      <t>No</t>
    </r>
  </si>
  <si>
    <r>
      <t>a)</t>
    </r>
    <r>
      <rPr>
        <sz val="9"/>
        <color theme="1"/>
        <rFont val="Times New Roman"/>
        <family val="1"/>
      </rPr>
      <t> </t>
    </r>
    <r>
      <rPr>
        <sz val="9"/>
        <color theme="1"/>
        <rFont val="Calibri"/>
        <family val="2"/>
        <scheme val="minor"/>
      </rPr>
      <t>Si</t>
    </r>
  </si>
  <si>
    <r>
      <t>c)</t>
    </r>
    <r>
      <rPr>
        <sz val="9"/>
        <color theme="1"/>
        <rFont val="Times New Roman"/>
        <family val="1"/>
      </rPr>
      <t xml:space="preserve">    </t>
    </r>
    <r>
      <rPr>
        <sz val="9"/>
        <color theme="1"/>
        <rFont val="Calibri"/>
        <family val="2"/>
        <scheme val="minor"/>
      </rPr>
      <t>¿Cuántas aplicaciones se desarrollaron a partir de los conjuntos de datos abiertos?. PIRTICGA</t>
    </r>
  </si>
  <si>
    <r>
      <t>d)</t>
    </r>
    <r>
      <rPr>
        <sz val="9"/>
        <color theme="1"/>
        <rFont val="Times New Roman"/>
        <family val="1"/>
      </rPr>
      <t xml:space="preserve">    </t>
    </r>
    <r>
      <rPr>
        <sz val="9"/>
        <color theme="1"/>
        <rFont val="Calibri"/>
        <family val="2"/>
        <scheme val="minor"/>
      </rPr>
      <t>¿Cuántas publicaciones (papers, artículos, noticias, libros, etc) hicieron uso de los conjuntos de datos abiertos?. PIRTICGA</t>
    </r>
  </si>
  <si>
    <t>Valor numérico</t>
  </si>
  <si>
    <t xml:space="preserve"> e) ¿Cuántas soluciones provenientes de las acciones, iniciativas o ejercicios de colaboración con terceros usando medios electrónicos fueron implementadas?. PIRTICGA</t>
  </si>
  <si>
    <t xml:space="preserve">  g/f*100</t>
  </si>
  <si>
    <t>Valor de desempeño en el componente Gobierno abierto C1</t>
  </si>
  <si>
    <t>COMPONENTE TIC PARA SERVICIOS C2</t>
  </si>
  <si>
    <t>COMPONENTE TIC PARA LA GESTIÓN DE TI C3</t>
  </si>
  <si>
    <t>Valor de desempeño en el componente TIC para servicios C2</t>
  </si>
  <si>
    <t>múltiple respuesta de selección</t>
  </si>
  <si>
    <t>l) Si</t>
  </si>
  <si>
    <t>n) Si</t>
  </si>
  <si>
    <t>Valor de desempeño en el componente TIC para la gestión de TI C3</t>
  </si>
  <si>
    <t>COMPONENTE SEGURIDAD Y PRIVACIDAD DE LA INFORMACIÓN C4</t>
  </si>
  <si>
    <r>
      <t xml:space="preserve">VALOR DE DESEMPEÑO en el  Promedio indicadores de proceso Seguridad y Privacidad de la Información   </t>
    </r>
    <r>
      <rPr>
        <b/>
        <sz val="9"/>
        <color theme="1"/>
        <rFont val="Calibri"/>
        <family val="2"/>
        <scheme val="minor"/>
      </rPr>
      <t>PC4</t>
    </r>
  </si>
  <si>
    <t>Valor de desempeño en el componente Seguridad y Privacidad de la información C4</t>
  </si>
  <si>
    <t>Entre  mayor sea el nivel de contratos con modificaciones en plazo, menor será el desempeño. 
0 - 0,1 = 100%
Mayor de 0,1  y menor del 0,3= 70%
Mayor de 0,3 y menor del 0,6= 40%
Mayor del 0,6= 0%</t>
  </si>
  <si>
    <t xml:space="preserve">Entre  mayor sea el porcentaje de contratos con modificaciones en valor, menor será el desempeño. 
0 - 0,1 = 100%
Mayor de 0,1  y menor de 0,3= 70%
Mayor del 0,3 y menor del 0,6= 40%
Mayor del 0,6= 0% </t>
  </si>
  <si>
    <t xml:space="preserve">Entre  mayor sea el porcentaje de contratos con modificaciones en plazo, menor será el desempeño. 
0 - 0,1 = 100%
Mayor de 0,1  y menor de 0,3= 70%
Mayor de 0,3 y menor del 0,6= 40%
Mayor de 0,6= 0% </t>
  </si>
  <si>
    <t>Del total de otros procedimientos administrativos inscritos en el SUIT que tiene la Entidad cuántos pueden realizarse:</t>
  </si>
  <si>
    <t>e)    Quejas respondidas en línea</t>
  </si>
  <si>
    <t>h)    Denuncias recibidas en línea</t>
  </si>
  <si>
    <t>Valor de desempeño en el Área de Gestión Implementación de Gobierno en línea</t>
  </si>
  <si>
    <t>Se centralizan todas las peticiones, quejas, reclamos y denuncias, que ingresan por los diversos medios o canales</t>
  </si>
  <si>
    <t>e) Si</t>
  </si>
  <si>
    <t>f) No</t>
  </si>
  <si>
    <t xml:space="preserve">Única respuesta (lista desplegable) </t>
  </si>
  <si>
    <t>b)    Peticiones recibidas en línea</t>
  </si>
  <si>
    <t>a) Lo formuló y está actualizado de acuerdo con el marco de referencia de Arquitectura Empresarial del Estado</t>
  </si>
  <si>
    <t>b) Lo formuló y no está actualizado de acuerdo con el marco de referencia de Arquitectura Empresarial del Estado</t>
  </si>
  <si>
    <t>c) No lo tiene o está en proceso</t>
  </si>
  <si>
    <t>Si selecciona h ó i  = 50;                                                       Si selecciona h e i=70;                                                            Si selecciona  j=100;                                                                   si selecciona k=0</t>
  </si>
  <si>
    <t>Si  selecciona K=30,                                                               si selecciona l=60,                                                                 Si selecciona m =100,                                                            si selecciona n = 0</t>
  </si>
  <si>
    <t>Si Selecciona a ó b ó c= 30;                                                  Si Selecciona (a y b) ó (a y c)  ó (b y c)=70;                        Si Selecciona a, b, y c = 100;                                                Si Selecciona d= 0</t>
  </si>
  <si>
    <t>Si selecciona i=25;                                                                 Si selecciona  j =50;                                                               Si selecciona  k= 25;                                                                Si selecciona  j y k=100,                                                         si selecciona l= 30 
Si selecciona m= 0</t>
  </si>
  <si>
    <t>Si selecciona  i= 25;                                                                Si selecciona  j= 50;                                                                Si selecciona  k= 75; 
Si selecciona l= 100;                                                               Si selecciona m= 0</t>
  </si>
  <si>
    <t>Si selecciona n= 100;                                                                  Si selecciona o= 0</t>
  </si>
  <si>
    <t>Si selecciona  p= 25;                                                                Si selecciona  q= 50;                                                                      Si selecciona  r= 75; 
Si selecciona s= 100;                                                                    Si selecciona t= 0</t>
  </si>
  <si>
    <t>Si selecciona  u= 100;                                                             Si selecciona v= 50;                                                                      Si selecciona w= 0</t>
  </si>
  <si>
    <t xml:space="preserve">selecciona 3 opciones de respuesta(y,aa,ac)=100                                                                   selecciona 3 opciones de respuesta(y,z,ab)=75                                                                selecciona 3 opciones de respuesta diferente a las anteriores=50                                                                       selecciona 2 opciones de respuesta cualquier Combinación =25                                                    selecciona x=12.5                                                                                                                                         selecciona  ad=0
</t>
  </si>
  <si>
    <t>Si selecciona  ae= 100;                                                           Si selecciona af= 50;                                                               Si selecciona ag= 0</t>
  </si>
  <si>
    <t>Si selecciona  am= 100;                                                         Si selecciona an= 50;                                                               Si selecciona ao= 0</t>
  </si>
  <si>
    <t>Debilidades de Implementación en el Modelo de Seguridad y privacidad de la Información MSPI. L15.1</t>
  </si>
  <si>
    <t xml:space="preserve">1 opción de respuesta (a,b,c,d,e),excepto g=20                                                                                           2 opciones de respuesta  (Por ejemplo: a y b,etc. excepto g=40                                                                             3 opciones de respuesta (ejemplo: a,b y c,etc.), excepto g=60
4 opciones de respuesta (ejemplo: a,b,c y d,etc.) excepto g=80
5 opciones de respuesta  (a,b,c,d y e),excepto g  = 100
</t>
  </si>
  <si>
    <t>Si selecciona  o= 25;                                                           Si selecciona  p= 50; 
Si selecciona q= 100;                                                                   Si selecciona r= 0</t>
  </si>
  <si>
    <t>Si selecciona  a= 100;                                                                             Si selecciona b= 0</t>
  </si>
  <si>
    <t>Si selecciona  k= 100;                                                       Si selecciona l= 0</t>
  </si>
  <si>
    <t>Si selecciona  m= 100;                                                         Si selecciona n= 0</t>
  </si>
  <si>
    <t>Si selecciona  o= 100;                                                    Si selecciona p= 0</t>
  </si>
  <si>
    <t>Si selecciona  q= 100;                                                         Si selecciona r= 0</t>
  </si>
  <si>
    <t>Si selecciona  a= 100;                                                     Si selecciona b= 0</t>
  </si>
  <si>
    <t>Si selecciona c= 100;                                                        si selecciona d= 75;                                                           si selecciona  e= 50;                                                        sino selecciona ninguna de las anteriores  NA</t>
  </si>
  <si>
    <t xml:space="preserve">Si selecciona  a= 100;                                                            Si selecciona b= 0 </t>
  </si>
  <si>
    <t>CÁLCULO DEL INDICADOR APLICANDO INTERPRETACIÓN</t>
  </si>
  <si>
    <t xml:space="preserve">¿Existe en el sitio web oficial de la Entidad una sección identificada con el nombre de 'Transparencia y Acceso a la Información Pública? </t>
  </si>
  <si>
    <t>¿El Mapa de Riesgos de Corrupción se socializó al interior de la Entidad?</t>
  </si>
  <si>
    <t xml:space="preserve">Presupuesto detallado de la vigencia </t>
  </si>
  <si>
    <t>Para los contratos i suscritos mediante modalidad m y la totalidad de los contratos
(Valor final i- Valor Pliegos) /  Valor final i) *100</t>
  </si>
  <si>
    <t>((v+w+x+y+z)/6)*100                                     si selecciona aa=0</t>
  </si>
  <si>
    <t>Determinó el rol y las responsabilidades del  Representante de Alta Dirección</t>
  </si>
  <si>
    <t>I</t>
  </si>
  <si>
    <t>J</t>
  </si>
  <si>
    <t>K</t>
  </si>
  <si>
    <t>(Num.  de criterio de usabilidad Ʃcf+cg+...de)/24)*50</t>
  </si>
  <si>
    <t>( Num.de actividades formuladas en la estrategia de participacion ciudadana usando medios electronicos a+b+...g)/(Num.de actividades formuladas en la Estrategia de participacion ciudadana  a+b+...g)*100                                             Si responde h= 0</t>
  </si>
  <si>
    <r>
      <rPr>
        <sz val="9"/>
        <color theme="1"/>
        <rFont val="Times New Roman"/>
        <family val="1"/>
      </rPr>
      <t xml:space="preserve"> </t>
    </r>
    <r>
      <rPr>
        <sz val="9"/>
        <color theme="1"/>
        <rFont val="Calibri"/>
        <family val="2"/>
        <scheme val="minor"/>
      </rPr>
      <t>f) ¿Cuántos ejercicios, iniciativas o acciones de participación ha realizado la Entidad con la ciudadanía, usuarios o grupos de interés para la consulta o toma de decisiones?</t>
    </r>
  </si>
  <si>
    <t>g) ¿Cuántos ejercicios, iniciativas o acciones de participación ha realizado la Entidad con la ciudadanía, usuarios o grupos de interés para la consulta o toma de decisiones utilizando medios electrónicos?</t>
  </si>
  <si>
    <t xml:space="preserve">i)Totalmente en línea </t>
  </si>
  <si>
    <t>Del total de trámites inscritos en el SUIT que tiene la Entidad ¿cuántos pueden realizarse?</t>
  </si>
  <si>
    <t>Del total de otros procedimientos administrativos inscritos en el SUIT que tiene la Entidad ¿cuántos pueden realizarse?</t>
  </si>
  <si>
    <t>Si selecciona c = 100</t>
  </si>
  <si>
    <t>Si Selecciona d = 0</t>
  </si>
  <si>
    <t xml:space="preserve">Si Selecciona e= 100 </t>
  </si>
  <si>
    <t xml:space="preserve">Si Selecciona f= 0 </t>
  </si>
  <si>
    <t>a) En una escala de 0 a 100, indique el nivel de satisfacción de los usuarios frente a todos los trámites y/u otros procedimientos administrativos prestados por la Entidad a través de:</t>
  </si>
  <si>
    <t>f)     Reclamos recibidos en línea</t>
  </si>
  <si>
    <t>i)     Denuncias respondidas en línea</t>
  </si>
  <si>
    <t>d)    Quejas recibidas en línea</t>
  </si>
  <si>
    <t>c)     Peticiones respondidas en línea</t>
  </si>
  <si>
    <t>g)    Reclamos respondidos en línea</t>
  </si>
  <si>
    <t>Número de transacciónes (peticiones, quejas, reclamos y denuncias) respondidas en línea (c,e,g.i)/Número de transacciónes  (peticiones, quejas, reclamos y denuncias) recibidas en línea (b,d,f,g)</t>
  </si>
  <si>
    <t>o=100,                                                                                p =50,                                                                            q=0</t>
  </si>
  <si>
    <t>No. actividades en el esquema gobierno TI/6
Si selecciona g = 0</t>
  </si>
  <si>
    <t>l) Definición y aplicación de metodologias para medir la calidad de los componentes de información.</t>
  </si>
  <si>
    <t>((g+h+i+j+k+l/6)*100
Si selecciona m= 0</t>
  </si>
  <si>
    <t>((c+d+e+f)/4)*100
Si selecciona g= 0</t>
  </si>
  <si>
    <t>((j+k+l+m)/4)*100
Si selecciona n= 0</t>
  </si>
  <si>
    <t>Si selecciona una opción o,p,q = 30;                                            Si selecciona dos opciones o,p,q= 70; 
Si selecciona tres opciones o,p,q=100;                                        Si selecciona r= 0</t>
  </si>
  <si>
    <t>Cumplimiento con la metodología para adquisición de servicios tecnológicos. L11.2</t>
  </si>
  <si>
    <t>Si selecciona  g= 100;                                                       Si selecciona  h= 0</t>
  </si>
  <si>
    <t>c) Revisó documentos usando medios electrónicos</t>
  </si>
  <si>
    <t>d) Uso de herramientas tecnológicas de colaboración</t>
  </si>
  <si>
    <t>k) Criterios de seguridad, disponibilidad y conservación de los documentos</t>
  </si>
  <si>
    <t>j) el programa de gestión documental de la entidad</t>
  </si>
  <si>
    <t>si seleccion n=50,                                                          si selecciona o =0</t>
  </si>
  <si>
    <t>((h+i+j+k)/4*100)
Si selecciona l=100                                                        Si m= 0</t>
  </si>
  <si>
    <t>si seleccion k=100,                                                           si selecciona l =0</t>
  </si>
  <si>
    <t xml:space="preserve">¿La Entidad cuenta con un acto administrativo a través del cual se crean o se modifican las funciones del comité institucional de desarrollo administrativo o el que haga sus veces donde se incluyan los temas de seguridad y privacidad de la información? </t>
  </si>
  <si>
    <t>¿La entidad cuenta con una metodología de gestión de activos de información donde se tienen en cuenta aspectos como: Cumplimiento legal, fechas de actualización, propietarios y criticidad de los activos?</t>
  </si>
  <si>
    <t>¿La entidad cuenta con un inventario de activos de información acorde a la metodología planteada?</t>
  </si>
  <si>
    <t>¿La Entidad realiza la identificación, análisis y evaluación de los riesgos de seguridad y privacidad de la información conforme a la metodología planteada?</t>
  </si>
  <si>
    <t>El documento del plan de diagnostico y estrategia de transición de IPv4 a IPv6, se encuentra:</t>
  </si>
  <si>
    <t>¿La entidad cuenta con un plan de capacitación, sensibilización y comunicación de las políticas y buenas prácticas que mitiguen los riesgos de seguridad de la información a los que están expuestos los funcionarios?</t>
  </si>
  <si>
    <t>at) No utiliza ningún canal de comunicación para divulgar las políticas, buenas prácticas o directrices relacionadas con seguridad de la información.</t>
  </si>
  <si>
    <t>Si selecciona  d= 100;                                                      Si selecciona e = 0</t>
  </si>
  <si>
    <t>Única respuesta                    (lista desplegable)</t>
  </si>
  <si>
    <t>Única respuesta                   (lista desplegable)</t>
  </si>
  <si>
    <t>Si selecciona  ah= 25;                                                              Si selecciona  ai= 50;                                                               Si selecciona  aj= 75; 
Si selecciona ak= 100;                                                             Si selecciona al= 0</t>
  </si>
  <si>
    <t xml:space="preserve"> 3 opciones de respueta (i,k,m) = 100                                                                                                                      3 opciones de respuesta (i,j,l)= 75                                                                                                                 3 opciones de respuesta diferente a las anteriores (h,j,l) = 50                                                                           2 opciones de respuesta cualquier Combinación  = 25                                                                                                   1 opcion de respuesta = 12.5                                                                                                                               n=0</t>
  </si>
  <si>
    <t>h) Planes de auditoria para la revisión y verificación de la gestión de la seguridad y privacidad de la información al interior de la entidad.</t>
  </si>
  <si>
    <t xml:space="preserve"> selecciona  c ó d= 100;                                                     Si selecciona f= 0;                                                              Si selecciona c y d=100</t>
  </si>
  <si>
    <t xml:space="preserve"> selecciona  g  ó h= 100;                                               Si selecciona i= 100;                                                          Si selecciona j=0</t>
  </si>
  <si>
    <t>¿La entidad intercambia información de incidentes de seguridad con la entidad cabeza de sector o de ser necesario con el COLCERT?</t>
  </si>
  <si>
    <t>Al final de la vigencia año t
ETPG= Total presupuesto en estado Comprometido/Total del presupuesto de gastos)*100</t>
  </si>
  <si>
    <t>Al final de la vigencia año t
ETPG= Total presupuesto en estado Obligado/Total del presupuesto de gastos)*100</t>
  </si>
  <si>
    <t>Al final de la vigencia año t
PRRP= (Total ingresos por recursos propios recaudados /Total de ingresos presupuestados por recursos propios)*100</t>
  </si>
  <si>
    <t>Al final de la vigencia año t
PITP=(Total Presupuesto de Inversión / Total presupuesto Corporativo)*100</t>
  </si>
  <si>
    <t>Al final de la vigencia año t
EPIC=(Total presupuesto de Inversión en estado Comprometido/Total del presupuesto de gastos de Inversión)*100</t>
  </si>
  <si>
    <t>Al final de la vigencia año t
EPIO=(Total presupuesto de Inversión en estado Obligado/Total del presupuesto de gastos de Inversión)*100</t>
  </si>
  <si>
    <t>Procedimientos de atención al ciudadano documentados e implementados. PACDI</t>
  </si>
  <si>
    <t>Frecuencia de Informes de Peticiones, quejas y reclamos. FIPQR</t>
  </si>
  <si>
    <t>En el Plan Anual de Adquisiciones se incluyó la contratación para la provisión por concurso  de empleos de carrera administrativa?</t>
  </si>
  <si>
    <t>No formuló plan estratégico</t>
  </si>
  <si>
    <t>X</t>
  </si>
  <si>
    <t>http://corpoguajira.gov.co/wp/planes/plan-anticorrupcion-y-atencion-al-ciudadano/</t>
  </si>
  <si>
    <t>los viernes</t>
  </si>
  <si>
    <t>http://200.21.81.36:8080/pqrs/</t>
  </si>
  <si>
    <t>http://corpoguajira.gov.co/wp/normatividad/transparencia/</t>
  </si>
  <si>
    <t>Menú Principal, Sedes.</t>
  </si>
  <si>
    <t>oficinajuridica@corpoguajira.gov.co</t>
  </si>
  <si>
    <t>http://200.21.81.35:8080/SIGCORPOGUAJIRA/</t>
  </si>
  <si>
    <t>Link, Información, parte superior</t>
  </si>
  <si>
    <t>Menu Principal</t>
  </si>
  <si>
    <t>Pagina Principal, calendario de publicaciones</t>
  </si>
  <si>
    <t>Menu Principal, Link Nosotros, Visión, Misión</t>
  </si>
  <si>
    <t>Menu Principal, Link Nosotros, Funciones</t>
  </si>
  <si>
    <t>Menú Principal, Sistema Integrado de Gestión.</t>
  </si>
  <si>
    <t>Menú Principal, Nosotros, Organigrama</t>
  </si>
  <si>
    <t>http://corpoguajira.gov.co/wp/convocatorias/page/2/</t>
  </si>
  <si>
    <t>http://corpoguajira.gov.co/wp/planes/pomcas/</t>
  </si>
  <si>
    <t>http://corpoguajira.gov.co/wp/decretos-nacionales/</t>
  </si>
  <si>
    <t>http://corpoguajira.gov.co/wp/gaceta-ambiental/resoluciones-gaceta-ambiental/</t>
  </si>
  <si>
    <t>http://corpoguajira.gov.co/wp/presupuesto/</t>
  </si>
  <si>
    <t>http://corpoguajira.gov.co/wp/presupuesto-2016/</t>
  </si>
  <si>
    <t>http://corpoguajira.gov.co/wp/control-y-rendicion/estados-financieros/</t>
  </si>
  <si>
    <t>http://corpoguajira.gov.co/wp/planes/pgar/</t>
  </si>
  <si>
    <t>http://corpoguajira.gov.co/wp/planes/plan-de-accion/</t>
  </si>
  <si>
    <t>http://corpoguajira.gov.co/wp/planes/plan-operativo-anual-de-inversion/</t>
  </si>
  <si>
    <t>http://corpoguajira.gov.co/wp/programas-y-proyectos/2013-2015/</t>
  </si>
  <si>
    <t>http://corpoguajira.gov.co/wp/wp-content/uploads/2017/03/Informe-de-Gestion-31-Diciembre-2016..pdf</t>
  </si>
  <si>
    <t>http://corpoguajira.gov.co/wp/informes/</t>
  </si>
  <si>
    <t>http://corpoguajira.gov.co/wp/control-y-rendicion/entes-de-control/</t>
  </si>
  <si>
    <t>http://corpoguajira.gov.co/wp/informe-ejecutivos-anuales/</t>
  </si>
  <si>
    <t>http://corpoguajira.gov.co/wp/audiencia-publica-seguimiento-al-plan-accion-cuatrienal/</t>
  </si>
  <si>
    <t>http://corpoguajira.gov.co/wp/control-y-rendicion/control-interno/</t>
  </si>
  <si>
    <t>http://corpoguajira.gov.co/wp/proceso-gestion-administrativa-y-financiera/</t>
  </si>
  <si>
    <t>http://corpoguajira.gov.co/wp/planes/plan-de-compras/</t>
  </si>
  <si>
    <t>http://corpoguajira.gov.co/wp/wp-content/uploads/2017/04/INFORME-PQRSD-2016.pdf</t>
  </si>
  <si>
    <t>http://corpoguajira.gov.co/wp/wp-content/uploads/2017/02/ACUERDO-No.-002-DEL-31-DE-ENERO-DE-2017.pdf</t>
  </si>
  <si>
    <t>Davianis Paulina Acosta Davila, Asesora de Comunicaciones</t>
  </si>
  <si>
    <t>http://corpoguajira.gov.co/wp/plan-de-accion-2016-2019/</t>
  </si>
  <si>
    <t>Resolucióon 1560 25 07 2016. http://corpoguajira.gov.co/wp/resoluciones-julio-a-septiembre-2016/</t>
  </si>
  <si>
    <t>Resolución 1560 25 07 2016http://corpoguajira.gov.co/wp/resoluciones-julio-a-septiembre-2016/</t>
  </si>
  <si>
    <t>El area de sistemas manifiesta que se han realizado backup</t>
  </si>
  <si>
    <t>http://corpoguajira.gov.co/wp/correos-de-funcionarios/</t>
  </si>
  <si>
    <t>http://corpoguajira.gov.co/wp/directorio/</t>
  </si>
  <si>
    <t>http://corpoguajira.gov.co/wp/informe-de-auditorias-visibles/</t>
  </si>
  <si>
    <t>http://corpoguajira.gov.co/wp/auditorias-visibles/</t>
  </si>
  <si>
    <t>a) Si</t>
  </si>
  <si>
    <t>N.A</t>
  </si>
  <si>
    <t>No se programó meta para el año 2016</t>
  </si>
  <si>
    <t>Solo se tiene una estación en operación  las demás se deben reparar. Se tiene proyecto formulado para consecución de recursos que permitan la reparación de estas. (estaciones hidrometerologica</t>
  </si>
  <si>
    <t>Observaciones</t>
  </si>
  <si>
    <t>Los $488,500,000, so recursos FONAM</t>
  </si>
  <si>
    <t>Se incluyeron 16 estaciones de medición de calidad del aire de la cuales estan en operación 13</t>
  </si>
  <si>
    <t>Solo se opero durante tres meses. Se incluyó en proyecto que se presenó a OCAD, para conseguir recursos para financiar la operación de las estaciones del sistema de vigilancia de calidad del aire y compra de equipos de tecnologia de punta para obtener información en tiempo real igualmente se repararan 3 estaciones semi automaticas y 5 metereologicas.</t>
  </si>
  <si>
    <t>Insumos y loguistica institucional</t>
  </si>
  <si>
    <t>Se ajusto la meta a 90 dias. Se modificaron los procedimientos de los tramites ambientales y se estableció terminos para entrega de informes de evaluación.  Igualmente el pago se hará previo, y despues de este se contaran los dias de duración del tramite</t>
  </si>
  <si>
    <t>http://vital.anla.gov.co/ventanillasilpa/, http://corpoguajira.gov.co/wp/encuestas-de-satisfaccion/, https://www.facebook.com/car.corpoguajira?ref=br_rs</t>
  </si>
  <si>
    <t>http://corpoguajira.gov.co/wp/informes-de-pqrsd/</t>
  </si>
  <si>
    <t>http://corpoguajira.gov.co/wp/primer-concurso-periodismo-ambiental-2/</t>
  </si>
  <si>
    <t>http://corpoguajira.gov.co/wp/control-y-rendicion/participacion-en-la-web/</t>
  </si>
  <si>
    <t>http://corpoguajira.gov.co/wp/foros/</t>
  </si>
  <si>
    <t>http://corpoguajira.gov.co/wp/chat-en-linea/, http://corpoguajira.gov.co/wp/foros/</t>
  </si>
  <si>
    <t>http://corpoguajira.gov.co/wp/foros/, http://corpoguajira.gov.co/wp/chat-en-linea/</t>
  </si>
  <si>
    <t>No se pudo acceder a la plataforma porque las claves de acceso no estaban habilitadas.  Se recibió capacitación por parte del IDEAM donde se reestablecieron las claves y está pendiente entrenamiento con los responsables de cada tematica y se espera que al final de 2017 se tenga consolidada la información y se haga el respectivo reporte</t>
  </si>
  <si>
    <t>La politica se planteo a partir del diagonostico y se aprobo y adoptó en el 2017</t>
  </si>
  <si>
    <t>En el diagnostico se tocó el aspecto y necesidad de formular una politica de gestión documental y a partir de alí se evaluó</t>
  </si>
  <si>
    <t>Se encuentra dentro de la estructura de Secretaria General</t>
  </si>
  <si>
    <t>$16 Millones para el apoyo  a la correspondencia</t>
  </si>
  <si>
    <t>Las TRD estaban en proceso de ajuste, razón por la que no se pudo hacer la convalidación.</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</si>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</sst>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_(&quot;$&quot;\ * \(#,##0\);_(&quot;$&quot;\ * &quot;-&quot;_);_(@_)"/>
    <numFmt numFmtId="43" formatCode="_(* #,##0.00_);_(* \(#,##0.00\);_(* &quot;-&quot;??_);_(@_)"/>
    <numFmt numFmtId="164" formatCode="_-&quot;$&quot;* #,##0_-;\-&quot;$&quot;* #,##0_-;_-&quot;$&quot;* &quot;-&quot;_-;_-@_-"/>
    <numFmt numFmtId="165" formatCode="_-&quot;$&quot;* #,##0.00_-;\-&quot;$&quot;* #,##0.00_-;_-&quot;$&quot;* &quot;-&quot;??_-;_-@_-"/>
    <numFmt numFmtId="166" formatCode="0.0%"/>
    <numFmt numFmtId="167" formatCode="#,##0;[Red]#,##0"/>
    <numFmt numFmtId="168" formatCode="_(* #,##0_);_(* \(#,##0\);_(* &quot;-&quot;??_);_(@_)"/>
    <numFmt numFmtId="169" formatCode="dd/mm/yyyy;@"/>
  </numFmts>
  <fonts count="35" x14ac:knownFonts="1">
    <font>
      <sz val="11"/>
      <color theme="1"/>
      <name val="Calibri"/>
      <family val="2"/>
      <scheme val="minor"/>
    </font>
    <font>
      <sz val="11"/>
      <color theme="1"/>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color theme="1"/>
      <name val="Calibri"/>
      <family val="2"/>
      <scheme val="minor"/>
    </font>
    <font>
      <sz val="12"/>
      <color theme="1"/>
      <name val="Calibri"/>
      <family val="2"/>
      <scheme val="minor"/>
    </font>
    <font>
      <sz val="11"/>
      <color theme="1"/>
      <name val="Cambria Math"/>
      <family val="1"/>
    </font>
    <font>
      <u/>
      <sz val="11"/>
      <color theme="10"/>
      <name val="Calibri"/>
      <family val="2"/>
    </font>
    <font>
      <u/>
      <sz val="9"/>
      <color theme="10"/>
      <name val="Calibri"/>
      <family val="2"/>
    </font>
    <font>
      <b/>
      <sz val="9"/>
      <name val="Calibri"/>
      <family val="2"/>
      <scheme val="minor"/>
    </font>
    <font>
      <u/>
      <sz val="9"/>
      <color theme="10"/>
      <name val="Calibri"/>
      <family val="2"/>
      <scheme val="minor"/>
    </font>
    <font>
      <sz val="9"/>
      <color theme="1"/>
      <name val="Times New Roman"/>
      <family val="1"/>
    </font>
    <font>
      <u/>
      <sz val="9"/>
      <color theme="1"/>
      <name val="Calibri"/>
      <family val="2"/>
      <scheme val="minor"/>
    </font>
    <font>
      <b/>
      <sz val="9"/>
      <color indexed="81"/>
      <name val="Tahoma"/>
      <family val="2"/>
    </font>
    <font>
      <b/>
      <sz val="11"/>
      <color theme="1"/>
      <name val="Calibri"/>
      <family val="2"/>
      <scheme val="minor"/>
    </font>
    <font>
      <b/>
      <sz val="10"/>
      <color theme="1"/>
      <name val="Arial"/>
      <family val="2"/>
    </font>
    <font>
      <sz val="10"/>
      <color theme="1"/>
      <name val="Arial"/>
      <family val="2"/>
    </font>
    <font>
      <b/>
      <sz val="11"/>
      <color rgb="FF000000"/>
      <name val="Calibri"/>
      <family val="2"/>
      <scheme val="minor"/>
    </font>
    <font>
      <sz val="11"/>
      <color theme="10"/>
      <name val="Calibri"/>
      <family val="2"/>
    </font>
    <font>
      <b/>
      <sz val="10"/>
      <color rgb="FF000000"/>
      <name val="Calibri"/>
      <family val="2"/>
      <scheme val="minor"/>
    </font>
    <font>
      <sz val="14"/>
      <color theme="1"/>
      <name val="Calibri"/>
      <family val="2"/>
      <scheme val="minor"/>
    </font>
    <font>
      <b/>
      <sz val="10"/>
      <color theme="1"/>
      <name val="Calibri"/>
      <family val="2"/>
      <scheme val="minor"/>
    </font>
    <font>
      <sz val="11"/>
      <name val="Calibri"/>
      <family val="2"/>
      <scheme val="minor"/>
    </font>
    <font>
      <b/>
      <sz val="10"/>
      <name val="Calibri"/>
      <family val="2"/>
      <scheme val="minor"/>
    </font>
    <font>
      <b/>
      <sz val="1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sz val="9"/>
      <color theme="1"/>
      <name val="Calibri"/>
      <family val="2"/>
    </font>
    <font>
      <sz val="8"/>
      <color theme="1"/>
      <name val="Calibri"/>
      <family val="2"/>
      <scheme val="minor"/>
    </font>
    <font>
      <b/>
      <sz val="20"/>
      <color theme="1"/>
      <name val="Calibri"/>
      <family val="2"/>
      <scheme val="minor"/>
    </font>
    <font>
      <sz val="7"/>
      <color theme="1"/>
      <name val="Calibri"/>
      <family val="2"/>
      <scheme val="minor"/>
    </font>
    <font>
      <sz val="7"/>
      <color rgb="FF000000"/>
      <name val="Calibri"/>
      <family val="2"/>
      <scheme val="minor"/>
    </font>
  </fonts>
  <fills count="33">
    <fill>
      <patternFill patternType="none"/>
    </fill>
    <fill>
      <patternFill patternType="gray125"/>
    </fill>
    <fill>
      <patternFill patternType="solid">
        <fgColor rgb="FF92D050"/>
        <bgColor indexed="64"/>
      </patternFill>
    </fill>
    <fill>
      <patternFill patternType="solid">
        <fgColor rgb="FFB8CCE4"/>
        <bgColor indexed="64"/>
      </patternFill>
    </fill>
    <fill>
      <patternFill patternType="solid">
        <fgColor rgb="FFFFFFFF"/>
        <bgColor indexed="64"/>
      </patternFill>
    </fill>
    <fill>
      <patternFill patternType="solid">
        <fgColor theme="0"/>
        <bgColor indexed="64"/>
      </patternFill>
    </fill>
    <fill>
      <patternFill patternType="solid">
        <fgColor rgb="FFB5FDA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gradientFill degree="270">
        <stop position="0">
          <color rgb="FF92D050"/>
        </stop>
        <stop position="1">
          <color theme="0"/>
        </stop>
      </gradientFill>
    </fill>
    <fill>
      <patternFill patternType="solid">
        <fgColor rgb="FFDBE5F1"/>
        <bgColor indexed="64"/>
      </patternFill>
    </fill>
    <fill>
      <patternFill patternType="solid">
        <fgColor rgb="FF00B050"/>
        <bgColor indexed="64"/>
      </patternFill>
    </fill>
    <fill>
      <patternFill patternType="solid">
        <fgColor rgb="FFFF0000"/>
        <bgColor indexed="64"/>
      </patternFill>
    </fill>
    <fill>
      <gradientFill degree="90">
        <stop position="0">
          <color rgb="FF92D050"/>
        </stop>
        <stop position="1">
          <color theme="0"/>
        </stop>
      </gradientFill>
    </fill>
    <fill>
      <gradientFill degree="90">
        <stop position="0">
          <color theme="9"/>
        </stop>
        <stop position="1">
          <color theme="0"/>
        </stop>
      </gradientFill>
    </fill>
    <fill>
      <gradientFill degree="90">
        <stop position="0">
          <color theme="3" tint="0.40000610370189521"/>
        </stop>
        <stop position="1">
          <color theme="0"/>
        </stop>
      </gradientFill>
    </fill>
    <fill>
      <gradientFill degree="90">
        <stop position="0">
          <color theme="5"/>
        </stop>
        <stop position="1">
          <color theme="0"/>
        </stop>
      </gradientFill>
    </fill>
    <fill>
      <patternFill patternType="solid">
        <fgColor theme="9"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1"/>
      </left>
      <right style="thin">
        <color theme="1"/>
      </right>
      <top style="thin">
        <color theme="1"/>
      </top>
      <bottom style="thin">
        <color theme="1"/>
      </bottom>
      <diagonal/>
    </border>
    <border>
      <left/>
      <right/>
      <top/>
      <bottom style="thin">
        <color theme="1"/>
      </bottom>
      <diagonal/>
    </border>
    <border>
      <left style="medium">
        <color theme="5" tint="-0.249977111117893"/>
      </left>
      <right style="thin">
        <color indexed="64"/>
      </right>
      <top style="medium">
        <color theme="5" tint="-0.249977111117893"/>
      </top>
      <bottom style="thin">
        <color indexed="64"/>
      </bottom>
      <diagonal/>
    </border>
    <border>
      <left style="thin">
        <color indexed="64"/>
      </left>
      <right style="thin">
        <color indexed="64"/>
      </right>
      <top style="medium">
        <color theme="5" tint="-0.249977111117893"/>
      </top>
      <bottom style="thin">
        <color indexed="64"/>
      </bottom>
      <diagonal/>
    </border>
    <border>
      <left style="thin">
        <color indexed="64"/>
      </left>
      <right style="medium">
        <color theme="5" tint="-0.249977111117893"/>
      </right>
      <top style="medium">
        <color theme="5" tint="-0.249977111117893"/>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style="thin">
        <color indexed="64"/>
      </top>
      <bottom style="medium">
        <color theme="5" tint="-0.249977111117893"/>
      </bottom>
      <diagonal/>
    </border>
    <border>
      <left style="thin">
        <color indexed="64"/>
      </left>
      <right style="thin">
        <color indexed="64"/>
      </right>
      <top style="thin">
        <color indexed="64"/>
      </top>
      <bottom style="medium">
        <color theme="5" tint="-0.249977111117893"/>
      </bottom>
      <diagonal/>
    </border>
    <border>
      <left style="thin">
        <color indexed="64"/>
      </left>
      <right style="medium">
        <color theme="5" tint="-0.249977111117893"/>
      </right>
      <top style="thin">
        <color indexed="64"/>
      </top>
      <bottom style="medium">
        <color theme="5" tint="-0.249977111117893"/>
      </bottom>
      <diagonal/>
    </border>
    <border>
      <left/>
      <right style="thin">
        <color indexed="64"/>
      </right>
      <top style="medium">
        <color theme="5" tint="-0.249977111117893"/>
      </top>
      <bottom/>
      <diagonal/>
    </border>
    <border>
      <left/>
      <right style="thin">
        <color indexed="64"/>
      </right>
      <top/>
      <bottom style="medium">
        <color theme="5" tint="-0.249977111117893"/>
      </bottom>
      <diagonal/>
    </border>
    <border>
      <left style="medium">
        <color theme="5" tint="-0.249977111117893"/>
      </left>
      <right style="thin">
        <color indexed="64"/>
      </right>
      <top style="medium">
        <color theme="5" tint="-0.249977111117893"/>
      </top>
      <bottom/>
      <diagonal/>
    </border>
    <border>
      <left style="medium">
        <color theme="5" tint="-0.249977111117893"/>
      </left>
      <right style="thin">
        <color indexed="64"/>
      </right>
      <top/>
      <bottom/>
      <diagonal/>
    </border>
    <border>
      <left style="medium">
        <color theme="5" tint="-0.249977111117893"/>
      </left>
      <right style="thin">
        <color indexed="64"/>
      </right>
      <top/>
      <bottom style="medium">
        <color theme="5" tint="-0.249977111117893"/>
      </bottom>
      <diagonal/>
    </border>
    <border>
      <left style="thin">
        <color indexed="64"/>
      </left>
      <right/>
      <top style="medium">
        <color theme="5" tint="-0.249977111117893"/>
      </top>
      <bottom style="thin">
        <color indexed="64"/>
      </bottom>
      <diagonal/>
    </border>
    <border>
      <left style="thin">
        <color indexed="64"/>
      </left>
      <right/>
      <top style="thin">
        <color indexed="64"/>
      </top>
      <bottom style="medium">
        <color theme="5" tint="-0.249977111117893"/>
      </bottom>
      <diagonal/>
    </border>
    <border>
      <left/>
      <right style="thin">
        <color indexed="64"/>
      </right>
      <top style="medium">
        <color theme="5" tint="-0.249977111117893"/>
      </top>
      <bottom style="thin">
        <color indexed="64"/>
      </bottom>
      <diagonal/>
    </border>
    <border>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indexed="64"/>
      </left>
      <right style="thin">
        <color indexed="64"/>
      </right>
      <top style="medium">
        <color theme="5" tint="-0.249977111117893"/>
      </top>
      <bottom/>
      <diagonal/>
    </border>
    <border>
      <left style="thin">
        <color indexed="64"/>
      </left>
      <right style="thin">
        <color indexed="64"/>
      </right>
      <top/>
      <bottom style="medium">
        <color theme="5" tint="-0.249977111117893"/>
      </bottom>
      <diagonal/>
    </border>
    <border>
      <left style="thin">
        <color indexed="64"/>
      </left>
      <right style="medium">
        <color theme="5" tint="-0.249977111117893"/>
      </right>
      <top style="thin">
        <color indexed="64"/>
      </top>
      <bottom/>
      <diagonal/>
    </border>
    <border>
      <left style="medium">
        <color theme="5" tint="-0.249977111117893"/>
      </left>
      <right style="thin">
        <color indexed="64"/>
      </right>
      <top style="thin">
        <color indexed="64"/>
      </top>
      <bottom/>
      <diagonal/>
    </border>
    <border>
      <left style="thin">
        <color theme="5" tint="-0.249977111117893"/>
      </left>
      <right style="thin">
        <color theme="5" tint="-0.249977111117893"/>
      </right>
      <top style="medium">
        <color theme="5" tint="-0.249977111117893"/>
      </top>
      <bottom style="thin">
        <color theme="5" tint="-0.249977111117893"/>
      </bottom>
      <diagonal/>
    </border>
    <border>
      <left style="thin">
        <color theme="5" tint="-0.249977111117893"/>
      </left>
      <right style="medium">
        <color theme="5" tint="-0.249977111117893"/>
      </right>
      <top style="medium">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style="thin">
        <color indexed="64"/>
      </left>
      <right/>
      <top/>
      <bottom style="medium">
        <color theme="5" tint="-0.249977111117893"/>
      </bottom>
      <diagonal/>
    </border>
    <border>
      <left style="thin">
        <color indexed="64"/>
      </left>
      <right/>
      <top style="medium">
        <color theme="5" tint="-0.249977111117893"/>
      </top>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
      <left style="thin">
        <color theme="5" tint="-0.249977111117893"/>
      </left>
      <right style="thin">
        <color theme="5" tint="-0.249977111117893"/>
      </right>
      <top/>
      <bottom style="thin">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indexed="64"/>
      </left>
      <right style="medium">
        <color theme="5" tint="-0.249977111117893"/>
      </right>
      <top style="medium">
        <color theme="5" tint="-0.249977111117893"/>
      </top>
      <bottom/>
      <diagonal/>
    </border>
    <border>
      <left style="thin">
        <color indexed="64"/>
      </left>
      <right style="medium">
        <color theme="5" tint="-0.249977111117893"/>
      </right>
      <top/>
      <bottom style="thin">
        <color indexed="64"/>
      </bottom>
      <diagonal/>
    </border>
    <border>
      <left style="medium">
        <color theme="1"/>
      </left>
      <right style="thin">
        <color indexed="64"/>
      </right>
      <top style="thin">
        <color indexed="64"/>
      </top>
      <bottom style="thin">
        <color indexed="64"/>
      </bottom>
      <diagonal/>
    </border>
    <border>
      <left/>
      <right style="medium">
        <color theme="5" tint="-0.249977111117893"/>
      </right>
      <top style="medium">
        <color theme="5" tint="-0.249977111117893"/>
      </top>
      <bottom/>
      <diagonal/>
    </border>
    <border>
      <left style="thin">
        <color theme="1"/>
      </left>
      <right style="thin">
        <color theme="1"/>
      </right>
      <top style="thin">
        <color theme="1"/>
      </top>
      <bottom/>
      <diagonal/>
    </border>
    <border>
      <left/>
      <right style="medium">
        <color theme="5" tint="-0.249977111117893"/>
      </right>
      <top/>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style="thin">
        <color indexed="64"/>
      </bottom>
      <diagonal/>
    </border>
    <border>
      <left/>
      <right style="medium">
        <color theme="5" tint="-0.249977111117893"/>
      </right>
      <top style="thin">
        <color indexed="64"/>
      </top>
      <bottom style="thin">
        <color indexed="64"/>
      </bottom>
      <diagonal/>
    </border>
    <border>
      <left style="medium">
        <color theme="5" tint="-0.249977111117893"/>
      </left>
      <right/>
      <top/>
      <bottom style="medium">
        <color theme="5" tint="-0.249977111117893"/>
      </bottom>
      <diagonal/>
    </border>
    <border>
      <left/>
      <right style="medium">
        <color theme="5" tint="-0.249977111117893"/>
      </right>
      <top style="thin">
        <color indexed="64"/>
      </top>
      <bottom style="medium">
        <color theme="5" tint="-0.249977111117893"/>
      </bottom>
      <diagonal/>
    </border>
    <border>
      <left/>
      <right style="thin">
        <color theme="1"/>
      </right>
      <top style="thin">
        <color theme="1"/>
      </top>
      <bottom style="thin">
        <color theme="1"/>
      </bottom>
      <diagonal/>
    </border>
    <border>
      <left style="medium">
        <color theme="5" tint="-0.249977111117893"/>
      </left>
      <right/>
      <top/>
      <bottom/>
      <diagonal/>
    </border>
    <border>
      <left style="medium">
        <color theme="1"/>
      </left>
      <right style="thin">
        <color indexed="64"/>
      </right>
      <top style="medium">
        <color theme="5" tint="-0.249977111117893"/>
      </top>
      <bottom style="thin">
        <color indexed="64"/>
      </bottom>
      <diagonal/>
    </border>
    <border>
      <left style="medium">
        <color theme="1"/>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thin">
        <color theme="1"/>
      </bottom>
      <diagonal/>
    </border>
    <border>
      <left style="medium">
        <color theme="5" tint="-0.249977111117893"/>
      </left>
      <right style="medium">
        <color theme="5" tint="-0.249977111117893"/>
      </right>
      <top style="thin">
        <color theme="1"/>
      </top>
      <bottom style="medium">
        <color theme="5" tint="-0.249977111117893"/>
      </bottom>
      <diagonal/>
    </border>
    <border>
      <left style="medium">
        <color theme="5" tint="-0.249977111117893"/>
      </left>
      <right style="medium">
        <color theme="5" tint="-0.249977111117893"/>
      </right>
      <top style="medium">
        <color theme="5" tint="-0.249977111117893"/>
      </top>
      <bottom style="thin">
        <color indexed="64"/>
      </bottom>
      <diagonal/>
    </border>
    <border>
      <left style="medium">
        <color theme="5" tint="-0.249977111117893"/>
      </left>
      <right style="medium">
        <color theme="5" tint="-0.249977111117893"/>
      </right>
      <top style="thin">
        <color indexed="64"/>
      </top>
      <bottom style="medium">
        <color theme="5" tint="-0.249977111117893"/>
      </bottom>
      <diagonal/>
    </border>
    <border>
      <left/>
      <right/>
      <top style="medium">
        <color theme="5" tint="-0.249977111117893"/>
      </top>
      <bottom style="thin">
        <color indexed="64"/>
      </bottom>
      <diagonal/>
    </border>
    <border>
      <left style="medium">
        <color theme="5" tint="-0.249977111117893"/>
      </left>
      <right style="thin">
        <color indexed="64"/>
      </right>
      <top/>
      <bottom style="thin">
        <color indexed="64"/>
      </bottom>
      <diagonal/>
    </border>
    <border>
      <left style="medium">
        <color theme="5" tint="-0.249977111117893"/>
      </left>
      <right style="medium">
        <color theme="5" tint="-0.249977111117893"/>
      </right>
      <top style="thin">
        <color indexed="64"/>
      </top>
      <bottom style="thin">
        <color indexed="64"/>
      </bottom>
      <diagonal/>
    </border>
    <border>
      <left style="thin">
        <color theme="5" tint="-0.249977111117893"/>
      </left>
      <right/>
      <top style="thin">
        <color theme="5" tint="-0.249977111117893"/>
      </top>
      <bottom style="thin">
        <color theme="5" tint="-0.249977111117893"/>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top style="medium">
        <color theme="5" tint="-0.249977111117893"/>
      </top>
      <bottom style="medium">
        <color theme="5" tint="-0.249977111117893"/>
      </bottom>
      <diagonal/>
    </border>
    <border>
      <left style="thin">
        <color theme="1"/>
      </left>
      <right/>
      <top style="thin">
        <color theme="1"/>
      </top>
      <bottom/>
      <diagonal/>
    </border>
    <border>
      <left style="medium">
        <color theme="5" tint="-0.249977111117893"/>
      </left>
      <right style="medium">
        <color theme="5" tint="-0.249977111117893"/>
      </right>
      <top style="thin">
        <color theme="1"/>
      </top>
      <bottom style="thin">
        <color theme="1"/>
      </bottom>
      <diagonal/>
    </border>
    <border>
      <left style="medium">
        <color theme="5" tint="-0.249977111117893"/>
      </left>
      <right style="medium">
        <color theme="5" tint="-0.249977111117893"/>
      </right>
      <top/>
      <bottom style="thin">
        <color indexed="64"/>
      </bottom>
      <diagonal/>
    </border>
    <border>
      <left style="medium">
        <color theme="5" tint="-0.249977111117893"/>
      </left>
      <right style="medium">
        <color theme="5" tint="-0.249977111117893"/>
      </right>
      <top style="thin">
        <color indexed="64"/>
      </top>
      <bottom/>
      <diagonal/>
    </border>
    <border>
      <left style="medium">
        <color theme="5" tint="-0.249977111117893"/>
      </left>
      <right style="medium">
        <color theme="5" tint="-0.249977111117893"/>
      </right>
      <top style="thin">
        <color theme="1"/>
      </top>
      <bottom/>
      <diagonal/>
    </border>
    <border>
      <left style="thin">
        <color theme="1"/>
      </left>
      <right style="thin">
        <color theme="1"/>
      </right>
      <top/>
      <bottom/>
      <diagonal/>
    </border>
    <border>
      <left style="medium">
        <color theme="5" tint="-0.249977111117893"/>
      </left>
      <right style="thin">
        <color theme="5" tint="-0.249977111117893"/>
      </right>
      <top style="medium">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medium">
        <color theme="5" tint="-0.249977111117893"/>
      </bottom>
      <diagonal/>
    </border>
    <border>
      <left/>
      <right style="medium">
        <color theme="5" tint="-0.249977111117893"/>
      </right>
      <top/>
      <bottom style="medium">
        <color theme="5" tint="-0.249977111117893"/>
      </bottom>
      <diagonal/>
    </border>
    <border>
      <left style="thin">
        <color theme="1"/>
      </left>
      <right style="medium">
        <color theme="5" tint="-0.249977111117893"/>
      </right>
      <top/>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medium">
        <color theme="5" tint="-0.249977111117893"/>
      </right>
      <top style="medium">
        <color theme="5" tint="-0.249977111117893"/>
      </top>
      <bottom/>
      <diagonal/>
    </border>
    <border>
      <left style="thin">
        <color indexed="64"/>
      </left>
      <right style="medium">
        <color theme="5" tint="-0.249977111117893"/>
      </right>
      <top/>
      <bottom/>
      <diagonal/>
    </border>
    <border>
      <left style="thin">
        <color indexed="64"/>
      </left>
      <right style="medium">
        <color theme="5" tint="-0.249977111117893"/>
      </right>
      <top style="medium">
        <color theme="5" tint="-0.249977111117893"/>
      </top>
      <bottom style="medium">
        <color theme="5" tint="-0.249977111117893"/>
      </bottom>
      <diagonal/>
    </border>
    <border>
      <left style="thin">
        <color indexed="64"/>
      </left>
      <right style="medium">
        <color theme="5" tint="-0.249977111117893"/>
      </right>
      <top/>
      <bottom style="medium">
        <color theme="5" tint="-0.249977111117893"/>
      </bottom>
      <diagonal/>
    </border>
    <border>
      <left style="medium">
        <color theme="5" tint="-0.249977111117893"/>
      </left>
      <right/>
      <top style="thin">
        <color indexed="64"/>
      </top>
      <bottom style="thin">
        <color indexed="64"/>
      </bottom>
      <diagonal/>
    </border>
    <border>
      <left/>
      <right style="thin">
        <color indexed="64"/>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thin">
        <color indexed="64"/>
      </bottom>
      <diagonal/>
    </border>
    <border>
      <left style="medium">
        <color theme="5" tint="-0.249977111117893"/>
      </left>
      <right/>
      <top style="thin">
        <color indexed="64"/>
      </top>
      <bottom style="medium">
        <color theme="5" tint="-0.249977111117893"/>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indexed="64"/>
      </right>
      <top style="medium">
        <color theme="5" tint="-0.249977111117893"/>
      </top>
      <bottom/>
      <diagonal/>
    </border>
    <border>
      <left style="thin">
        <color theme="1"/>
      </left>
      <right style="thin">
        <color indexed="64"/>
      </right>
      <top/>
      <bottom style="medium">
        <color theme="5" tint="-0.249977111117893"/>
      </bottom>
      <diagonal/>
    </border>
    <border>
      <left/>
      <right/>
      <top style="thin">
        <color indexed="64"/>
      </top>
      <bottom style="medium">
        <color theme="5" tint="-0.249977111117893"/>
      </bottom>
      <diagonal/>
    </border>
    <border>
      <left style="thin">
        <color theme="1"/>
      </left>
      <right style="thin">
        <color theme="1"/>
      </right>
      <top/>
      <bottom style="thin">
        <color theme="1"/>
      </bottom>
      <diagonal/>
    </border>
    <border>
      <left style="thin">
        <color indexed="64"/>
      </left>
      <right style="thin">
        <color indexed="64"/>
      </right>
      <top style="thin">
        <color theme="1"/>
      </top>
      <bottom style="medium">
        <color theme="5" tint="-0.249977111117893"/>
      </bottom>
      <diagonal/>
    </border>
    <border>
      <left/>
      <right style="medium">
        <color theme="5" tint="-0.249977111117893"/>
      </right>
      <top/>
      <bottom style="thin">
        <color indexed="64"/>
      </bottom>
      <diagonal/>
    </border>
    <border>
      <left style="thin">
        <color indexed="64"/>
      </left>
      <right style="thin">
        <color theme="1"/>
      </right>
      <top style="medium">
        <color theme="5" tint="-0.249977111117893"/>
      </top>
      <bottom/>
      <diagonal/>
    </border>
    <border>
      <left style="thin">
        <color indexed="64"/>
      </left>
      <right style="thin">
        <color theme="1"/>
      </right>
      <top/>
      <bottom style="medium">
        <color theme="5" tint="-0.249977111117893"/>
      </bottom>
      <diagonal/>
    </border>
    <border>
      <left style="medium">
        <color theme="5" tint="-0.249977111117893"/>
      </left>
      <right style="thin">
        <color theme="1"/>
      </right>
      <top style="medium">
        <color theme="5" tint="-0.249977111117893"/>
      </top>
      <bottom/>
      <diagonal/>
    </border>
    <border>
      <left style="medium">
        <color theme="5" tint="-0.249977111117893"/>
      </left>
      <right style="thin">
        <color theme="1"/>
      </right>
      <top/>
      <bottom style="medium">
        <color theme="5" tint="-0.249977111117893"/>
      </bottom>
      <diagonal/>
    </border>
    <border>
      <left style="thin">
        <color theme="1"/>
      </left>
      <right style="thin">
        <color indexed="64"/>
      </right>
      <top style="thin">
        <color theme="1"/>
      </top>
      <bottom style="medium">
        <color theme="5" tint="-0.249977111117893"/>
      </bottom>
      <diagonal/>
    </border>
    <border>
      <left style="medium">
        <color theme="5" tint="-0.249977111117893"/>
      </left>
      <right style="thin">
        <color theme="1"/>
      </right>
      <top style="thin">
        <color theme="1"/>
      </top>
      <bottom style="thin">
        <color theme="1"/>
      </bottom>
      <diagonal/>
    </border>
    <border>
      <left style="medium">
        <color theme="5" tint="-0.249977111117893"/>
      </left>
      <right style="thin">
        <color theme="5" tint="-0.249977111117893"/>
      </right>
      <top style="medium">
        <color theme="5" tint="-0.249977111117893"/>
      </top>
      <bottom/>
      <diagonal/>
    </border>
    <border>
      <left style="medium">
        <color theme="5" tint="-0.249977111117893"/>
      </left>
      <right style="thin">
        <color theme="5" tint="-0.249977111117893"/>
      </right>
      <top/>
      <bottom/>
      <diagonal/>
    </border>
    <border>
      <left style="thin">
        <color theme="5" tint="-0.249977111117893"/>
      </left>
      <right style="thin">
        <color theme="5" tint="-0.249977111117893"/>
      </right>
      <top/>
      <bottom style="medium">
        <color theme="5" tint="-0.249977111117893"/>
      </bottom>
      <diagonal/>
    </border>
    <border>
      <left style="thin">
        <color theme="1"/>
      </left>
      <right style="medium">
        <color theme="5" tint="-0.249977111117893"/>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style="thin">
        <color theme="1"/>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2212">
    <xf numFmtId="0" fontId="0" fillId="0" borderId="0" xfId="0"/>
    <xf numFmtId="0" fontId="2" fillId="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 fillId="0" borderId="1" xfId="0" applyFont="1" applyBorder="1"/>
    <xf numFmtId="0" fontId="4" fillId="6" borderId="1" xfId="0" applyFont="1" applyFill="1" applyBorder="1"/>
    <xf numFmtId="0" fontId="2" fillId="3" borderId="1" xfId="0" applyFont="1" applyFill="1" applyBorder="1" applyAlignment="1" applyProtection="1">
      <alignment horizontal="center" vertical="center" wrapText="1"/>
    </xf>
    <xf numFmtId="0" fontId="4" fillId="7" borderId="1" xfId="0" applyFont="1" applyFill="1" applyBorder="1" applyProtection="1"/>
    <xf numFmtId="0" fontId="4" fillId="6" borderId="1" xfId="0" applyFont="1" applyFill="1" applyBorder="1" applyProtection="1"/>
    <xf numFmtId="0" fontId="4" fillId="8" borderId="1" xfId="0" applyFont="1" applyFill="1" applyBorder="1" applyProtection="1"/>
    <xf numFmtId="0" fontId="4" fillId="0" borderId="1" xfId="0" applyFont="1" applyBorder="1" applyProtection="1"/>
    <xf numFmtId="0" fontId="4" fillId="0" borderId="0" xfId="0" applyFont="1"/>
    <xf numFmtId="0" fontId="4" fillId="0" borderId="0" xfId="0" applyFont="1" applyAlignment="1">
      <alignment horizontal="center" vertical="center"/>
    </xf>
    <xf numFmtId="0" fontId="4" fillId="9" borderId="1" xfId="0" applyFont="1" applyFill="1" applyBorder="1"/>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4" borderId="1" xfId="0" applyFont="1" applyFill="1" applyBorder="1" applyAlignment="1">
      <alignment horizontal="center"/>
    </xf>
    <xf numFmtId="0" fontId="4" fillId="15" borderId="1" xfId="0" applyFont="1" applyFill="1" applyBorder="1" applyAlignment="1">
      <alignment horizontal="center"/>
    </xf>
    <xf numFmtId="0" fontId="4" fillId="15" borderId="1" xfId="0" applyFont="1" applyFill="1" applyBorder="1"/>
    <xf numFmtId="0" fontId="4" fillId="14" borderId="1" xfId="0" applyFont="1" applyFill="1" applyBorder="1"/>
    <xf numFmtId="0" fontId="4" fillId="0" borderId="0" xfId="0" applyFont="1" applyProtection="1"/>
    <xf numFmtId="0" fontId="4" fillId="0" borderId="0" xfId="0" applyFont="1" applyAlignment="1" applyProtection="1">
      <alignment horizontal="center" vertical="center"/>
    </xf>
    <xf numFmtId="0" fontId="4" fillId="14" borderId="1" xfId="0" applyFont="1" applyFill="1" applyBorder="1" applyProtection="1"/>
    <xf numFmtId="0" fontId="4" fillId="0" borderId="1" xfId="0" applyFont="1" applyBorder="1" applyAlignment="1">
      <alignment horizontal="center" vertical="center"/>
    </xf>
    <xf numFmtId="9" fontId="4" fillId="5"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xf>
    <xf numFmtId="0" fontId="6" fillId="12" borderId="1" xfId="0" applyFont="1" applyFill="1" applyBorder="1" applyAlignment="1">
      <alignment horizontal="center" vertical="center"/>
    </xf>
    <xf numFmtId="0" fontId="6" fillId="12" borderId="1" xfId="0" applyFont="1" applyFill="1" applyBorder="1" applyAlignment="1">
      <alignment horizontal="center" vertical="center" wrapText="1"/>
    </xf>
    <xf numFmtId="9" fontId="6" fillId="12" borderId="1" xfId="1" applyFont="1" applyFill="1" applyBorder="1" applyAlignment="1">
      <alignment horizontal="center" vertical="center" wrapText="1"/>
    </xf>
    <xf numFmtId="0" fontId="4" fillId="14" borderId="1" xfId="0" applyFont="1" applyFill="1" applyBorder="1" applyAlignment="1">
      <alignment wrapText="1"/>
    </xf>
    <xf numFmtId="0" fontId="4" fillId="15" borderId="1" xfId="0" applyFont="1" applyFill="1" applyBorder="1" applyAlignment="1">
      <alignment horizontal="center" vertical="center" wrapText="1"/>
    </xf>
    <xf numFmtId="0" fontId="4" fillId="14" borderId="1" xfId="0" applyFont="1" applyFill="1" applyBorder="1" applyAlignment="1">
      <alignment horizontal="center" wrapText="1"/>
    </xf>
    <xf numFmtId="0" fontId="4" fillId="15" borderId="1" xfId="0" applyFont="1" applyFill="1" applyBorder="1" applyAlignment="1">
      <alignment horizontal="center" wrapText="1"/>
    </xf>
    <xf numFmtId="10" fontId="4" fillId="5" borderId="1" xfId="0" applyNumberFormat="1" applyFont="1" applyFill="1" applyBorder="1" applyAlignment="1">
      <alignment horizontal="center" vertical="center" wrapText="1"/>
    </xf>
    <xf numFmtId="10" fontId="4" fillId="0" borderId="0" xfId="0" applyNumberFormat="1" applyFont="1"/>
    <xf numFmtId="0" fontId="4" fillId="0" borderId="0" xfId="0" applyFont="1" applyBorder="1"/>
    <xf numFmtId="0" fontId="11" fillId="10" borderId="1" xfId="0" applyFont="1" applyFill="1" applyBorder="1" applyAlignment="1">
      <alignment horizontal="center" vertical="center" wrapText="1"/>
    </xf>
    <xf numFmtId="0" fontId="5" fillId="15" borderId="1" xfId="0" applyFont="1" applyFill="1" applyBorder="1" applyAlignment="1">
      <alignment horizontal="center" vertical="center"/>
    </xf>
    <xf numFmtId="0" fontId="5" fillId="14" borderId="1" xfId="0" applyFont="1" applyFill="1" applyBorder="1" applyAlignment="1">
      <alignment horizontal="center" vertical="center"/>
    </xf>
    <xf numFmtId="9" fontId="4" fillId="0" borderId="0" xfId="0" applyNumberFormat="1" applyFont="1"/>
    <xf numFmtId="9" fontId="4" fillId="0" borderId="0" xfId="1" applyFont="1"/>
    <xf numFmtId="0" fontId="4" fillId="0" borderId="1" xfId="0" applyFont="1" applyFill="1" applyBorder="1" applyAlignment="1">
      <alignment horizontal="center" vertical="center"/>
    </xf>
    <xf numFmtId="0" fontId="6" fillId="12" borderId="1" xfId="2" applyFont="1" applyFill="1" applyBorder="1" applyAlignment="1">
      <alignment horizontal="center" vertical="center" wrapText="1"/>
    </xf>
    <xf numFmtId="0" fontId="4" fillId="0" borderId="0" xfId="0" applyFont="1" applyAlignment="1">
      <alignment horizontal="center"/>
    </xf>
    <xf numFmtId="0" fontId="4" fillId="17" borderId="1" xfId="0" applyFont="1" applyFill="1" applyBorder="1"/>
    <xf numFmtId="0" fontId="4" fillId="0" borderId="0" xfId="0" applyFont="1" applyProtection="1">
      <protection locked="0" hidden="1"/>
    </xf>
    <xf numFmtId="0" fontId="4" fillId="6" borderId="0" xfId="0" applyFont="1" applyFill="1" applyProtection="1"/>
    <xf numFmtId="0" fontId="4" fillId="0" borderId="1" xfId="0" applyFont="1" applyBorder="1" applyAlignment="1" applyProtection="1">
      <alignment horizontal="left" wrapText="1"/>
    </xf>
    <xf numFmtId="0" fontId="2" fillId="3" borderId="1" xfId="0" applyFont="1" applyFill="1" applyBorder="1" applyAlignment="1">
      <alignment horizontal="center" wrapText="1"/>
    </xf>
    <xf numFmtId="0" fontId="4" fillId="0" borderId="1" xfId="0" applyFont="1" applyBorder="1" applyAlignment="1" applyProtection="1">
      <alignment horizontal="left"/>
    </xf>
    <xf numFmtId="0" fontId="21" fillId="3" borderId="1" xfId="0" applyFont="1" applyFill="1" applyBorder="1" applyAlignment="1">
      <alignment horizontal="center" vertical="center" wrapText="1"/>
    </xf>
    <xf numFmtId="0" fontId="3" fillId="0" borderId="1" xfId="0" applyFont="1" applyBorder="1" applyAlignment="1">
      <alignment horizontal="center" wrapText="1"/>
    </xf>
    <xf numFmtId="0" fontId="3" fillId="4" borderId="1" xfId="0" applyFont="1" applyFill="1" applyBorder="1" applyAlignment="1">
      <alignment horizontal="justify" wrapText="1"/>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4" fillId="4" borderId="1" xfId="0" applyFont="1" applyFill="1" applyBorder="1" applyAlignment="1">
      <alignment wrapText="1"/>
    </xf>
    <xf numFmtId="0" fontId="4" fillId="4" borderId="1" xfId="0" applyFont="1" applyFill="1" applyBorder="1" applyAlignment="1">
      <alignment horizontal="justify" wrapText="1"/>
    </xf>
    <xf numFmtId="0" fontId="0" fillId="0" borderId="15" xfId="0"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wrapText="1"/>
      <protection locked="0" hidden="1"/>
    </xf>
    <xf numFmtId="0" fontId="3" fillId="4" borderId="1" xfId="0" applyFont="1" applyFill="1" applyBorder="1" applyAlignment="1" applyProtection="1">
      <alignment horizontal="justify" wrapText="1"/>
      <protection locked="0" hidden="1"/>
    </xf>
    <xf numFmtId="0" fontId="16" fillId="12" borderId="21" xfId="0" applyFont="1" applyFill="1" applyBorder="1" applyAlignment="1" applyProtection="1">
      <alignment horizontal="center" vertical="center"/>
    </xf>
    <xf numFmtId="0" fontId="16" fillId="12" borderId="21" xfId="0" applyFont="1" applyFill="1" applyBorder="1" applyAlignment="1" applyProtection="1">
      <alignment horizontal="center" vertical="center" wrapText="1"/>
    </xf>
    <xf numFmtId="0" fontId="19" fillId="25" borderId="4" xfId="0" applyFont="1" applyFill="1" applyBorder="1" applyAlignment="1" applyProtection="1">
      <alignment horizontal="justify" wrapText="1"/>
    </xf>
    <xf numFmtId="0" fontId="19" fillId="25" borderId="4" xfId="0" applyFont="1" applyFill="1" applyBorder="1" applyAlignment="1" applyProtection="1">
      <alignment horizontal="justify" vertical="center" wrapText="1"/>
    </xf>
    <xf numFmtId="0" fontId="16" fillId="26" borderId="1" xfId="0" applyFont="1" applyFill="1" applyBorder="1" applyAlignment="1" applyProtection="1">
      <alignment wrapText="1"/>
    </xf>
    <xf numFmtId="0" fontId="16" fillId="26" borderId="1" xfId="0" applyFont="1" applyFill="1" applyBorder="1" applyAlignment="1" applyProtection="1">
      <alignment horizontal="center" wrapText="1"/>
    </xf>
    <xf numFmtId="0" fontId="16" fillId="27" borderId="1" xfId="0" applyFont="1" applyFill="1" applyBorder="1" applyAlignment="1" applyProtection="1">
      <alignment horizontal="center" vertical="center" wrapText="1"/>
    </xf>
    <xf numFmtId="0" fontId="16" fillId="27" borderId="1" xfId="0" applyFont="1" applyFill="1" applyBorder="1" applyAlignment="1" applyProtection="1">
      <alignment horizontal="justify" vertical="center" wrapText="1"/>
    </xf>
    <xf numFmtId="0" fontId="4" fillId="0" borderId="0" xfId="0" applyFont="1" applyAlignment="1" applyProtection="1"/>
    <xf numFmtId="0" fontId="4" fillId="13" borderId="1" xfId="0" applyFont="1" applyFill="1" applyBorder="1" applyProtection="1"/>
    <xf numFmtId="0" fontId="4" fillId="10" borderId="1" xfId="0" applyFont="1" applyFill="1" applyBorder="1" applyProtection="1"/>
    <xf numFmtId="0" fontId="4" fillId="11" borderId="1" xfId="0" applyFont="1" applyFill="1" applyBorder="1" applyProtection="1"/>
    <xf numFmtId="0" fontId="4" fillId="0" borderId="0" xfId="0" applyFont="1" applyAlignment="1" applyProtection="1">
      <alignment horizontal="center"/>
    </xf>
    <xf numFmtId="0" fontId="17" fillId="22" borderId="19" xfId="0" applyFont="1" applyFill="1" applyBorder="1" applyAlignment="1" applyProtection="1">
      <alignment horizontal="center" vertical="top" wrapText="1"/>
    </xf>
    <xf numFmtId="0" fontId="17" fillId="22" borderId="20" xfId="0" applyFont="1" applyFill="1" applyBorder="1" applyAlignment="1" applyProtection="1">
      <alignment horizontal="center" vertical="top" wrapText="1"/>
    </xf>
    <xf numFmtId="0" fontId="18" fillId="0" borderId="19" xfId="0" applyFont="1" applyBorder="1" applyAlignment="1" applyProtection="1">
      <alignment horizontal="center" vertical="top" wrapText="1"/>
    </xf>
    <xf numFmtId="0" fontId="18" fillId="0" borderId="20" xfId="0" applyFont="1" applyBorder="1" applyAlignment="1" applyProtection="1">
      <alignment horizontal="center" vertical="top" wrapText="1"/>
    </xf>
    <xf numFmtId="0" fontId="18" fillId="23" borderId="20" xfId="0" applyFont="1" applyFill="1" applyBorder="1" applyAlignment="1" applyProtection="1">
      <alignment horizontal="center" vertical="top" wrapText="1"/>
    </xf>
    <xf numFmtId="0" fontId="18" fillId="20" borderId="20" xfId="0" applyFont="1" applyFill="1" applyBorder="1" applyAlignment="1" applyProtection="1">
      <alignment horizontal="center" vertical="top" wrapText="1"/>
    </xf>
    <xf numFmtId="0" fontId="18" fillId="19" borderId="20" xfId="0" applyFont="1" applyFill="1" applyBorder="1" applyAlignment="1" applyProtection="1">
      <alignment horizontal="center" vertical="top" wrapText="1"/>
    </xf>
    <xf numFmtId="0" fontId="18" fillId="24" borderId="20" xfId="0" applyFont="1" applyFill="1" applyBorder="1" applyAlignment="1" applyProtection="1">
      <alignment horizontal="justify" vertical="top" wrapText="1"/>
    </xf>
    <xf numFmtId="0" fontId="9" fillId="0" borderId="0" xfId="3" applyAlignment="1" applyProtection="1">
      <alignment horizontal="center" vertical="center" wrapText="1"/>
    </xf>
    <xf numFmtId="0" fontId="9" fillId="0" borderId="0" xfId="3" applyAlignment="1" applyProtection="1">
      <alignment wrapText="1"/>
    </xf>
    <xf numFmtId="0" fontId="9" fillId="0" borderId="0" xfId="3" applyAlignment="1" applyProtection="1"/>
    <xf numFmtId="164" fontId="3" fillId="4" borderId="1" xfId="0" applyNumberFormat="1" applyFont="1" applyFill="1" applyBorder="1" applyAlignment="1" applyProtection="1">
      <alignment vertical="center" wrapText="1"/>
      <protection locked="0" hidden="1"/>
    </xf>
    <xf numFmtId="164" fontId="3" fillId="4" borderId="1" xfId="0" applyNumberFormat="1" applyFont="1" applyFill="1" applyBorder="1" applyAlignment="1" applyProtection="1">
      <alignment horizontal="justify" wrapText="1"/>
      <protection locked="0" hidden="1"/>
    </xf>
    <xf numFmtId="164" fontId="4" fillId="4" borderId="1" xfId="0" applyNumberFormat="1" applyFont="1" applyFill="1" applyBorder="1" applyAlignment="1" applyProtection="1">
      <alignment horizontal="justify" wrapText="1"/>
      <protection locked="0" hidden="1"/>
    </xf>
    <xf numFmtId="165" fontId="3" fillId="4" borderId="1" xfId="0" applyNumberFormat="1" applyFont="1" applyFill="1" applyBorder="1" applyAlignment="1" applyProtection="1">
      <alignment horizontal="justify" wrapText="1"/>
      <protection locked="0" hidden="1"/>
    </xf>
    <xf numFmtId="165" fontId="4" fillId="4" borderId="1" xfId="0" applyNumberFormat="1" applyFont="1" applyFill="1" applyBorder="1" applyAlignment="1" applyProtection="1">
      <alignment horizontal="justify" wrapText="1"/>
      <protection locked="0" hidden="1"/>
    </xf>
    <xf numFmtId="0" fontId="18" fillId="29" borderId="20" xfId="0" applyFont="1" applyFill="1" applyBorder="1" applyAlignment="1" applyProtection="1">
      <alignment horizontal="center" vertical="top" wrapText="1"/>
    </xf>
    <xf numFmtId="0" fontId="6" fillId="22" borderId="19" xfId="0" applyFont="1" applyFill="1" applyBorder="1" applyAlignment="1" applyProtection="1">
      <alignment horizontal="center" vertical="top" wrapText="1"/>
    </xf>
    <xf numFmtId="0" fontId="6" fillId="22" borderId="20" xfId="0" applyFont="1" applyFill="1" applyBorder="1" applyAlignment="1" applyProtection="1">
      <alignment horizontal="center" vertical="top" wrapText="1"/>
    </xf>
    <xf numFmtId="0" fontId="4" fillId="0" borderId="19" xfId="0" applyFont="1" applyBorder="1" applyAlignment="1" applyProtection="1">
      <alignment horizontal="center" vertical="top" wrapText="1"/>
    </xf>
    <xf numFmtId="0" fontId="4" fillId="0" borderId="20" xfId="0" applyFont="1" applyBorder="1" applyAlignment="1" applyProtection="1">
      <alignment horizontal="center" vertical="top" wrapText="1"/>
    </xf>
    <xf numFmtId="0" fontId="4" fillId="23" borderId="20" xfId="0" applyFont="1" applyFill="1" applyBorder="1" applyAlignment="1" applyProtection="1">
      <alignment horizontal="center" vertical="top" wrapText="1"/>
    </xf>
    <xf numFmtId="0" fontId="4" fillId="20" borderId="20" xfId="0" applyFont="1" applyFill="1" applyBorder="1" applyAlignment="1" applyProtection="1">
      <alignment horizontal="center" vertical="top" wrapText="1"/>
    </xf>
    <xf numFmtId="0" fontId="4" fillId="19" borderId="20" xfId="0" applyFont="1" applyFill="1" applyBorder="1" applyAlignment="1" applyProtection="1">
      <alignment horizontal="center" vertical="top" wrapText="1"/>
    </xf>
    <xf numFmtId="0" fontId="4" fillId="29" borderId="20" xfId="0" applyFont="1" applyFill="1" applyBorder="1" applyAlignment="1" applyProtection="1">
      <alignment horizontal="center" vertical="top" wrapText="1"/>
    </xf>
    <xf numFmtId="0" fontId="4" fillId="24" borderId="20" xfId="0" applyFont="1" applyFill="1" applyBorder="1" applyAlignment="1" applyProtection="1">
      <alignment horizontal="justify" vertical="top" wrapText="1"/>
    </xf>
    <xf numFmtId="9" fontId="6" fillId="16" borderId="1" xfId="0" applyNumberFormat="1" applyFont="1" applyFill="1" applyBorder="1" applyAlignment="1" applyProtection="1">
      <alignment horizontal="center" vertical="center"/>
    </xf>
    <xf numFmtId="0" fontId="0" fillId="0" borderId="0" xfId="0" applyProtection="1">
      <protection locked="0"/>
    </xf>
    <xf numFmtId="0" fontId="9" fillId="0" borderId="0" xfId="3" quotePrefix="1" applyAlignment="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9" fontId="3" fillId="4" borderId="0" xfId="1" applyFont="1" applyFill="1" applyBorder="1" applyAlignment="1" applyProtection="1">
      <alignment horizontal="center" vertical="center" wrapText="1"/>
      <protection locked="0"/>
    </xf>
    <xf numFmtId="0" fontId="0" fillId="0" borderId="0" xfId="0" applyBorder="1" applyProtection="1">
      <protection locked="0"/>
    </xf>
    <xf numFmtId="0" fontId="4" fillId="0" borderId="1" xfId="0" applyFont="1" applyBorder="1" applyAlignment="1" applyProtection="1">
      <alignment horizontal="center" vertical="center" wrapText="1"/>
      <protection locked="0"/>
    </xf>
    <xf numFmtId="167" fontId="4" fillId="0" borderId="1" xfId="0" applyNumberFormat="1" applyFont="1" applyBorder="1" applyAlignment="1" applyProtection="1">
      <alignment horizontal="center" vertical="center"/>
      <protection locked="0"/>
    </xf>
    <xf numFmtId="0" fontId="0" fillId="5" borderId="13" xfId="0" applyFill="1" applyBorder="1" applyAlignment="1" applyProtection="1">
      <alignment wrapText="1"/>
      <protection locked="0"/>
    </xf>
    <xf numFmtId="0" fontId="4" fillId="8" borderId="1" xfId="0" applyFont="1" applyFill="1" applyBorder="1" applyProtection="1">
      <protection locked="0"/>
    </xf>
    <xf numFmtId="0" fontId="0" fillId="0" borderId="0" xfId="0" applyBorder="1" applyAlignment="1" applyProtection="1">
      <alignment horizontal="center" vertical="center"/>
      <protection locked="0"/>
    </xf>
    <xf numFmtId="0" fontId="3" fillId="4" borderId="0" xfId="0" applyFont="1" applyFill="1" applyBorder="1" applyAlignment="1" applyProtection="1">
      <alignment vertical="center" wrapText="1"/>
      <protection locked="0"/>
    </xf>
    <xf numFmtId="0" fontId="9" fillId="0" borderId="0" xfId="3"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6" fillId="22" borderId="20" xfId="0" applyFont="1" applyFill="1" applyBorder="1" applyAlignment="1" applyProtection="1">
      <alignment horizontal="center" vertical="top" wrapText="1"/>
      <protection locked="0"/>
    </xf>
    <xf numFmtId="0" fontId="8" fillId="0" borderId="0" xfId="0" applyFont="1" applyProtection="1">
      <protection locked="0"/>
    </xf>
    <xf numFmtId="0" fontId="4" fillId="0" borderId="1" xfId="0" applyFont="1" applyBorder="1" applyAlignment="1" applyProtection="1">
      <alignment wrapText="1"/>
      <protection locked="0"/>
    </xf>
    <xf numFmtId="0" fontId="4" fillId="5" borderId="1" xfId="0" applyFont="1" applyFill="1" applyBorder="1" applyAlignment="1" applyProtection="1">
      <alignment wrapText="1"/>
      <protection locked="0"/>
    </xf>
    <xf numFmtId="0" fontId="4" fillId="0" borderId="0" xfId="0" applyFont="1" applyProtection="1">
      <protection locked="0"/>
    </xf>
    <xf numFmtId="0" fontId="9" fillId="0" borderId="0" xfId="3" applyAlignment="1" applyProtection="1">
      <alignment horizontal="center" vertical="center" wrapText="1"/>
      <protection locked="0"/>
    </xf>
    <xf numFmtId="0" fontId="4" fillId="0" borderId="0" xfId="0" applyFont="1" applyAlignment="1" applyProtection="1">
      <alignment wrapText="1"/>
      <protection locked="0"/>
    </xf>
    <xf numFmtId="0" fontId="0" fillId="0" borderId="0" xfId="0" applyAlignment="1" applyProtection="1">
      <alignment wrapText="1"/>
      <protection locked="0"/>
    </xf>
    <xf numFmtId="9" fontId="4" fillId="16" borderId="1" xfId="0" applyNumberFormat="1" applyFont="1" applyFill="1" applyBorder="1" applyAlignment="1" applyProtection="1">
      <alignment horizontal="center" vertical="center"/>
    </xf>
    <xf numFmtId="0" fontId="9" fillId="0" borderId="0" xfId="3" applyAlignment="1" applyProtection="1">
      <alignment vertical="center" wrapText="1"/>
      <protection locked="0"/>
    </xf>
    <xf numFmtId="0" fontId="4" fillId="5" borderId="0" xfId="0" applyFont="1" applyFill="1" applyProtection="1">
      <protection locked="0"/>
    </xf>
    <xf numFmtId="0" fontId="4" fillId="5" borderId="14" xfId="0" applyFont="1" applyFill="1" applyBorder="1" applyAlignment="1" applyProtection="1">
      <alignment horizontal="center" vertical="center" wrapText="1"/>
      <protection locked="0"/>
    </xf>
    <xf numFmtId="0" fontId="4" fillId="5" borderId="3" xfId="0" applyFont="1" applyFill="1" applyBorder="1" applyAlignment="1" applyProtection="1">
      <alignment vertical="center" wrapText="1"/>
      <protection locked="0"/>
    </xf>
    <xf numFmtId="0" fontId="4" fillId="5" borderId="7"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5" borderId="1" xfId="0" applyFont="1" applyFill="1" applyBorder="1" applyAlignment="1" applyProtection="1">
      <alignment horizontal="center" vertical="center" wrapText="1"/>
      <protection locked="0"/>
    </xf>
    <xf numFmtId="166" fontId="4" fillId="0" borderId="0" xfId="0" applyNumberFormat="1" applyFont="1" applyProtection="1">
      <protection locked="0"/>
    </xf>
    <xf numFmtId="9" fontId="4" fillId="0" borderId="0" xfId="0" applyNumberFormat="1" applyFont="1" applyProtection="1">
      <protection locked="0"/>
    </xf>
    <xf numFmtId="0" fontId="4" fillId="5" borderId="7" xfId="0" applyFont="1" applyFill="1" applyBorder="1" applyAlignment="1" applyProtection="1">
      <alignment horizontal="center" vertical="center"/>
      <protection locked="0"/>
    </xf>
    <xf numFmtId="0" fontId="4" fillId="0" borderId="0" xfId="0" applyFont="1" applyBorder="1" applyAlignment="1" applyProtection="1">
      <protection locked="0"/>
    </xf>
    <xf numFmtId="9" fontId="4" fillId="0" borderId="1" xfId="0" applyNumberFormat="1" applyFont="1" applyBorder="1" applyAlignment="1" applyProtection="1">
      <alignment horizontal="center" vertical="center"/>
      <protection locked="0"/>
    </xf>
    <xf numFmtId="0" fontId="6" fillId="10" borderId="1" xfId="0" applyFont="1" applyFill="1" applyBorder="1" applyAlignment="1" applyProtection="1">
      <alignment horizontal="center" vertical="center"/>
    </xf>
    <xf numFmtId="0" fontId="6" fillId="10" borderId="1" xfId="0" applyFont="1" applyFill="1" applyBorder="1" applyAlignment="1" applyProtection="1">
      <alignment horizontal="center" vertical="center" wrapText="1"/>
    </xf>
    <xf numFmtId="0" fontId="4" fillId="15" borderId="4" xfId="0" applyFont="1" applyFill="1" applyBorder="1" applyAlignment="1" applyProtection="1">
      <alignment horizontal="center" vertical="center" wrapText="1"/>
    </xf>
    <xf numFmtId="9" fontId="4" fillId="15" borderId="4" xfId="0" applyNumberFormat="1" applyFont="1" applyFill="1" applyBorder="1" applyAlignment="1" applyProtection="1">
      <alignment horizontal="center" vertical="center" wrapText="1"/>
    </xf>
    <xf numFmtId="0" fontId="6" fillId="10" borderId="2" xfId="0" applyFont="1" applyFill="1" applyBorder="1" applyAlignment="1" applyProtection="1">
      <alignment horizontal="center" vertical="center" wrapText="1"/>
    </xf>
    <xf numFmtId="0" fontId="4" fillId="5" borderId="3" xfId="0" applyFont="1" applyFill="1" applyBorder="1" applyAlignment="1" applyProtection="1">
      <alignment vertical="center" wrapText="1"/>
    </xf>
    <xf numFmtId="9"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wrapText="1"/>
    </xf>
    <xf numFmtId="9" fontId="5" fillId="14" borderId="1" xfId="0" applyNumberFormat="1" applyFont="1" applyFill="1" applyBorder="1" applyAlignment="1" applyProtection="1">
      <alignment horizontal="center"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166" fontId="4" fillId="14" borderId="1" xfId="0" applyNumberFormat="1" applyFont="1" applyFill="1" applyBorder="1" applyAlignment="1" applyProtection="1">
      <alignment horizontal="center" vertical="center" wrapText="1"/>
    </xf>
    <xf numFmtId="9" fontId="4" fillId="15"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xf>
    <xf numFmtId="0" fontId="4" fillId="15" borderId="1" xfId="0" applyFont="1" applyFill="1" applyBorder="1" applyAlignment="1" applyProtection="1">
      <alignment horizontal="center" vertical="center"/>
    </xf>
    <xf numFmtId="9" fontId="4" fillId="14" borderId="1" xfId="0" applyNumberFormat="1" applyFont="1" applyFill="1" applyBorder="1" applyAlignment="1" applyProtection="1">
      <alignment horizontal="center" vertical="center"/>
    </xf>
    <xf numFmtId="166"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xf>
    <xf numFmtId="0" fontId="6" fillId="15" borderId="1" xfId="0" applyFont="1" applyFill="1" applyBorder="1" applyAlignment="1" applyProtection="1">
      <alignment horizontal="center"/>
    </xf>
    <xf numFmtId="0" fontId="4" fillId="5"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xf>
    <xf numFmtId="9" fontId="4"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10" fontId="4" fillId="5" borderId="1" xfId="0" applyNumberFormat="1" applyFont="1" applyFill="1" applyBorder="1" applyAlignment="1" applyProtection="1">
      <alignment horizontal="center" vertical="center"/>
      <protection locked="0"/>
    </xf>
    <xf numFmtId="9" fontId="9" fillId="0" borderId="0" xfId="1" applyFont="1" applyAlignment="1" applyProtection="1">
      <alignment horizontal="center" vertical="center" wrapText="1"/>
      <protection locked="0"/>
    </xf>
    <xf numFmtId="9" fontId="4" fillId="0" borderId="0" xfId="1" applyFont="1" applyAlignment="1" applyProtection="1">
      <alignment horizontal="center" vertical="center"/>
      <protection locked="0"/>
    </xf>
    <xf numFmtId="0" fontId="4" fillId="14" borderId="1" xfId="0" applyFont="1" applyFill="1" applyBorder="1" applyProtection="1">
      <protection locked="0"/>
    </xf>
    <xf numFmtId="9" fontId="4" fillId="5" borderId="3" xfId="0" applyNumberFormat="1" applyFont="1" applyFill="1" applyBorder="1" applyAlignment="1" applyProtection="1">
      <alignment vertical="center" wrapText="1"/>
    </xf>
    <xf numFmtId="9" fontId="4" fillId="5" borderId="3" xfId="0" applyNumberFormat="1"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4" fillId="15" borderId="2" xfId="0" applyFont="1" applyFill="1" applyBorder="1" applyAlignment="1" applyProtection="1">
      <alignment horizontal="center" vertical="center"/>
    </xf>
    <xf numFmtId="2" fontId="4" fillId="14"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xf>
    <xf numFmtId="10" fontId="4" fillId="5" borderId="3" xfId="0" applyNumberFormat="1" applyFont="1" applyFill="1" applyBorder="1" applyAlignment="1" applyProtection="1">
      <alignment vertical="center"/>
    </xf>
    <xf numFmtId="10" fontId="4" fillId="5" borderId="3" xfId="0" applyNumberFormat="1" applyFont="1" applyFill="1" applyBorder="1" applyAlignment="1" applyProtection="1">
      <alignment horizontal="center" vertical="center"/>
    </xf>
    <xf numFmtId="0" fontId="4" fillId="14" borderId="1" xfId="0" applyFont="1" applyFill="1" applyBorder="1" applyAlignment="1" applyProtection="1">
      <alignment horizontal="center"/>
    </xf>
    <xf numFmtId="0" fontId="4" fillId="15" borderId="1" xfId="0" applyFont="1" applyFill="1" applyBorder="1" applyProtection="1"/>
    <xf numFmtId="0" fontId="4" fillId="9" borderId="1" xfId="0" applyFont="1" applyFill="1" applyBorder="1" applyProtection="1"/>
    <xf numFmtId="0" fontId="4" fillId="0" borderId="3" xfId="0" applyFont="1" applyBorder="1" applyAlignment="1">
      <alignment vertical="center" wrapText="1"/>
    </xf>
    <xf numFmtId="0" fontId="9" fillId="0" borderId="0" xfId="3" applyAlignment="1" applyProtection="1">
      <alignment wrapText="1"/>
      <protection locked="0"/>
    </xf>
    <xf numFmtId="0" fontId="9" fillId="0" borderId="0" xfId="3" applyAlignment="1" applyProtection="1">
      <alignment vertical="center"/>
      <protection locked="0"/>
    </xf>
    <xf numFmtId="0" fontId="4" fillId="0" borderId="0" xfId="0" applyFont="1" applyAlignment="1" applyProtection="1">
      <alignment vertical="center"/>
      <protection locked="0"/>
    </xf>
    <xf numFmtId="0" fontId="6" fillId="12" borderId="1" xfId="0" applyFont="1" applyFill="1" applyBorder="1" applyAlignment="1" applyProtection="1">
      <alignment horizontal="center" vertical="center"/>
    </xf>
    <xf numFmtId="0" fontId="6" fillId="12" borderId="1" xfId="0" applyFont="1" applyFill="1" applyBorder="1" applyAlignment="1" applyProtection="1">
      <alignment horizontal="center" vertical="center" wrapText="1"/>
    </xf>
    <xf numFmtId="9" fontId="6" fillId="12" borderId="1" xfId="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9" fillId="0" borderId="0" xfId="1" applyFont="1" applyAlignment="1" applyProtection="1">
      <alignment horizontal="center" vertical="center" wrapText="1"/>
    </xf>
    <xf numFmtId="9" fontId="4" fillId="0" borderId="0" xfId="1" applyFont="1" applyAlignment="1">
      <alignment horizontal="center" vertical="center"/>
    </xf>
    <xf numFmtId="10" fontId="4" fillId="0" borderId="1" xfId="0" applyNumberFormat="1" applyFont="1" applyBorder="1" applyAlignment="1" applyProtection="1">
      <alignment horizontal="center" vertical="center"/>
      <protection locked="0"/>
    </xf>
    <xf numFmtId="10" fontId="4" fillId="0" borderId="1"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3" xfId="0" applyFont="1" applyBorder="1" applyAlignment="1">
      <alignment vertical="center"/>
    </xf>
    <xf numFmtId="9" fontId="9" fillId="0" borderId="0" xfId="1" applyFont="1" applyAlignment="1" applyProtection="1">
      <alignment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xf>
    <xf numFmtId="0" fontId="4" fillId="0" borderId="1" xfId="0" applyFont="1" applyBorder="1" applyAlignment="1" applyProtection="1">
      <alignment horizontal="center" vertical="center"/>
    </xf>
    <xf numFmtId="9" fontId="4" fillId="0" borderId="1" xfId="1" applyFont="1" applyBorder="1" applyAlignment="1" applyProtection="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1" applyNumberFormat="1" applyFont="1" applyBorder="1" applyAlignment="1" applyProtection="1">
      <alignment horizontal="center" vertical="center"/>
      <protection locked="0"/>
    </xf>
    <xf numFmtId="0" fontId="4" fillId="0" borderId="0" xfId="1" applyNumberFormat="1" applyFont="1" applyAlignment="1" applyProtection="1">
      <alignment horizontal="center" vertical="center"/>
      <protection locked="0"/>
    </xf>
    <xf numFmtId="168" fontId="4" fillId="5" borderId="1" xfId="4" applyNumberFormat="1" applyFont="1" applyFill="1" applyBorder="1" applyAlignment="1" applyProtection="1">
      <alignment horizontal="center" vertical="center"/>
      <protection locked="0"/>
    </xf>
    <xf numFmtId="168" fontId="4" fillId="5" borderId="1" xfId="4" applyNumberFormat="1" applyFont="1" applyFill="1" applyBorder="1" applyAlignment="1" applyProtection="1">
      <protection locked="0"/>
    </xf>
    <xf numFmtId="0" fontId="4" fillId="0" borderId="1" xfId="0" applyFont="1" applyBorder="1" applyAlignment="1" applyProtection="1">
      <alignment horizontal="left" vertical="center" wrapText="1" indent="1"/>
    </xf>
    <xf numFmtId="0" fontId="4" fillId="0" borderId="1" xfId="0" applyFont="1" applyBorder="1" applyAlignment="1" applyProtection="1">
      <alignment horizontal="left" wrapText="1" indent="1"/>
    </xf>
    <xf numFmtId="0" fontId="4" fillId="0" borderId="15" xfId="0" applyFont="1" applyBorder="1" applyAlignment="1" applyProtection="1">
      <alignment horizontal="left" vertical="center" wrapText="1" indent="1"/>
    </xf>
    <xf numFmtId="0" fontId="9" fillId="0" borderId="0" xfId="3" applyBorder="1" applyAlignment="1" applyProtection="1">
      <alignment horizontal="left" vertical="center" wrapText="1" indent="1"/>
    </xf>
    <xf numFmtId="0" fontId="4" fillId="5" borderId="1" xfId="0" applyFont="1" applyFill="1" applyBorder="1" applyAlignment="1" applyProtection="1">
      <alignment horizontal="left" vertical="center" wrapText="1" indent="1"/>
    </xf>
    <xf numFmtId="0" fontId="4" fillId="0" borderId="1" xfId="0" applyFont="1" applyBorder="1" applyAlignment="1">
      <alignment horizontal="center"/>
    </xf>
    <xf numFmtId="9" fontId="4" fillId="0" borderId="1" xfId="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9" fontId="4" fillId="5" borderId="2" xfId="1" applyFont="1" applyFill="1" applyBorder="1" applyAlignment="1">
      <alignment horizontal="center" vertical="center"/>
    </xf>
    <xf numFmtId="9" fontId="4" fillId="5" borderId="4" xfId="1" applyFont="1" applyFill="1" applyBorder="1" applyAlignment="1">
      <alignment horizontal="center" vertical="center"/>
    </xf>
    <xf numFmtId="0" fontId="4" fillId="5" borderId="1" xfId="0" applyFont="1" applyFill="1" applyBorder="1" applyAlignment="1">
      <alignment horizontal="center" vertical="center" wrapText="1"/>
    </xf>
    <xf numFmtId="9" fontId="4" fillId="5" borderId="1" xfId="1" applyFont="1" applyFill="1" applyBorder="1" applyAlignment="1">
      <alignment horizontal="center" vertical="center"/>
    </xf>
    <xf numFmtId="2" fontId="4" fillId="30" borderId="1" xfId="0" applyNumberFormat="1" applyFont="1" applyFill="1" applyBorder="1" applyAlignment="1" applyProtection="1">
      <alignment horizontal="center" vertical="center"/>
    </xf>
    <xf numFmtId="0" fontId="4" fillId="30" borderId="1" xfId="0" applyFont="1" applyFill="1" applyBorder="1" applyAlignment="1" applyProtection="1">
      <alignment horizontal="center" vertical="center"/>
    </xf>
    <xf numFmtId="0" fontId="4" fillId="14" borderId="23" xfId="0" applyFont="1" applyFill="1" applyBorder="1" applyAlignment="1" applyProtection="1">
      <alignment horizontal="center" vertical="center"/>
    </xf>
    <xf numFmtId="2" fontId="4" fillId="14" borderId="24" xfId="0" applyNumberFormat="1" applyFont="1" applyFill="1" applyBorder="1" applyAlignment="1" applyProtection="1">
      <alignment horizontal="center" vertical="center"/>
    </xf>
    <xf numFmtId="0" fontId="4" fillId="14" borderId="26" xfId="0" applyFont="1" applyFill="1" applyBorder="1" applyAlignment="1" applyProtection="1">
      <alignment horizontal="center" vertical="center"/>
    </xf>
    <xf numFmtId="0" fontId="4" fillId="14" borderId="28" xfId="0" applyFont="1" applyFill="1" applyBorder="1" applyAlignment="1" applyProtection="1">
      <alignment horizontal="center" vertical="center"/>
    </xf>
    <xf numFmtId="2" fontId="4" fillId="14" borderId="29" xfId="0" applyNumberFormat="1" applyFont="1" applyFill="1" applyBorder="1" applyAlignment="1" applyProtection="1">
      <alignment horizontal="center" vertical="center"/>
    </xf>
    <xf numFmtId="0" fontId="4" fillId="30" borderId="23" xfId="0" applyFont="1" applyFill="1" applyBorder="1" applyAlignment="1" applyProtection="1">
      <alignment horizontal="center" vertical="center"/>
    </xf>
    <xf numFmtId="2" fontId="4" fillId="30" borderId="24" xfId="0" applyNumberFormat="1" applyFont="1" applyFill="1" applyBorder="1" applyAlignment="1" applyProtection="1">
      <alignment horizontal="center" vertical="center"/>
    </xf>
    <xf numFmtId="0" fontId="4" fillId="30" borderId="26" xfId="0" applyFont="1" applyFill="1" applyBorder="1" applyAlignment="1" applyProtection="1">
      <alignment horizontal="center" vertical="center"/>
    </xf>
    <xf numFmtId="0" fontId="4" fillId="30" borderId="28" xfId="0" applyFont="1" applyFill="1" applyBorder="1" applyAlignment="1" applyProtection="1">
      <alignment horizontal="center" vertical="center"/>
    </xf>
    <xf numFmtId="2" fontId="4" fillId="30" borderId="29" xfId="0" applyNumberFormat="1" applyFont="1" applyFill="1" applyBorder="1" applyAlignment="1" applyProtection="1">
      <alignment horizontal="center" vertical="center"/>
    </xf>
    <xf numFmtId="2" fontId="4" fillId="30" borderId="24" xfId="1"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24" xfId="0" applyFont="1" applyFill="1" applyBorder="1" applyAlignment="1" applyProtection="1">
      <alignment horizontal="center" vertical="center"/>
    </xf>
    <xf numFmtId="9" fontId="4" fillId="14" borderId="24" xfId="0" applyNumberFormat="1" applyFont="1" applyFill="1" applyBorder="1" applyAlignment="1" applyProtection="1">
      <alignment horizontal="center" vertical="center"/>
    </xf>
    <xf numFmtId="9" fontId="4" fillId="5" borderId="24" xfId="0" applyNumberFormat="1" applyFont="1" applyFill="1" applyBorder="1" applyAlignment="1" applyProtection="1">
      <alignment horizontal="center" vertical="center"/>
      <protection locked="0"/>
    </xf>
    <xf numFmtId="9" fontId="4" fillId="0" borderId="24" xfId="1" applyFont="1" applyBorder="1" applyAlignment="1" applyProtection="1">
      <alignment horizontal="center" vertical="center"/>
    </xf>
    <xf numFmtId="0" fontId="4" fillId="14" borderId="29" xfId="0" applyFont="1" applyFill="1" applyBorder="1" applyAlignment="1" applyProtection="1">
      <alignment horizontal="center" vertical="center"/>
    </xf>
    <xf numFmtId="9" fontId="4" fillId="14" borderId="29" xfId="0" applyNumberFormat="1" applyFont="1" applyFill="1" applyBorder="1" applyAlignment="1" applyProtection="1">
      <alignment horizontal="center" vertical="center"/>
    </xf>
    <xf numFmtId="9" fontId="4" fillId="5" borderId="29" xfId="0" applyNumberFormat="1" applyFont="1" applyFill="1" applyBorder="1" applyAlignment="1" applyProtection="1">
      <alignment horizontal="center" vertical="center"/>
      <protection locked="0"/>
    </xf>
    <xf numFmtId="9" fontId="4" fillId="0" borderId="29" xfId="1" applyFont="1" applyBorder="1" applyAlignment="1" applyProtection="1">
      <alignment horizontal="center" vertical="center"/>
    </xf>
    <xf numFmtId="2" fontId="4" fillId="5" borderId="36" xfId="0" applyNumberFormat="1" applyFont="1" applyFill="1" applyBorder="1" applyAlignment="1" applyProtection="1">
      <alignment horizontal="center" vertical="center"/>
      <protection locked="0"/>
    </xf>
    <xf numFmtId="2" fontId="4" fillId="5" borderId="5" xfId="0" applyNumberFormat="1" applyFont="1" applyFill="1" applyBorder="1" applyAlignment="1" applyProtection="1">
      <alignment horizontal="center" vertical="center"/>
      <protection locked="0"/>
    </xf>
    <xf numFmtId="2" fontId="4" fillId="5" borderId="37" xfId="0" applyNumberFormat="1" applyFont="1" applyFill="1" applyBorder="1" applyAlignment="1" applyProtection="1">
      <alignment horizontal="center" vertical="center"/>
      <protection locked="0"/>
    </xf>
    <xf numFmtId="10" fontId="4" fillId="0" borderId="38" xfId="1" applyNumberFormat="1" applyFont="1" applyBorder="1" applyAlignment="1" applyProtection="1">
      <alignment horizontal="center" vertical="center"/>
    </xf>
    <xf numFmtId="10" fontId="4" fillId="0" borderId="7" xfId="1" applyNumberFormat="1" applyFont="1" applyBorder="1" applyAlignment="1" applyProtection="1">
      <alignment horizontal="center" vertical="center"/>
    </xf>
    <xf numFmtId="10" fontId="4" fillId="0" borderId="39" xfId="1" applyNumberFormat="1" applyFont="1" applyBorder="1" applyAlignment="1" applyProtection="1">
      <alignment horizontal="center" vertical="center"/>
    </xf>
    <xf numFmtId="2" fontId="4" fillId="5" borderId="40" xfId="0" applyNumberFormat="1" applyFont="1" applyFill="1" applyBorder="1" applyAlignment="1" applyProtection="1">
      <alignment vertical="center"/>
    </xf>
    <xf numFmtId="2" fontId="4" fillId="5" borderId="41" xfId="0" applyNumberFormat="1" applyFont="1" applyFill="1" applyBorder="1" applyAlignment="1" applyProtection="1">
      <alignment vertical="center"/>
    </xf>
    <xf numFmtId="2" fontId="4" fillId="5" borderId="41" xfId="0" applyNumberFormat="1" applyFont="1" applyFill="1" applyBorder="1" applyAlignment="1" applyProtection="1">
      <alignment horizontal="center" vertical="center"/>
    </xf>
    <xf numFmtId="2" fontId="4" fillId="5" borderId="42" xfId="0" applyNumberFormat="1" applyFont="1" applyFill="1" applyBorder="1" applyAlignment="1" applyProtection="1">
      <alignment vertical="center"/>
    </xf>
    <xf numFmtId="0" fontId="4" fillId="0" borderId="7" xfId="0" applyFont="1" applyBorder="1" applyProtection="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xf>
    <xf numFmtId="0" fontId="4" fillId="0" borderId="43" xfId="0" applyFont="1" applyBorder="1" applyAlignment="1" applyProtection="1">
      <alignment vertical="center" wrapText="1"/>
    </xf>
    <xf numFmtId="0" fontId="4" fillId="0" borderId="2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xf>
    <xf numFmtId="0" fontId="4" fillId="0" borderId="44" xfId="0" applyFont="1" applyBorder="1" applyAlignment="1" applyProtection="1">
      <alignment vertical="center" wrapText="1"/>
    </xf>
    <xf numFmtId="0" fontId="4" fillId="5" borderId="24"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xf>
    <xf numFmtId="0" fontId="4" fillId="5" borderId="43" xfId="0"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xf>
    <xf numFmtId="0" fontId="4" fillId="5" borderId="44" xfId="0" applyFont="1" applyFill="1" applyBorder="1" applyAlignment="1" applyProtection="1">
      <alignment vertical="center" wrapText="1"/>
    </xf>
    <xf numFmtId="0" fontId="4" fillId="30" borderId="24" xfId="0" applyFont="1" applyFill="1" applyBorder="1" applyAlignment="1" applyProtection="1">
      <alignment horizontal="center" vertical="center"/>
    </xf>
    <xf numFmtId="0" fontId="4" fillId="30" borderId="24" xfId="0" applyFont="1" applyFill="1" applyBorder="1" applyAlignment="1" applyProtection="1">
      <alignment horizontal="center" vertical="center" wrapText="1"/>
    </xf>
    <xf numFmtId="0" fontId="4" fillId="30" borderId="1" xfId="0" applyFont="1" applyFill="1" applyBorder="1" applyAlignment="1" applyProtection="1">
      <alignment horizontal="center" vertical="center" wrapText="1"/>
      <protection locked="0"/>
    </xf>
    <xf numFmtId="0" fontId="4" fillId="30" borderId="1" xfId="0" applyFont="1" applyFill="1" applyBorder="1" applyAlignment="1" applyProtection="1">
      <alignment horizontal="center" vertical="center" wrapText="1"/>
    </xf>
    <xf numFmtId="0" fontId="4" fillId="30" borderId="29" xfId="0" applyFont="1" applyFill="1" applyBorder="1" applyAlignment="1" applyProtection="1">
      <alignment horizontal="center" vertical="center"/>
    </xf>
    <xf numFmtId="0" fontId="4" fillId="30" borderId="29" xfId="0" applyFont="1" applyFill="1" applyBorder="1" applyAlignment="1" applyProtection="1">
      <alignment horizontal="center" vertical="center" wrapText="1"/>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xf>
    <xf numFmtId="0" fontId="4" fillId="0" borderId="43" xfId="0" applyFont="1" applyBorder="1" applyAlignment="1" applyProtection="1">
      <alignment vertical="center" wrapText="1"/>
      <protection locked="0"/>
    </xf>
    <xf numFmtId="0" fontId="4" fillId="0" borderId="29" xfId="0" applyFont="1" applyBorder="1" applyAlignment="1" applyProtection="1">
      <alignment horizontal="center" vertical="center"/>
      <protection locked="0"/>
    </xf>
    <xf numFmtId="0" fontId="4" fillId="0" borderId="29" xfId="0" applyFont="1" applyBorder="1" applyAlignment="1" applyProtection="1">
      <alignment horizontal="center" vertical="center"/>
    </xf>
    <xf numFmtId="0" fontId="4" fillId="14" borderId="24" xfId="0" applyFont="1" applyFill="1" applyBorder="1" applyAlignment="1" applyProtection="1">
      <alignment horizontal="center" vertical="center" wrapText="1"/>
    </xf>
    <xf numFmtId="0" fontId="4" fillId="14" borderId="2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30" borderId="2" xfId="0" applyFont="1" applyFill="1" applyBorder="1" applyAlignment="1" applyProtection="1">
      <alignment horizontal="center" vertical="center" wrapText="1"/>
      <protection locked="0"/>
    </xf>
    <xf numFmtId="0" fontId="4" fillId="15" borderId="24" xfId="0" applyFont="1" applyFill="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15" borderId="29" xfId="0" applyFont="1" applyFill="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4" fillId="5" borderId="7" xfId="0" applyFont="1" applyFill="1" applyBorder="1" applyAlignment="1" applyProtection="1">
      <alignment wrapText="1"/>
      <protection locked="0"/>
    </xf>
    <xf numFmtId="9" fontId="7" fillId="16" borderId="2"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xf>
    <xf numFmtId="9" fontId="22" fillId="16" borderId="1"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protection locked="0"/>
    </xf>
    <xf numFmtId="9" fontId="7" fillId="16" borderId="4" xfId="0" applyNumberFormat="1" applyFont="1" applyFill="1" applyBorder="1" applyAlignment="1" applyProtection="1">
      <alignment horizontal="center" vertical="center"/>
    </xf>
    <xf numFmtId="0" fontId="6" fillId="12" borderId="2" xfId="0" applyFont="1" applyFill="1" applyBorder="1" applyAlignment="1">
      <alignment horizontal="center" vertical="center" wrapText="1"/>
    </xf>
    <xf numFmtId="9" fontId="6" fillId="12" borderId="2" xfId="1" applyFont="1" applyFill="1" applyBorder="1" applyAlignment="1">
      <alignment horizontal="center" vertical="center" wrapText="1"/>
    </xf>
    <xf numFmtId="0" fontId="4" fillId="14" borderId="24" xfId="0" applyFont="1" applyFill="1" applyBorder="1" applyAlignment="1">
      <alignment horizontal="center"/>
    </xf>
    <xf numFmtId="10" fontId="4" fillId="0" borderId="24"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43" xfId="0" applyFont="1" applyBorder="1" applyAlignment="1">
      <alignment vertical="center" wrapText="1"/>
    </xf>
    <xf numFmtId="0" fontId="4" fillId="0" borderId="24" xfId="0" applyFont="1" applyBorder="1" applyAlignment="1">
      <alignment horizontal="center" vertical="center"/>
    </xf>
    <xf numFmtId="0" fontId="4" fillId="14" borderId="29" xfId="0" applyFont="1" applyFill="1" applyBorder="1" applyAlignment="1">
      <alignment horizontal="center"/>
    </xf>
    <xf numFmtId="9" fontId="4" fillId="0" borderId="29" xfId="0" applyNumberFormat="1" applyFont="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44" xfId="0" applyFont="1" applyBorder="1" applyAlignment="1">
      <alignment vertical="center" wrapText="1"/>
    </xf>
    <xf numFmtId="0" fontId="4" fillId="0" borderId="29" xfId="0" applyFont="1" applyBorder="1" applyAlignment="1">
      <alignment horizontal="center" vertical="center"/>
    </xf>
    <xf numFmtId="0" fontId="4" fillId="15" borderId="24" xfId="0" applyFont="1" applyFill="1" applyBorder="1" applyAlignment="1">
      <alignment horizontal="center"/>
    </xf>
    <xf numFmtId="0" fontId="4" fillId="15" borderId="29" xfId="0" applyFont="1" applyFill="1" applyBorder="1" applyAlignment="1">
      <alignment horizont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30" borderId="1" xfId="0" applyFont="1" applyFill="1" applyBorder="1" applyAlignment="1">
      <alignment horizontal="center"/>
    </xf>
    <xf numFmtId="0" fontId="4" fillId="30" borderId="24" xfId="0" applyFont="1" applyFill="1" applyBorder="1" applyAlignment="1">
      <alignment horizontal="center"/>
    </xf>
    <xf numFmtId="0" fontId="4" fillId="30" borderId="29" xfId="0" applyFont="1" applyFill="1" applyBorder="1" applyAlignment="1">
      <alignment horizontal="center"/>
    </xf>
    <xf numFmtId="0" fontId="4" fillId="14" borderId="24" xfId="0" applyFont="1" applyFill="1" applyBorder="1" applyAlignment="1">
      <alignment wrapText="1"/>
    </xf>
    <xf numFmtId="0" fontId="4" fillId="14" borderId="29" xfId="0" applyFont="1" applyFill="1" applyBorder="1" applyAlignment="1">
      <alignment wrapText="1"/>
    </xf>
    <xf numFmtId="0" fontId="4" fillId="15" borderId="24" xfId="0" applyFont="1" applyFill="1" applyBorder="1" applyAlignment="1">
      <alignment horizontal="center" vertical="center"/>
    </xf>
    <xf numFmtId="0" fontId="4" fillId="15" borderId="29" xfId="0" applyFont="1" applyFill="1" applyBorder="1" applyAlignment="1">
      <alignment horizontal="center" vertical="center"/>
    </xf>
    <xf numFmtId="9" fontId="4" fillId="0" borderId="24" xfId="0" applyNumberFormat="1" applyFont="1" applyBorder="1" applyAlignment="1" applyProtection="1">
      <alignment horizontal="center" vertical="center"/>
      <protection locked="0"/>
    </xf>
    <xf numFmtId="0" fontId="4" fillId="15" borderId="24" xfId="0" applyFont="1" applyFill="1" applyBorder="1" applyAlignment="1">
      <alignment horizontal="center" wrapText="1"/>
    </xf>
    <xf numFmtId="0" fontId="4" fillId="15" borderId="29" xfId="0" applyFont="1" applyFill="1" applyBorder="1" applyAlignment="1">
      <alignment horizontal="center" wrapText="1"/>
    </xf>
    <xf numFmtId="0" fontId="4" fillId="14" borderId="24" xfId="0" applyFont="1" applyFill="1" applyBorder="1" applyAlignment="1">
      <alignment horizontal="center" wrapText="1"/>
    </xf>
    <xf numFmtId="10" fontId="4" fillId="0" borderId="24" xfId="0" applyNumberFormat="1" applyFont="1" applyBorder="1" applyAlignment="1" applyProtection="1">
      <alignment horizontal="center" vertical="center" wrapText="1"/>
      <protection locked="0"/>
    </xf>
    <xf numFmtId="0" fontId="4" fillId="14" borderId="29" xfId="0" applyFont="1" applyFill="1" applyBorder="1" applyAlignment="1">
      <alignment horizontal="center" wrapText="1"/>
    </xf>
    <xf numFmtId="0" fontId="4" fillId="30" borderId="24" xfId="0" applyFont="1" applyFill="1" applyBorder="1" applyAlignment="1">
      <alignment horizontal="center" wrapText="1"/>
    </xf>
    <xf numFmtId="0" fontId="4" fillId="30" borderId="1" xfId="0" applyFont="1" applyFill="1" applyBorder="1" applyAlignment="1">
      <alignment horizontal="center" wrapText="1"/>
    </xf>
    <xf numFmtId="0" fontId="4" fillId="30" borderId="29" xfId="0" applyFont="1" applyFill="1" applyBorder="1" applyAlignment="1">
      <alignment horizontal="center" wrapText="1"/>
    </xf>
    <xf numFmtId="9" fontId="4" fillId="0" borderId="24" xfId="0" applyNumberFormat="1" applyFont="1" applyBorder="1" applyAlignment="1" applyProtection="1">
      <alignment horizontal="center" vertical="center" wrapText="1"/>
      <protection locked="0"/>
    </xf>
    <xf numFmtId="9" fontId="22" fillId="16" borderId="1" xfId="1" applyFont="1" applyFill="1" applyBorder="1" applyAlignment="1">
      <alignment horizontal="center" vertical="center"/>
    </xf>
    <xf numFmtId="9" fontId="7" fillId="16" borderId="4" xfId="1" applyFont="1" applyFill="1" applyBorder="1" applyAlignment="1">
      <alignment horizontal="center" vertical="center"/>
    </xf>
    <xf numFmtId="9" fontId="7" fillId="16" borderId="3" xfId="1" applyFont="1" applyFill="1" applyBorder="1" applyAlignment="1">
      <alignment horizontal="center" vertical="center"/>
    </xf>
    <xf numFmtId="0" fontId="6" fillId="12" borderId="2" xfId="0" applyFont="1" applyFill="1" applyBorder="1" applyAlignment="1">
      <alignment horizontal="center" vertical="center"/>
    </xf>
    <xf numFmtId="166" fontId="4" fillId="5" borderId="24" xfId="0" applyNumberFormat="1"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44" xfId="0" applyFont="1" applyBorder="1" applyAlignment="1">
      <alignment vertical="center"/>
    </xf>
    <xf numFmtId="0" fontId="4" fillId="31" borderId="24" xfId="0" applyFont="1" applyFill="1" applyBorder="1" applyAlignment="1">
      <alignment horizontal="center" vertical="center" wrapText="1"/>
    </xf>
    <xf numFmtId="0" fontId="4" fillId="0" borderId="43" xfId="0" applyFont="1" applyBorder="1" applyAlignment="1">
      <alignment vertical="center"/>
    </xf>
    <xf numFmtId="0" fontId="4" fillId="31" borderId="29"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31" borderId="24" xfId="0" applyFont="1" applyFill="1" applyBorder="1" applyAlignment="1">
      <alignment horizontal="center" vertical="center"/>
    </xf>
    <xf numFmtId="0" fontId="4" fillId="31" borderId="29"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53" xfId="0" applyFont="1" applyBorder="1"/>
    <xf numFmtId="0" fontId="4" fillId="0" borderId="54" xfId="0" applyFont="1" applyBorder="1" applyAlignment="1">
      <alignment vertical="center"/>
    </xf>
    <xf numFmtId="0" fontId="4" fillId="0" borderId="54" xfId="0" applyFont="1" applyBorder="1" applyAlignment="1">
      <alignment horizontal="center" vertical="center"/>
    </xf>
    <xf numFmtId="0" fontId="4" fillId="0" borderId="55" xfId="0" applyFont="1" applyBorder="1" applyAlignment="1">
      <alignment vertical="center"/>
    </xf>
    <xf numFmtId="9" fontId="4" fillId="5" borderId="24" xfId="0" applyNumberFormat="1" applyFont="1" applyFill="1" applyBorder="1" applyAlignment="1">
      <alignment horizontal="center" vertical="center" wrapText="1"/>
    </xf>
    <xf numFmtId="9" fontId="4" fillId="5" borderId="29" xfId="0" applyNumberFormat="1" applyFont="1" applyFill="1" applyBorder="1" applyAlignment="1">
      <alignment horizontal="center" vertical="center" wrapText="1"/>
    </xf>
    <xf numFmtId="0" fontId="4" fillId="14" borderId="24" xfId="0" applyFont="1" applyFill="1" applyBorder="1" applyAlignment="1">
      <alignment horizontal="center" vertical="center" wrapText="1"/>
    </xf>
    <xf numFmtId="10" fontId="4" fillId="5" borderId="24" xfId="0" applyNumberFormat="1" applyFont="1" applyFill="1" applyBorder="1" applyAlignment="1">
      <alignment horizontal="center" vertical="center" wrapText="1"/>
    </xf>
    <xf numFmtId="0" fontId="4" fillId="14" borderId="29" xfId="0" applyFont="1" applyFill="1" applyBorder="1" applyAlignment="1">
      <alignment horizontal="center" vertical="center" wrapText="1"/>
    </xf>
    <xf numFmtId="9" fontId="4" fillId="5" borderId="29" xfId="0" quotePrefix="1"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xf>
    <xf numFmtId="9" fontId="4" fillId="5" borderId="29"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36" xfId="0" applyFont="1" applyBorder="1" applyAlignment="1" applyProtection="1">
      <alignment horizontal="center" vertical="center"/>
      <protection locked="0"/>
    </xf>
    <xf numFmtId="0" fontId="4" fillId="9" borderId="3" xfId="0"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9" fontId="4" fillId="0" borderId="29" xfId="0" applyNumberFormat="1" applyFont="1" applyBorder="1" applyAlignment="1">
      <alignment horizontal="center" vertical="center"/>
    </xf>
    <xf numFmtId="0" fontId="4" fillId="14" borderId="2" xfId="0" applyFont="1" applyFill="1" applyBorder="1" applyAlignment="1">
      <alignment horizontal="center" vertical="center" wrapText="1"/>
    </xf>
    <xf numFmtId="10" fontId="4" fillId="5" borderId="2" xfId="0" applyNumberFormat="1" applyFont="1" applyFill="1" applyBorder="1" applyAlignment="1">
      <alignment horizontal="center" vertical="center" wrapText="1"/>
    </xf>
    <xf numFmtId="0" fontId="4" fillId="0" borderId="11" xfId="0" applyFont="1" applyBorder="1" applyAlignment="1" applyProtection="1">
      <alignment horizontal="center" vertical="center"/>
      <protection locked="0"/>
    </xf>
    <xf numFmtId="10" fontId="4" fillId="5" borderId="24"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9" fontId="4" fillId="5" borderId="2" xfId="0" applyNumberFormat="1" applyFont="1" applyFill="1" applyBorder="1" applyAlignment="1" applyProtection="1">
      <alignment horizontal="center" vertical="center" wrapText="1"/>
      <protection locked="0"/>
    </xf>
    <xf numFmtId="9" fontId="4" fillId="5" borderId="4"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wrapText="1"/>
    </xf>
    <xf numFmtId="0" fontId="4" fillId="5" borderId="29" xfId="0" applyFont="1" applyFill="1" applyBorder="1" applyAlignment="1" applyProtection="1">
      <alignment horizontal="center" vertical="center"/>
      <protection locked="0"/>
    </xf>
    <xf numFmtId="0" fontId="4" fillId="15" borderId="4" xfId="0" applyFont="1" applyFill="1" applyBorder="1" applyAlignment="1">
      <alignment horizontal="center"/>
    </xf>
    <xf numFmtId="0" fontId="4" fillId="15" borderId="2" xfId="0" applyFont="1" applyFill="1" applyBorder="1" applyAlignment="1">
      <alignment horizontal="center"/>
    </xf>
    <xf numFmtId="0" fontId="4" fillId="31" borderId="24" xfId="0" applyFont="1" applyFill="1" applyBorder="1" applyAlignment="1">
      <alignment horizontal="center"/>
    </xf>
    <xf numFmtId="0" fontId="4" fillId="31" borderId="1" xfId="0" applyFont="1" applyFill="1" applyBorder="1" applyAlignment="1">
      <alignment horizontal="center"/>
    </xf>
    <xf numFmtId="0" fontId="4" fillId="31" borderId="29" xfId="0" applyFont="1" applyFill="1" applyBorder="1" applyAlignment="1">
      <alignment horizontal="center"/>
    </xf>
    <xf numFmtId="0" fontId="4" fillId="0" borderId="24" xfId="0" applyFont="1" applyBorder="1" applyAlignment="1">
      <alignment horizontal="center"/>
    </xf>
    <xf numFmtId="0" fontId="4" fillId="0" borderId="29" xfId="0" applyFont="1" applyBorder="1" applyAlignment="1">
      <alignment horizontal="center"/>
    </xf>
    <xf numFmtId="0" fontId="4" fillId="0" borderId="57" xfId="0" applyFont="1" applyBorder="1"/>
    <xf numFmtId="9" fontId="7" fillId="16" borderId="1" xfId="0" applyNumberFormat="1" applyFont="1" applyFill="1" applyBorder="1" applyAlignment="1">
      <alignment horizontal="center" vertical="center"/>
    </xf>
    <xf numFmtId="9" fontId="0" fillId="16" borderId="4" xfId="0" applyNumberFormat="1" applyFont="1" applyFill="1" applyBorder="1" applyAlignment="1">
      <alignment horizontal="center" vertical="center"/>
    </xf>
    <xf numFmtId="9" fontId="0" fillId="16" borderId="3" xfId="0" applyNumberFormat="1" applyFont="1" applyFill="1" applyBorder="1" applyAlignment="1">
      <alignment horizontal="center" vertical="center"/>
    </xf>
    <xf numFmtId="0" fontId="11" fillId="10"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9" fontId="11" fillId="10" borderId="2" xfId="1" applyFont="1" applyFill="1" applyBorder="1" applyAlignment="1">
      <alignment horizontal="center" vertical="center" wrapText="1"/>
    </xf>
    <xf numFmtId="0" fontId="5" fillId="15" borderId="4" xfId="0" applyFont="1" applyFill="1" applyBorder="1" applyAlignment="1">
      <alignment horizontal="center" vertical="center"/>
    </xf>
    <xf numFmtId="0" fontId="5" fillId="15" borderId="24" xfId="0" applyFont="1" applyFill="1" applyBorder="1" applyAlignment="1">
      <alignment horizontal="center" vertical="center"/>
    </xf>
    <xf numFmtId="0" fontId="5" fillId="15" borderId="29" xfId="0" applyFont="1" applyFill="1" applyBorder="1" applyAlignment="1">
      <alignment horizontal="center" vertical="center"/>
    </xf>
    <xf numFmtId="0" fontId="5" fillId="31" borderId="24" xfId="0" applyFont="1" applyFill="1" applyBorder="1" applyAlignment="1">
      <alignment horizontal="center" vertical="center"/>
    </xf>
    <xf numFmtId="0" fontId="5" fillId="31" borderId="29"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24" xfId="0" applyFont="1" applyFill="1" applyBorder="1" applyAlignment="1">
      <alignment horizontal="center" vertical="center"/>
    </xf>
    <xf numFmtId="0" fontId="5" fillId="14" borderId="29" xfId="0" applyFont="1" applyFill="1" applyBorder="1" applyAlignment="1">
      <alignment horizontal="center" vertical="center"/>
    </xf>
    <xf numFmtId="0" fontId="5" fillId="30" borderId="24" xfId="0" applyFont="1" applyFill="1" applyBorder="1" applyAlignment="1">
      <alignment horizontal="center" vertical="center"/>
    </xf>
    <xf numFmtId="0" fontId="5" fillId="30" borderId="1" xfId="0" applyFont="1" applyFill="1" applyBorder="1" applyAlignment="1">
      <alignment horizontal="center" vertical="center"/>
    </xf>
    <xf numFmtId="0" fontId="5" fillId="30" borderId="29" xfId="0" applyFont="1" applyFill="1" applyBorder="1" applyAlignment="1">
      <alignment horizontal="center" vertical="center"/>
    </xf>
    <xf numFmtId="9" fontId="4" fillId="5" borderId="1" xfId="1" applyNumberFormat="1" applyFont="1" applyFill="1" applyBorder="1" applyAlignment="1">
      <alignment horizontal="center" vertical="center"/>
    </xf>
    <xf numFmtId="0" fontId="4" fillId="5" borderId="13" xfId="0" applyFont="1" applyFill="1" applyBorder="1" applyAlignment="1">
      <alignment vertical="center" wrapText="1"/>
    </xf>
    <xf numFmtId="0" fontId="5" fillId="15" borderId="24" xfId="0" applyFont="1" applyFill="1" applyBorder="1" applyAlignment="1">
      <alignment horizontal="center" vertical="center" wrapText="1"/>
    </xf>
    <xf numFmtId="9" fontId="4" fillId="5" borderId="4" xfId="1" applyNumberFormat="1" applyFont="1" applyFill="1" applyBorder="1" applyAlignment="1">
      <alignment horizontal="center" vertical="center"/>
    </xf>
    <xf numFmtId="0" fontId="5" fillId="14" borderId="2" xfId="0" applyFont="1" applyFill="1" applyBorder="1" applyAlignment="1">
      <alignment horizontal="center" vertical="center"/>
    </xf>
    <xf numFmtId="9" fontId="4" fillId="5" borderId="24" xfId="1" applyFont="1" applyFill="1" applyBorder="1" applyAlignment="1">
      <alignment horizontal="center" vertical="center"/>
    </xf>
    <xf numFmtId="9" fontId="4" fillId="5" borderId="29" xfId="1" applyFont="1" applyFill="1" applyBorder="1" applyAlignment="1">
      <alignment horizontal="center" vertical="center"/>
    </xf>
    <xf numFmtId="9" fontId="4" fillId="15" borderId="36" xfId="0" applyNumberFormat="1" applyFont="1" applyFill="1" applyBorder="1" applyAlignment="1">
      <alignment horizontal="center" vertical="center" wrapText="1"/>
    </xf>
    <xf numFmtId="9" fontId="4" fillId="15" borderId="37" xfId="0" applyNumberFormat="1" applyFont="1" applyFill="1" applyBorder="1" applyAlignment="1">
      <alignment horizontal="center" vertical="center" wrapText="1"/>
    </xf>
    <xf numFmtId="9" fontId="4" fillId="31" borderId="36" xfId="0" applyNumberFormat="1" applyFont="1" applyFill="1" applyBorder="1" applyAlignment="1">
      <alignment horizontal="center" vertical="center" wrapText="1"/>
    </xf>
    <xf numFmtId="9" fontId="4" fillId="31" borderId="37" xfId="0" applyNumberFormat="1"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67" xfId="0" applyFont="1" applyFill="1" applyBorder="1" applyAlignment="1">
      <alignment horizontal="center" vertical="center" wrapText="1"/>
    </xf>
    <xf numFmtId="9" fontId="4" fillId="5" borderId="2" xfId="0" applyNumberFormat="1" applyFont="1" applyFill="1" applyBorder="1" applyAlignment="1">
      <alignment horizontal="center" vertical="center"/>
    </xf>
    <xf numFmtId="0" fontId="5" fillId="31" borderId="1" xfId="0" applyFont="1" applyFill="1" applyBorder="1" applyAlignment="1">
      <alignment horizontal="center" vertical="center"/>
    </xf>
    <xf numFmtId="0" fontId="5" fillId="5" borderId="3" xfId="0" applyFont="1" applyFill="1" applyBorder="1" applyAlignment="1">
      <alignment horizontal="center" vertical="center"/>
    </xf>
    <xf numFmtId="9" fontId="4" fillId="5" borderId="3" xfId="0" applyNumberFormat="1" applyFont="1" applyFill="1" applyBorder="1" applyAlignment="1">
      <alignment horizontal="center" vertical="center"/>
    </xf>
    <xf numFmtId="0" fontId="4" fillId="5" borderId="13" xfId="0" applyFont="1" applyFill="1" applyBorder="1" applyAlignment="1">
      <alignment vertical="center"/>
    </xf>
    <xf numFmtId="9" fontId="23" fillId="5" borderId="56" xfId="1" applyNumberFormat="1" applyFont="1" applyFill="1" applyBorder="1" applyAlignment="1">
      <alignment horizontal="center" vertical="center"/>
    </xf>
    <xf numFmtId="0" fontId="4" fillId="5" borderId="52" xfId="0" applyFont="1" applyFill="1" applyBorder="1" applyAlignment="1">
      <alignment vertical="center"/>
    </xf>
    <xf numFmtId="9" fontId="4" fillId="5" borderId="2" xfId="1" applyNumberFormat="1" applyFont="1" applyFill="1" applyBorder="1" applyAlignment="1">
      <alignment horizontal="center" vertical="center"/>
    </xf>
    <xf numFmtId="9" fontId="23" fillId="5" borderId="40" xfId="1" applyNumberFormat="1" applyFont="1" applyFill="1" applyBorder="1" applyAlignment="1">
      <alignment horizontal="center" vertical="center"/>
    </xf>
    <xf numFmtId="0" fontId="4" fillId="5" borderId="0" xfId="0" applyFont="1" applyFill="1" applyBorder="1" applyAlignment="1">
      <alignment horizontal="center" vertical="center"/>
    </xf>
    <xf numFmtId="0" fontId="4" fillId="5" borderId="57" xfId="0" applyFont="1" applyFill="1" applyBorder="1" applyAlignment="1">
      <alignment horizontal="center" vertical="center"/>
    </xf>
    <xf numFmtId="0" fontId="4" fillId="5" borderId="67" xfId="0" applyFont="1" applyFill="1" applyBorder="1" applyAlignment="1">
      <alignment horizontal="center" vertical="center"/>
    </xf>
    <xf numFmtId="9" fontId="4" fillId="5" borderId="36" xfId="0" applyNumberFormat="1" applyFont="1" applyFill="1" applyBorder="1" applyAlignment="1">
      <alignment horizontal="center" vertical="center"/>
    </xf>
    <xf numFmtId="9" fontId="4" fillId="5" borderId="5" xfId="0" applyNumberFormat="1" applyFont="1" applyFill="1" applyBorder="1" applyAlignment="1">
      <alignment horizontal="center" vertical="center"/>
    </xf>
    <xf numFmtId="9" fontId="4" fillId="5" borderId="37" xfId="0" applyNumberFormat="1" applyFont="1" applyFill="1" applyBorder="1" applyAlignment="1">
      <alignment horizontal="center" vertical="center"/>
    </xf>
    <xf numFmtId="9" fontId="4" fillId="5" borderId="5" xfId="1" applyFont="1" applyFill="1" applyBorder="1" applyAlignment="1">
      <alignment horizontal="center" vertical="center"/>
    </xf>
    <xf numFmtId="0" fontId="5" fillId="30" borderId="2" xfId="0" applyFont="1" applyFill="1" applyBorder="1" applyAlignment="1">
      <alignment horizontal="center" vertical="center"/>
    </xf>
    <xf numFmtId="0" fontId="5" fillId="15" borderId="2" xfId="0" applyFont="1" applyFill="1" applyBorder="1" applyAlignment="1">
      <alignment horizontal="center" vertical="center"/>
    </xf>
    <xf numFmtId="9" fontId="23" fillId="5" borderId="56" xfId="1" applyFont="1" applyFill="1" applyBorder="1" applyAlignment="1">
      <alignment horizontal="center" vertical="center"/>
    </xf>
    <xf numFmtId="0" fontId="5" fillId="31" borderId="2"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51" xfId="0" applyFont="1" applyFill="1" applyBorder="1" applyAlignment="1">
      <alignment horizontal="center" vertical="center"/>
    </xf>
    <xf numFmtId="0" fontId="11" fillId="10" borderId="2" xfId="0" applyFont="1" applyFill="1" applyBorder="1" applyAlignment="1" applyProtection="1">
      <alignment horizontal="center" vertical="center" wrapText="1"/>
      <protection locked="0"/>
    </xf>
    <xf numFmtId="9" fontId="4" fillId="5" borderId="29" xfId="0" applyNumberFormat="1" applyFont="1" applyFill="1" applyBorder="1" applyAlignment="1" applyProtection="1">
      <alignment horizontal="center" vertical="center" wrapText="1"/>
      <protection locked="0"/>
    </xf>
    <xf numFmtId="9" fontId="4" fillId="5" borderId="24" xfId="0" applyNumberFormat="1"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14" borderId="24" xfId="0" applyFont="1" applyFill="1" applyBorder="1" applyAlignment="1">
      <alignment horizontal="center" vertical="center"/>
    </xf>
    <xf numFmtId="0" fontId="4" fillId="32" borderId="24" xfId="0" applyFont="1" applyFill="1" applyBorder="1" applyAlignment="1">
      <alignment horizontal="center" vertical="center"/>
    </xf>
    <xf numFmtId="0" fontId="4" fillId="32" borderId="29" xfId="0" applyFont="1" applyFill="1" applyBorder="1" applyAlignment="1">
      <alignment horizontal="center" vertical="center"/>
    </xf>
    <xf numFmtId="0" fontId="4" fillId="14" borderId="2" xfId="0" applyFont="1" applyFill="1" applyBorder="1" applyAlignment="1">
      <alignment horizontal="center" vertical="center"/>
    </xf>
    <xf numFmtId="0" fontId="4" fillId="15" borderId="38" xfId="0" applyFont="1" applyFill="1" applyBorder="1" applyAlignment="1">
      <alignment horizontal="center" vertical="center"/>
    </xf>
    <xf numFmtId="0" fontId="4" fillId="15" borderId="39" xfId="0" applyFont="1" applyFill="1" applyBorder="1" applyAlignment="1">
      <alignment horizontal="center" vertical="center"/>
    </xf>
    <xf numFmtId="0" fontId="6" fillId="12" borderId="2" xfId="0" applyFont="1" applyFill="1" applyBorder="1" applyAlignment="1">
      <alignment horizontal="center" wrapText="1"/>
    </xf>
    <xf numFmtId="0" fontId="4" fillId="32" borderId="1" xfId="0" applyFont="1" applyFill="1" applyBorder="1" applyAlignment="1">
      <alignment horizontal="center" vertical="center"/>
    </xf>
    <xf numFmtId="0" fontId="4" fillId="32" borderId="24" xfId="0" applyFont="1" applyFill="1" applyBorder="1" applyAlignment="1">
      <alignment horizontal="center"/>
    </xf>
    <xf numFmtId="0" fontId="4" fillId="32" borderId="1" xfId="0" applyFont="1" applyFill="1" applyBorder="1" applyAlignment="1">
      <alignment horizontal="center"/>
    </xf>
    <xf numFmtId="0" fontId="4" fillId="32" borderId="29" xfId="0" applyFont="1" applyFill="1" applyBorder="1" applyAlignment="1">
      <alignment horizontal="center"/>
    </xf>
    <xf numFmtId="0" fontId="4" fillId="14" borderId="2" xfId="0" applyFont="1" applyFill="1" applyBorder="1" applyAlignment="1">
      <alignment horizontal="center"/>
    </xf>
    <xf numFmtId="0" fontId="4" fillId="0" borderId="24"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29" xfId="0" applyFont="1" applyBorder="1" applyAlignment="1" applyProtection="1">
      <alignment horizontal="center" wrapText="1"/>
      <protection locked="0"/>
    </xf>
    <xf numFmtId="0" fontId="4" fillId="5" borderId="24" xfId="0" applyFont="1" applyFill="1" applyBorder="1" applyAlignment="1" applyProtection="1">
      <alignment horizontal="center" wrapText="1"/>
      <protection locked="0"/>
    </xf>
    <xf numFmtId="0" fontId="4" fillId="5" borderId="1" xfId="0" applyFont="1" applyFill="1" applyBorder="1" applyAlignment="1" applyProtection="1">
      <alignment horizontal="center" wrapText="1"/>
      <protection locked="0"/>
    </xf>
    <xf numFmtId="0" fontId="4" fillId="5" borderId="29" xfId="0" applyFont="1" applyFill="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9" fontId="4" fillId="5" borderId="2"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0"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horizontal="center" vertical="center"/>
    </xf>
    <xf numFmtId="0" fontId="4" fillId="0" borderId="51" xfId="0" applyFont="1" applyBorder="1" applyAlignment="1">
      <alignment vertical="center"/>
    </xf>
    <xf numFmtId="0" fontId="4" fillId="14" borderId="4" xfId="0" applyFont="1" applyFill="1" applyBorder="1" applyAlignment="1">
      <alignment horizontal="center"/>
    </xf>
    <xf numFmtId="0" fontId="5" fillId="15" borderId="2" xfId="0" applyFont="1" applyFill="1" applyBorder="1" applyAlignment="1">
      <alignment horizontal="center" vertical="center" wrapText="1"/>
    </xf>
    <xf numFmtId="0" fontId="5" fillId="30" borderId="58" xfId="0" applyFont="1" applyFill="1" applyBorder="1" applyAlignment="1">
      <alignment horizontal="center" vertical="center"/>
    </xf>
    <xf numFmtId="0" fontId="5" fillId="14" borderId="58" xfId="0" applyFont="1" applyFill="1" applyBorder="1" applyAlignment="1">
      <alignment horizontal="center" vertical="center"/>
    </xf>
    <xf numFmtId="0" fontId="5" fillId="14" borderId="53" xfId="0" applyFont="1" applyFill="1" applyBorder="1" applyAlignment="1">
      <alignment horizontal="center" vertical="center"/>
    </xf>
    <xf numFmtId="0" fontId="5" fillId="30" borderId="55" xfId="0" applyFont="1" applyFill="1" applyBorder="1" applyAlignment="1">
      <alignment horizontal="center" vertical="center"/>
    </xf>
    <xf numFmtId="0" fontId="5" fillId="30" borderId="53" xfId="0" applyFont="1" applyFill="1" applyBorder="1" applyAlignment="1">
      <alignment horizontal="center" vertical="center"/>
    </xf>
    <xf numFmtId="0" fontId="4" fillId="5" borderId="13" xfId="0" applyFont="1" applyFill="1" applyBorder="1" applyAlignment="1">
      <alignment horizontal="center" vertical="center" wrapText="1"/>
    </xf>
    <xf numFmtId="0" fontId="4" fillId="5" borderId="52" xfId="0" applyFont="1" applyFill="1" applyBorder="1" applyAlignment="1">
      <alignment vertical="center" wrapText="1"/>
    </xf>
    <xf numFmtId="0" fontId="4" fillId="5" borderId="51" xfId="0" applyFont="1" applyFill="1" applyBorder="1" applyAlignment="1">
      <alignment vertical="center" wrapText="1"/>
    </xf>
    <xf numFmtId="0" fontId="4" fillId="5" borderId="51" xfId="0" applyFont="1" applyFill="1" applyBorder="1" applyAlignment="1">
      <alignment vertical="center"/>
    </xf>
    <xf numFmtId="0" fontId="4" fillId="5" borderId="0" xfId="0" applyFont="1" applyFill="1" applyBorder="1" applyAlignment="1">
      <alignment vertical="center"/>
    </xf>
    <xf numFmtId="9" fontId="4" fillId="5" borderId="81" xfId="1" applyNumberFormat="1" applyFont="1" applyFill="1" applyBorder="1" applyAlignment="1">
      <alignment horizontal="center" vertical="center"/>
    </xf>
    <xf numFmtId="9" fontId="4" fillId="5" borderId="85" xfId="1" applyNumberFormat="1" applyFont="1" applyFill="1" applyBorder="1" applyAlignment="1">
      <alignment horizontal="center" vertical="center"/>
    </xf>
    <xf numFmtId="9" fontId="4" fillId="5" borderId="82" xfId="1" applyFont="1" applyFill="1" applyBorder="1" applyAlignment="1">
      <alignment horizontal="center" vertical="center"/>
    </xf>
    <xf numFmtId="9" fontId="23" fillId="5" borderId="41" xfId="1" applyFont="1" applyFill="1" applyBorder="1" applyAlignment="1">
      <alignment horizontal="center" vertical="center"/>
    </xf>
    <xf numFmtId="9" fontId="4" fillId="5" borderId="40" xfId="1" applyNumberFormat="1" applyFont="1" applyFill="1" applyBorder="1" applyAlignment="1">
      <alignment horizontal="center" vertical="center"/>
    </xf>
    <xf numFmtId="9" fontId="4" fillId="5" borderId="91" xfId="1" applyNumberFormat="1" applyFont="1" applyFill="1" applyBorder="1" applyAlignment="1">
      <alignment horizontal="center" vertical="center"/>
    </xf>
    <xf numFmtId="9" fontId="4" fillId="5" borderId="92" xfId="1" applyNumberFormat="1" applyFont="1" applyFill="1" applyBorder="1" applyAlignment="1">
      <alignment horizontal="center" vertical="center"/>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93" xfId="1" applyFont="1" applyFill="1" applyBorder="1" applyAlignment="1">
      <alignment horizontal="center" vertical="center"/>
    </xf>
    <xf numFmtId="9" fontId="4" fillId="5" borderId="93" xfId="1" applyNumberFormat="1" applyFont="1" applyFill="1" applyBorder="1" applyAlignment="1">
      <alignment horizontal="center" vertical="center"/>
    </xf>
    <xf numFmtId="9" fontId="25" fillId="5" borderId="56" xfId="0" applyNumberFormat="1" applyFont="1" applyFill="1" applyBorder="1" applyAlignment="1">
      <alignment horizontal="center" vertical="center" wrapText="1"/>
    </xf>
    <xf numFmtId="9" fontId="16" fillId="16" borderId="41" xfId="1" applyFont="1" applyFill="1" applyBorder="1" applyAlignment="1">
      <alignment horizontal="center" vertical="center"/>
    </xf>
    <xf numFmtId="9" fontId="4" fillId="5" borderId="79" xfId="1" applyNumberFormat="1" applyFont="1" applyFill="1" applyBorder="1" applyAlignment="1">
      <alignment horizontal="center" vertical="center"/>
    </xf>
    <xf numFmtId="9" fontId="4" fillId="5" borderId="80" xfId="1" applyNumberFormat="1" applyFont="1" applyFill="1" applyBorder="1" applyAlignment="1">
      <alignment horizontal="center" vertical="center"/>
    </xf>
    <xf numFmtId="9" fontId="4" fillId="5" borderId="92" xfId="1" applyFont="1" applyFill="1" applyBorder="1" applyAlignment="1">
      <alignment horizontal="center" vertical="center"/>
    </xf>
    <xf numFmtId="9" fontId="4" fillId="5" borderId="82" xfId="1" applyNumberFormat="1" applyFont="1" applyFill="1" applyBorder="1" applyAlignment="1">
      <alignment horizontal="center" vertical="center"/>
    </xf>
    <xf numFmtId="9" fontId="4" fillId="5" borderId="41" xfId="1" applyFont="1" applyFill="1" applyBorder="1" applyAlignment="1">
      <alignment horizontal="center" vertical="center"/>
    </xf>
    <xf numFmtId="9" fontId="16" fillId="16" borderId="94" xfId="1" applyFont="1" applyFill="1" applyBorder="1" applyAlignment="1">
      <alignment horizontal="center" vertical="center"/>
    </xf>
    <xf numFmtId="9" fontId="23" fillId="16" borderId="92" xfId="1" applyFont="1" applyFill="1" applyBorder="1" applyAlignment="1">
      <alignment horizontal="center" vertical="center"/>
    </xf>
    <xf numFmtId="9" fontId="16" fillId="16" borderId="82" xfId="1"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9" fontId="23" fillId="5" borderId="42" xfId="1" applyFont="1" applyFill="1" applyBorder="1" applyAlignment="1">
      <alignment horizontal="center" vertical="center"/>
    </xf>
    <xf numFmtId="9" fontId="4" fillId="5" borderId="58" xfId="1" applyFont="1" applyFill="1" applyBorder="1" applyAlignment="1">
      <alignment horizontal="center" vertical="center"/>
    </xf>
    <xf numFmtId="0" fontId="5" fillId="14" borderId="47" xfId="0" applyFont="1" applyFill="1" applyBorder="1" applyAlignment="1">
      <alignment horizontal="center" vertical="center"/>
    </xf>
    <xf numFmtId="9" fontId="4" fillId="5" borderId="47" xfId="1" applyFont="1" applyFill="1" applyBorder="1" applyAlignment="1">
      <alignment horizontal="center" vertical="center"/>
    </xf>
    <xf numFmtId="0" fontId="4" fillId="5" borderId="47" xfId="0" applyFont="1" applyFill="1" applyBorder="1" applyAlignment="1" applyProtection="1">
      <alignment horizontal="center" vertical="center"/>
      <protection locked="0"/>
    </xf>
    <xf numFmtId="9" fontId="4" fillId="5" borderId="48" xfId="1" applyFont="1" applyFill="1" applyBorder="1" applyAlignment="1">
      <alignment horizontal="center" vertical="center"/>
    </xf>
    <xf numFmtId="9" fontId="4" fillId="5" borderId="98" xfId="1" applyFont="1" applyFill="1" applyBorder="1" applyAlignment="1">
      <alignment horizontal="center" vertical="center"/>
    </xf>
    <xf numFmtId="0" fontId="5" fillId="14" borderId="49" xfId="0" applyFont="1" applyFill="1" applyBorder="1" applyAlignment="1">
      <alignment horizontal="center" vertical="center"/>
    </xf>
    <xf numFmtId="9" fontId="4" fillId="5" borderId="49" xfId="1" applyFont="1" applyFill="1" applyBorder="1" applyAlignment="1">
      <alignment horizontal="center" vertical="center"/>
    </xf>
    <xf numFmtId="0" fontId="4" fillId="5" borderId="49" xfId="0" applyFont="1" applyFill="1" applyBorder="1" applyAlignment="1" applyProtection="1">
      <alignment horizontal="center" vertical="center"/>
      <protection locked="0"/>
    </xf>
    <xf numFmtId="9" fontId="4" fillId="5" borderId="50" xfId="1" applyFont="1" applyFill="1" applyBorder="1" applyAlignment="1">
      <alignment horizontal="center" vertical="center"/>
    </xf>
    <xf numFmtId="9" fontId="5" fillId="5" borderId="12" xfId="1" applyFont="1" applyFill="1" applyBorder="1" applyAlignment="1">
      <alignment horizontal="center" vertical="center" wrapText="1"/>
    </xf>
    <xf numFmtId="9" fontId="28" fillId="16" borderId="3" xfId="0" applyNumberFormat="1" applyFont="1" applyFill="1" applyBorder="1" applyAlignment="1">
      <alignment horizontal="center" vertical="center"/>
    </xf>
    <xf numFmtId="9" fontId="28" fillId="16" borderId="4" xfId="0" applyNumberFormat="1" applyFont="1" applyFill="1" applyBorder="1" applyAlignment="1">
      <alignment horizontal="center" vertical="center"/>
    </xf>
    <xf numFmtId="9" fontId="28" fillId="16" borderId="1" xfId="0" applyNumberFormat="1" applyFont="1" applyFill="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center" vertical="center"/>
    </xf>
    <xf numFmtId="9" fontId="4" fillId="0" borderId="21" xfId="1" applyFont="1" applyBorder="1" applyAlignment="1">
      <alignment horizontal="center" vertical="center"/>
    </xf>
    <xf numFmtId="9" fontId="4" fillId="0" borderId="65" xfId="1" applyFont="1" applyBorder="1" applyAlignment="1">
      <alignment horizontal="center" vertical="center"/>
    </xf>
    <xf numFmtId="9" fontId="4" fillId="0" borderId="66" xfId="1" applyFont="1" applyBorder="1" applyAlignment="1">
      <alignment horizontal="center" vertical="center"/>
    </xf>
    <xf numFmtId="9" fontId="28" fillId="16" borderId="13" xfId="0" applyNumberFormat="1" applyFont="1" applyFill="1" applyBorder="1" applyAlignment="1">
      <alignment horizontal="center" vertical="center"/>
    </xf>
    <xf numFmtId="9" fontId="29" fillId="16" borderId="8" xfId="0" applyNumberFormat="1" applyFont="1" applyFill="1" applyBorder="1" applyAlignment="1">
      <alignment horizontal="center" vertical="center"/>
    </xf>
    <xf numFmtId="0" fontId="4" fillId="5" borderId="75" xfId="0" applyFont="1" applyFill="1" applyBorder="1" applyAlignment="1" applyProtection="1">
      <alignment wrapText="1"/>
      <protection locked="0"/>
    </xf>
    <xf numFmtId="9" fontId="28" fillId="16" borderId="59" xfId="0" applyNumberFormat="1" applyFont="1" applyFill="1" applyBorder="1" applyAlignment="1">
      <alignment horizontal="center" vertical="center"/>
    </xf>
    <xf numFmtId="9" fontId="22" fillId="16" borderId="1" xfId="0" applyNumberFormat="1" applyFont="1" applyFill="1" applyBorder="1" applyAlignment="1">
      <alignment horizontal="center" vertical="center"/>
    </xf>
    <xf numFmtId="42" fontId="4" fillId="0" borderId="1"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0" fontId="6" fillId="12" borderId="2" xfId="2" applyFont="1" applyFill="1" applyBorder="1" applyAlignment="1">
      <alignment horizontal="center" vertical="center" wrapText="1"/>
    </xf>
    <xf numFmtId="0" fontId="6" fillId="12" borderId="102" xfId="2" applyFont="1" applyFill="1" applyBorder="1" applyAlignment="1">
      <alignment horizontal="center" vertical="center" wrapText="1"/>
    </xf>
    <xf numFmtId="0" fontId="4" fillId="0" borderId="103" xfId="0" applyFont="1" applyBorder="1" applyAlignment="1">
      <alignment horizontal="center" vertical="center"/>
    </xf>
    <xf numFmtId="0" fontId="4" fillId="0" borderId="12" xfId="0" applyFont="1" applyBorder="1" applyAlignment="1">
      <alignment vertical="center"/>
    </xf>
    <xf numFmtId="0" fontId="4" fillId="0" borderId="32" xfId="0" applyFont="1" applyBorder="1" applyAlignment="1">
      <alignment vertical="center"/>
    </xf>
    <xf numFmtId="0" fontId="4" fillId="0" borderId="57" xfId="0" applyFont="1" applyBorder="1" applyAlignment="1">
      <alignment horizontal="center" vertical="center"/>
    </xf>
    <xf numFmtId="9" fontId="4" fillId="0" borderId="64" xfId="1" applyFont="1" applyBorder="1" applyAlignment="1">
      <alignment vertical="center"/>
    </xf>
    <xf numFmtId="9" fontId="4" fillId="0" borderId="100" xfId="1" applyFont="1" applyBorder="1" applyAlignment="1">
      <alignment vertical="center"/>
    </xf>
    <xf numFmtId="0" fontId="4" fillId="0" borderId="105"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xf>
    <xf numFmtId="9" fontId="4" fillId="0" borderId="43" xfId="1" applyFont="1" applyBorder="1" applyAlignment="1">
      <alignment horizontal="center" vertical="center"/>
    </xf>
    <xf numFmtId="9" fontId="4" fillId="0" borderId="24" xfId="0" applyNumberFormat="1" applyFont="1" applyBorder="1" applyAlignment="1">
      <alignment horizontal="center" vertical="center"/>
    </xf>
    <xf numFmtId="9" fontId="4" fillId="0" borderId="1" xfId="1" applyFont="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88" xfId="0" applyFont="1" applyBorder="1" applyAlignment="1">
      <alignment horizontal="center" vertical="center"/>
    </xf>
    <xf numFmtId="0" fontId="4" fillId="5" borderId="88" xfId="0" applyFont="1" applyFill="1" applyBorder="1" applyAlignment="1">
      <alignment horizontal="center" vertical="center" wrapText="1"/>
    </xf>
    <xf numFmtId="9" fontId="4" fillId="5" borderId="88" xfId="1" applyFont="1" applyFill="1" applyBorder="1" applyAlignment="1">
      <alignment horizontal="center" vertical="center"/>
    </xf>
    <xf numFmtId="9" fontId="4" fillId="5" borderId="107" xfId="1" applyFont="1" applyFill="1" applyBorder="1" applyAlignment="1">
      <alignment horizontal="center" vertical="center"/>
    </xf>
    <xf numFmtId="9" fontId="7" fillId="16" borderId="107" xfId="0" applyNumberFormat="1" applyFont="1" applyFill="1" applyBorder="1" applyAlignment="1">
      <alignment horizontal="center" vertical="center"/>
    </xf>
    <xf numFmtId="9" fontId="22" fillId="16" borderId="107" xfId="0" applyNumberFormat="1" applyFont="1" applyFill="1" applyBorder="1" applyAlignment="1">
      <alignment horizontal="center" vertical="center"/>
    </xf>
    <xf numFmtId="9" fontId="7" fillId="16" borderId="3"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0" fontId="4" fillId="0" borderId="88" xfId="0" applyFont="1" applyBorder="1" applyAlignment="1">
      <alignment horizontal="center" vertical="center" wrapText="1"/>
    </xf>
    <xf numFmtId="9" fontId="4" fillId="0" borderId="107" xfId="1" applyFont="1" applyBorder="1" applyAlignment="1">
      <alignment horizontal="center" vertical="center"/>
    </xf>
    <xf numFmtId="9" fontId="4" fillId="0" borderId="88"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xf>
    <xf numFmtId="9" fontId="4" fillId="0" borderId="24" xfId="1" applyFont="1" applyFill="1" applyBorder="1" applyAlignment="1">
      <alignment horizontal="center" vertical="center"/>
    </xf>
    <xf numFmtId="9" fontId="4" fillId="0" borderId="1" xfId="1" applyFont="1" applyFill="1" applyBorder="1" applyAlignment="1">
      <alignment horizontal="center" vertical="center"/>
    </xf>
    <xf numFmtId="9" fontId="4" fillId="0" borderId="29" xfId="1" applyFont="1" applyFill="1" applyBorder="1" applyAlignment="1">
      <alignment horizontal="center" vertical="center"/>
    </xf>
    <xf numFmtId="9" fontId="4" fillId="0" borderId="24" xfId="0" applyNumberFormat="1" applyFont="1" applyFill="1" applyBorder="1" applyAlignment="1">
      <alignment horizontal="center" vertical="center"/>
    </xf>
    <xf numFmtId="0" fontId="4" fillId="13" borderId="21" xfId="0" applyFont="1" applyFill="1" applyBorder="1"/>
    <xf numFmtId="0" fontId="4" fillId="9" borderId="21" xfId="0" applyFont="1" applyFill="1" applyBorder="1"/>
    <xf numFmtId="0" fontId="4" fillId="18" borderId="21" xfId="0" applyFont="1" applyFill="1" applyBorder="1"/>
    <xf numFmtId="0" fontId="4" fillId="15" borderId="21" xfId="0" applyFont="1" applyFill="1" applyBorder="1"/>
    <xf numFmtId="0" fontId="4" fillId="14" borderId="21" xfId="0" applyFont="1" applyFill="1" applyBorder="1"/>
    <xf numFmtId="0" fontId="4" fillId="6" borderId="21" xfId="0" applyFont="1" applyFill="1" applyBorder="1"/>
    <xf numFmtId="0" fontId="6" fillId="0" borderId="0" xfId="0" applyFont="1" applyBorder="1" applyAlignment="1"/>
    <xf numFmtId="0" fontId="4" fillId="0" borderId="0" xfId="0" applyFont="1" applyBorder="1" applyAlignment="1"/>
    <xf numFmtId="0" fontId="5" fillId="0" borderId="0" xfId="3" applyFont="1" applyBorder="1" applyAlignment="1" applyProtection="1">
      <alignment vertical="center" wrapText="1"/>
    </xf>
    <xf numFmtId="0" fontId="12" fillId="0" borderId="0" xfId="3" applyFont="1" applyBorder="1" applyAlignment="1" applyProtection="1">
      <alignment vertical="center" wrapText="1"/>
    </xf>
    <xf numFmtId="0" fontId="0" fillId="0" borderId="0" xfId="0" applyBorder="1" applyAlignment="1"/>
    <xf numFmtId="0" fontId="10" fillId="0" borderId="0" xfId="3" applyFont="1" applyBorder="1" applyAlignment="1" applyProtection="1"/>
    <xf numFmtId="0" fontId="4" fillId="0" borderId="88" xfId="1" applyNumberFormat="1" applyFont="1" applyBorder="1" applyAlignment="1" applyProtection="1">
      <alignment horizontal="center" vertical="center"/>
      <protection locked="0"/>
    </xf>
    <xf numFmtId="0" fontId="4" fillId="5" borderId="88"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0" fontId="9" fillId="0" borderId="0" xfId="3" applyBorder="1" applyAlignment="1" applyProtection="1">
      <alignment horizontal="left" wrapText="1" indent="1"/>
    </xf>
    <xf numFmtId="0" fontId="5" fillId="0" borderId="1"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4" borderId="7" xfId="0" applyFont="1" applyFill="1" applyBorder="1" applyAlignment="1" applyProtection="1">
      <alignment horizontal="left" vertical="center" wrapText="1" indent="1"/>
    </xf>
    <xf numFmtId="0" fontId="4" fillId="14" borderId="1" xfId="0" applyFont="1" applyFill="1" applyBorder="1" applyAlignment="1" applyProtection="1">
      <alignment horizontal="left" vertical="center" wrapText="1" indent="1"/>
    </xf>
    <xf numFmtId="0" fontId="4" fillId="14" borderId="1" xfId="0" applyFont="1" applyFill="1" applyBorder="1" applyAlignment="1" applyProtection="1">
      <alignment horizontal="left" wrapText="1" indent="1"/>
    </xf>
    <xf numFmtId="0" fontId="4" fillId="15" borderId="1" xfId="0" applyFont="1" applyFill="1" applyBorder="1" applyAlignment="1" applyProtection="1">
      <alignment horizontal="left" vertical="center" indent="1"/>
    </xf>
    <xf numFmtId="0" fontId="4" fillId="14" borderId="7" xfId="0" applyFont="1" applyFill="1" applyBorder="1" applyAlignment="1" applyProtection="1">
      <alignment horizontal="left" vertical="center" indent="1"/>
    </xf>
    <xf numFmtId="0" fontId="5" fillId="14"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30" borderId="24" xfId="0" applyFont="1" applyFill="1" applyBorder="1" applyAlignment="1" applyProtection="1">
      <alignment horizontal="left" vertical="center" wrapText="1" indent="1"/>
    </xf>
    <xf numFmtId="0" fontId="4" fillId="30" borderId="1" xfId="0" applyFont="1" applyFill="1" applyBorder="1" applyAlignment="1" applyProtection="1">
      <alignment horizontal="left" vertical="center" wrapText="1" indent="1"/>
    </xf>
    <xf numFmtId="0" fontId="4" fillId="30" borderId="29" xfId="0" applyFont="1" applyFill="1" applyBorder="1" applyAlignment="1" applyProtection="1">
      <alignment horizontal="left" vertical="center" wrapText="1" indent="1"/>
    </xf>
    <xf numFmtId="0" fontId="4" fillId="14" borderId="24"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indent="1"/>
    </xf>
    <xf numFmtId="0" fontId="4" fillId="14" borderId="1" xfId="0" applyFont="1" applyFill="1" applyBorder="1" applyAlignment="1" applyProtection="1">
      <alignment horizontal="left" vertical="center" indent="1"/>
    </xf>
    <xf numFmtId="0" fontId="4" fillId="14" borderId="24" xfId="0" applyFont="1" applyFill="1" applyBorder="1" applyAlignment="1" applyProtection="1">
      <alignment horizontal="left" vertical="center" indent="1"/>
    </xf>
    <xf numFmtId="0" fontId="4" fillId="30" borderId="24" xfId="0" applyFont="1" applyFill="1" applyBorder="1" applyAlignment="1" applyProtection="1">
      <alignment horizontal="left" wrapText="1" indent="1"/>
    </xf>
    <xf numFmtId="0" fontId="4" fillId="30" borderId="1" xfId="0" applyFont="1" applyFill="1" applyBorder="1" applyAlignment="1" applyProtection="1">
      <alignment horizontal="left" wrapText="1" indent="1"/>
    </xf>
    <xf numFmtId="0" fontId="4" fillId="30" borderId="29" xfId="0" applyFont="1" applyFill="1" applyBorder="1" applyAlignment="1" applyProtection="1">
      <alignment horizontal="left" wrapText="1" indent="1"/>
    </xf>
    <xf numFmtId="0" fontId="4" fillId="14" borderId="24" xfId="0" applyFont="1" applyFill="1" applyBorder="1" applyAlignment="1" applyProtection="1">
      <alignment horizontal="left" wrapText="1" indent="1"/>
    </xf>
    <xf numFmtId="0" fontId="4" fillId="14" borderId="29" xfId="0" applyFont="1" applyFill="1" applyBorder="1" applyAlignment="1" applyProtection="1">
      <alignment horizontal="left" wrapText="1" indent="1"/>
    </xf>
    <xf numFmtId="0" fontId="4" fillId="0" borderId="4" xfId="0" applyFont="1" applyBorder="1" applyAlignment="1" applyProtection="1">
      <alignment horizontal="left" wrapText="1" indent="1"/>
    </xf>
    <xf numFmtId="0" fontId="4" fillId="30" borderId="1" xfId="0" applyFont="1" applyFill="1" applyBorder="1" applyAlignment="1" applyProtection="1">
      <alignment horizontal="left" wrapText="1" indent="1"/>
      <protection locked="0"/>
    </xf>
    <xf numFmtId="0" fontId="4" fillId="30" borderId="2" xfId="0" applyFont="1" applyFill="1" applyBorder="1" applyAlignment="1" applyProtection="1">
      <alignment horizontal="left" wrapText="1" indent="1"/>
      <protection locked="0"/>
    </xf>
    <xf numFmtId="0" fontId="4" fillId="15" borderId="24" xfId="0" applyFont="1" applyFill="1" applyBorder="1" applyAlignment="1" applyProtection="1">
      <alignment horizontal="left" vertical="center" wrapText="1" indent="1"/>
    </xf>
    <xf numFmtId="0" fontId="4" fillId="15" borderId="29" xfId="0" applyFont="1" applyFill="1" applyBorder="1" applyAlignment="1" applyProtection="1">
      <alignment horizontal="left" vertical="center" wrapText="1" indent="1"/>
    </xf>
    <xf numFmtId="0" fontId="4" fillId="14" borderId="24" xfId="0" applyFont="1" applyFill="1" applyBorder="1" applyAlignment="1">
      <alignment horizontal="left" indent="1"/>
    </xf>
    <xf numFmtId="0" fontId="4" fillId="14" borderId="1" xfId="0" applyFont="1" applyFill="1" applyBorder="1" applyAlignment="1">
      <alignment horizontal="left" indent="1"/>
    </xf>
    <xf numFmtId="0" fontId="4" fillId="14" borderId="29" xfId="0" applyFont="1" applyFill="1" applyBorder="1" applyAlignment="1">
      <alignment horizontal="left" indent="1"/>
    </xf>
    <xf numFmtId="0" fontId="4" fillId="15" borderId="24" xfId="0" applyFont="1" applyFill="1" applyBorder="1" applyAlignment="1">
      <alignment horizontal="left" vertical="center" indent="1"/>
    </xf>
    <xf numFmtId="0" fontId="4" fillId="15" borderId="29" xfId="0" applyFont="1" applyFill="1" applyBorder="1" applyAlignment="1">
      <alignment horizontal="left" vertical="center" indent="1"/>
    </xf>
    <xf numFmtId="0" fontId="4" fillId="30" borderId="24" xfId="0" applyFont="1" applyFill="1" applyBorder="1" applyAlignment="1">
      <alignment horizontal="left" indent="1"/>
    </xf>
    <xf numFmtId="0" fontId="4" fillId="30" borderId="1" xfId="0" applyFont="1" applyFill="1" applyBorder="1" applyAlignment="1">
      <alignment horizontal="left" indent="1"/>
    </xf>
    <xf numFmtId="0" fontId="4" fillId="30" borderId="29" xfId="0" applyFont="1" applyFill="1" applyBorder="1" applyAlignment="1">
      <alignment horizontal="left" indent="1"/>
    </xf>
    <xf numFmtId="0" fontId="4" fillId="14" borderId="24" xfId="0" applyFont="1" applyFill="1" applyBorder="1" applyAlignment="1">
      <alignment horizontal="left" wrapText="1" indent="1"/>
    </xf>
    <xf numFmtId="0" fontId="4" fillId="14" borderId="1" xfId="0" applyFont="1" applyFill="1" applyBorder="1" applyAlignment="1">
      <alignment horizontal="left" wrapText="1" indent="1"/>
    </xf>
    <xf numFmtId="0" fontId="4" fillId="14" borderId="29" xfId="0" applyFont="1" applyFill="1" applyBorder="1" applyAlignment="1">
      <alignment horizontal="left" wrapText="1" indent="1"/>
    </xf>
    <xf numFmtId="0" fontId="4" fillId="15" borderId="24" xfId="0" applyFont="1" applyFill="1" applyBorder="1" applyAlignment="1">
      <alignment horizontal="left" vertical="center" wrapText="1" indent="1"/>
    </xf>
    <xf numFmtId="0" fontId="4" fillId="30" borderId="24" xfId="0" applyFont="1" applyFill="1" applyBorder="1" applyAlignment="1">
      <alignment horizontal="left" wrapText="1" indent="1"/>
    </xf>
    <xf numFmtId="0" fontId="4" fillId="30" borderId="1" xfId="0" applyFont="1" applyFill="1" applyBorder="1" applyAlignment="1">
      <alignment horizontal="left" wrapText="1" indent="1"/>
    </xf>
    <xf numFmtId="0" fontId="4" fillId="30" borderId="29" xfId="0" applyFont="1" applyFill="1" applyBorder="1" applyAlignment="1">
      <alignment horizontal="left" wrapText="1"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5" borderId="24" xfId="0" applyFont="1" applyFill="1" applyBorder="1" applyAlignment="1">
      <alignment horizontal="left" wrapText="1" indent="1"/>
    </xf>
    <xf numFmtId="0" fontId="4" fillId="15" borderId="1" xfId="0" applyFont="1" applyFill="1" applyBorder="1" applyAlignment="1">
      <alignment horizontal="left" wrapText="1" indent="1"/>
    </xf>
    <xf numFmtId="0" fontId="4" fillId="15" borderId="29" xfId="0" applyFont="1" applyFill="1" applyBorder="1" applyAlignment="1">
      <alignment horizontal="left" wrapText="1" indent="1"/>
    </xf>
    <xf numFmtId="0" fontId="4" fillId="31" borderId="24" xfId="0" applyFont="1" applyFill="1" applyBorder="1" applyAlignment="1">
      <alignment horizontal="left" vertical="center" indent="1"/>
    </xf>
    <xf numFmtId="0" fontId="4" fillId="31" borderId="29" xfId="0" applyFont="1" applyFill="1" applyBorder="1" applyAlignment="1">
      <alignment horizontal="left" vertical="center" inden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15" borderId="1" xfId="0" applyFont="1" applyFill="1" applyBorder="1" applyAlignment="1">
      <alignment horizontal="left" vertical="center" indent="1"/>
    </xf>
    <xf numFmtId="0" fontId="5" fillId="30" borderId="1" xfId="0" applyFont="1" applyFill="1" applyBorder="1" applyAlignment="1">
      <alignment horizontal="left" wrapText="1" indent="1"/>
    </xf>
    <xf numFmtId="0" fontId="5" fillId="14" borderId="24" xfId="0" applyFont="1" applyFill="1" applyBorder="1" applyAlignment="1">
      <alignment horizontal="left" wrapText="1" indent="1"/>
    </xf>
    <xf numFmtId="0" fontId="4" fillId="15" borderId="4" xfId="0" applyFont="1" applyFill="1" applyBorder="1" applyAlignment="1">
      <alignment horizontal="left" wrapText="1" indent="1"/>
    </xf>
    <xf numFmtId="0" fontId="4" fillId="15" borderId="2" xfId="0" applyFont="1" applyFill="1" applyBorder="1" applyAlignment="1">
      <alignment horizontal="left" wrapText="1" indent="1"/>
    </xf>
    <xf numFmtId="0" fontId="4" fillId="31" borderId="24" xfId="0" applyFont="1" applyFill="1" applyBorder="1" applyAlignment="1">
      <alignment horizontal="left" wrapText="1" indent="1"/>
    </xf>
    <xf numFmtId="0" fontId="4" fillId="31" borderId="1" xfId="0" applyFont="1" applyFill="1" applyBorder="1" applyAlignment="1">
      <alignment horizontal="left" wrapText="1" indent="1"/>
    </xf>
    <xf numFmtId="0" fontId="4" fillId="31" borderId="29" xfId="0" applyFont="1" applyFill="1" applyBorder="1" applyAlignment="1">
      <alignment horizontal="left" wrapText="1" indent="1"/>
    </xf>
    <xf numFmtId="0" fontId="4" fillId="31" borderId="24" xfId="0" applyFont="1" applyFill="1" applyBorder="1" applyAlignment="1">
      <alignment horizontal="left" vertical="center" wrapText="1" indent="1"/>
    </xf>
    <xf numFmtId="0" fontId="4" fillId="31" borderId="1" xfId="0" applyFont="1" applyFill="1" applyBorder="1" applyAlignment="1">
      <alignment horizontal="left" vertical="center" wrapText="1" indent="1"/>
    </xf>
    <xf numFmtId="0" fontId="4" fillId="31" borderId="29" xfId="0" applyFont="1" applyFill="1" applyBorder="1" applyAlignment="1">
      <alignment horizontal="left" vertical="center" wrapText="1" indent="1"/>
    </xf>
    <xf numFmtId="0" fontId="4" fillId="0" borderId="24" xfId="0" applyFont="1" applyBorder="1" applyAlignment="1">
      <alignment horizontal="left" wrapText="1" indent="1"/>
    </xf>
    <xf numFmtId="0" fontId="4" fillId="0" borderId="1" xfId="0" applyFont="1" applyBorder="1" applyAlignment="1">
      <alignment horizontal="left" wrapText="1" indent="1"/>
    </xf>
    <xf numFmtId="0" fontId="4" fillId="0" borderId="29" xfId="0" applyFont="1" applyBorder="1" applyAlignment="1">
      <alignment horizontal="left" wrapText="1" indent="1"/>
    </xf>
    <xf numFmtId="0" fontId="5" fillId="14" borderId="1" xfId="0" applyFont="1" applyFill="1" applyBorder="1" applyAlignment="1">
      <alignment horizontal="left" wrapText="1" indent="1"/>
    </xf>
    <xf numFmtId="0" fontId="5" fillId="5" borderId="42" xfId="0" applyFont="1" applyFill="1" applyBorder="1" applyAlignment="1">
      <alignment horizontal="left" vertical="center" indent="1"/>
    </xf>
    <xf numFmtId="0" fontId="5" fillId="14" borderId="0" xfId="0" applyFont="1" applyFill="1" applyBorder="1" applyAlignment="1">
      <alignment horizontal="left" vertical="center" wrapText="1" inden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31" borderId="24" xfId="0" applyFont="1" applyFill="1" applyBorder="1" applyAlignment="1">
      <alignment horizontal="left" vertical="center" indent="1"/>
    </xf>
    <xf numFmtId="0" fontId="5" fillId="31" borderId="29" xfId="0" applyFont="1" applyFill="1" applyBorder="1" applyAlignment="1">
      <alignment horizontal="left" vertical="center" indent="1"/>
    </xf>
    <xf numFmtId="0" fontId="5" fillId="30" borderId="9"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0" fontId="5" fillId="30" borderId="24" xfId="0" applyFont="1" applyFill="1" applyBorder="1" applyAlignment="1">
      <alignment horizontal="left" vertical="center" wrapText="1" indent="1"/>
    </xf>
    <xf numFmtId="0" fontId="5" fillId="30" borderId="1" xfId="0" applyFont="1" applyFill="1" applyBorder="1" applyAlignment="1">
      <alignment horizontal="left" vertical="center" wrapText="1" indent="1"/>
    </xf>
    <xf numFmtId="0" fontId="5" fillId="30" borderId="29" xfId="0" applyFont="1" applyFill="1" applyBorder="1" applyAlignment="1">
      <alignment horizontal="left" vertical="center" wrapText="1" indent="1"/>
    </xf>
    <xf numFmtId="0" fontId="5" fillId="14" borderId="4" xfId="0" applyFont="1" applyFill="1" applyBorder="1" applyAlignment="1">
      <alignment horizontal="left" vertical="center" wrapText="1" indent="1"/>
    </xf>
    <xf numFmtId="0" fontId="5" fillId="14" borderId="1" xfId="0" applyFont="1" applyFill="1" applyBorder="1" applyAlignment="1">
      <alignment horizontal="left" vertical="center" wrapText="1" indent="1"/>
    </xf>
    <xf numFmtId="0" fontId="5" fillId="14" borderId="2" xfId="0" applyFont="1" applyFill="1" applyBorder="1" applyAlignment="1">
      <alignment horizontal="left" vertical="center" wrapText="1" indent="1"/>
    </xf>
    <xf numFmtId="0" fontId="5" fillId="14" borderId="24"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5" fillId="14" borderId="29" xfId="0" applyFont="1" applyFill="1" applyBorder="1" applyAlignment="1">
      <alignment horizontal="left" vertical="center" wrapText="1" indent="1"/>
    </xf>
    <xf numFmtId="0" fontId="5" fillId="30" borderId="29" xfId="0" applyFont="1" applyFill="1" applyBorder="1" applyAlignment="1">
      <alignment horizontal="left" vertical="center" indent="1"/>
    </xf>
    <xf numFmtId="0" fontId="5" fillId="30" borderId="2" xfId="0" applyFont="1" applyFill="1" applyBorder="1" applyAlignment="1">
      <alignment horizontal="left" vertical="center" wrapText="1" indent="1"/>
    </xf>
    <xf numFmtId="0" fontId="5" fillId="15" borderId="4" xfId="0" applyFont="1" applyFill="1" applyBorder="1" applyAlignment="1">
      <alignment horizontal="left" vertical="center" wrapText="1" indent="1"/>
    </xf>
    <xf numFmtId="0" fontId="5" fillId="15" borderId="2" xfId="0" applyFont="1" applyFill="1" applyBorder="1" applyAlignment="1">
      <alignment horizontal="left" vertical="center" wrapText="1" indent="1"/>
    </xf>
    <xf numFmtId="0" fontId="5" fillId="31" borderId="24" xfId="0" applyFont="1" applyFill="1" applyBorder="1" applyAlignment="1">
      <alignment horizontal="left" vertical="center" wrapText="1" indent="1"/>
    </xf>
    <xf numFmtId="0" fontId="5" fillId="31" borderId="1" xfId="0" applyFont="1" applyFill="1" applyBorder="1" applyAlignment="1">
      <alignment horizontal="left" vertical="center" wrapText="1" indent="1"/>
    </xf>
    <xf numFmtId="0" fontId="5" fillId="31" borderId="29" xfId="0" applyFont="1" applyFill="1" applyBorder="1" applyAlignment="1">
      <alignment horizontal="left" vertical="center" wrapText="1" indent="1"/>
    </xf>
    <xf numFmtId="0" fontId="5" fillId="5" borderId="3" xfId="0" applyFont="1" applyFill="1" applyBorder="1" applyAlignment="1">
      <alignment horizontal="left" vertical="center" wrapText="1" indent="1"/>
    </xf>
    <xf numFmtId="169" fontId="5" fillId="5" borderId="3" xfId="0" applyNumberFormat="1" applyFont="1" applyFill="1" applyBorder="1" applyAlignment="1" applyProtection="1">
      <alignment horizontal="left" vertical="center" wrapText="1" indent="1"/>
      <protection locked="0"/>
    </xf>
    <xf numFmtId="0" fontId="5" fillId="15" borderId="24" xfId="0" applyFont="1" applyFill="1" applyBorder="1" applyAlignment="1">
      <alignment horizontal="left" vertical="center" indent="1"/>
    </xf>
    <xf numFmtId="0" fontId="5" fillId="15" borderId="29" xfId="0" applyFont="1" applyFill="1" applyBorder="1" applyAlignment="1">
      <alignment horizontal="left" vertical="center" indent="1"/>
    </xf>
    <xf numFmtId="0" fontId="5" fillId="31" borderId="2" xfId="0" applyFont="1" applyFill="1" applyBorder="1" applyAlignment="1">
      <alignment horizontal="left" vertical="center" indent="1"/>
    </xf>
    <xf numFmtId="0" fontId="5" fillId="14" borderId="47" xfId="0" applyFont="1" applyFill="1" applyBorder="1" applyAlignment="1">
      <alignment horizontal="left" vertical="center" indent="1"/>
    </xf>
    <xf numFmtId="0" fontId="5" fillId="14" borderId="58" xfId="0" applyFont="1" applyFill="1" applyBorder="1" applyAlignment="1">
      <alignment horizontal="left" vertical="center" indent="1"/>
    </xf>
    <xf numFmtId="0" fontId="5" fillId="14" borderId="49" xfId="0" applyFont="1" applyFill="1" applyBorder="1" applyAlignment="1">
      <alignment horizontal="left" vertical="center" indent="1"/>
    </xf>
    <xf numFmtId="0" fontId="4" fillId="15" borderId="24" xfId="0" applyFont="1" applyFill="1" applyBorder="1" applyAlignment="1">
      <alignment horizontal="left" indent="1"/>
    </xf>
    <xf numFmtId="0" fontId="4" fillId="15" borderId="29" xfId="0" applyFont="1" applyFill="1" applyBorder="1" applyAlignment="1">
      <alignment horizontal="left" indent="1"/>
    </xf>
    <xf numFmtId="0" fontId="4" fillId="0" borderId="24" xfId="0" applyFont="1" applyBorder="1" applyAlignment="1">
      <alignment horizontal="left" vertical="center" indent="1"/>
    </xf>
    <xf numFmtId="0" fontId="4" fillId="0" borderId="1" xfId="0" applyFont="1" applyBorder="1" applyAlignment="1">
      <alignment horizontal="left" vertical="center" indent="1"/>
    </xf>
    <xf numFmtId="0" fontId="4" fillId="0" borderId="29" xfId="0" applyFont="1" applyBorder="1" applyAlignment="1">
      <alignment horizontal="left" vertical="center" indent="1"/>
    </xf>
    <xf numFmtId="0" fontId="4" fillId="0" borderId="24" xfId="0" applyFont="1" applyBorder="1" applyAlignment="1">
      <alignment horizontal="left" indent="1"/>
    </xf>
    <xf numFmtId="0" fontId="4" fillId="0" borderId="1" xfId="0" applyFont="1" applyBorder="1" applyAlignment="1">
      <alignment horizontal="left" indent="1"/>
    </xf>
    <xf numFmtId="0" fontId="4" fillId="0" borderId="29" xfId="0" applyFont="1" applyBorder="1" applyAlignment="1">
      <alignment horizontal="left" indent="1"/>
    </xf>
    <xf numFmtId="0" fontId="4" fillId="14" borderId="2" xfId="0" applyFont="1" applyFill="1" applyBorder="1" applyAlignment="1">
      <alignment horizontal="left" wrapText="1" indent="1"/>
    </xf>
    <xf numFmtId="0" fontId="4" fillId="31" borderId="24" xfId="0" applyFont="1" applyFill="1" applyBorder="1" applyAlignment="1">
      <alignment horizontal="left" indent="1"/>
    </xf>
    <xf numFmtId="0" fontId="4" fillId="31" borderId="29" xfId="0" applyFont="1" applyFill="1" applyBorder="1" applyAlignment="1">
      <alignment horizontal="left" indent="1"/>
    </xf>
    <xf numFmtId="0" fontId="4" fillId="15" borderId="1" xfId="0" applyFont="1" applyFill="1" applyBorder="1" applyAlignment="1">
      <alignment horizontal="left" indent="1"/>
    </xf>
    <xf numFmtId="0" fontId="4" fillId="32" borderId="24" xfId="0" applyFont="1" applyFill="1" applyBorder="1" applyAlignment="1">
      <alignment horizontal="left" indent="1"/>
    </xf>
    <xf numFmtId="0" fontId="4" fillId="32" borderId="1" xfId="0" applyFont="1" applyFill="1" applyBorder="1" applyAlignment="1">
      <alignment horizontal="left" indent="1"/>
    </xf>
    <xf numFmtId="0" fontId="4" fillId="32" borderId="29" xfId="0" applyFont="1" applyFill="1" applyBorder="1" applyAlignment="1">
      <alignment horizontal="left" indent="1"/>
    </xf>
    <xf numFmtId="0" fontId="4" fillId="32" borderId="24" xfId="0" applyFont="1" applyFill="1" applyBorder="1" applyAlignment="1">
      <alignment horizontal="left" wrapText="1" indent="1"/>
    </xf>
    <xf numFmtId="0" fontId="4" fillId="32" borderId="1" xfId="0" applyFont="1" applyFill="1" applyBorder="1" applyAlignment="1">
      <alignment horizontal="left" wrapText="1" indent="1"/>
    </xf>
    <xf numFmtId="0" fontId="4" fillId="32" borderId="29" xfId="0" applyFont="1" applyFill="1" applyBorder="1" applyAlignment="1">
      <alignment horizontal="left" wrapText="1" indent="1"/>
    </xf>
    <xf numFmtId="0" fontId="4" fillId="14" borderId="4" xfId="0" applyFont="1" applyFill="1" applyBorder="1" applyAlignment="1">
      <alignment horizontal="left" wrapText="1" indent="1"/>
    </xf>
    <xf numFmtId="0" fontId="4" fillId="5" borderId="5" xfId="2" applyFont="1" applyFill="1" applyBorder="1" applyAlignment="1">
      <alignment horizontal="left" vertical="center" wrapText="1" indent="1"/>
    </xf>
    <xf numFmtId="0" fontId="4" fillId="0" borderId="87" xfId="0" applyFont="1" applyBorder="1" applyAlignment="1">
      <alignment horizontal="left" vertical="center" indent="1"/>
    </xf>
    <xf numFmtId="0" fontId="4" fillId="30" borderId="1" xfId="0" applyFont="1" applyFill="1" applyBorder="1" applyAlignment="1">
      <alignment horizontal="left" vertical="center" indent="1"/>
    </xf>
    <xf numFmtId="0" fontId="4" fillId="29" borderId="1" xfId="0" applyFont="1" applyFill="1" applyBorder="1" applyAlignment="1">
      <alignment horizontal="left" vertical="center" indent="1"/>
    </xf>
    <xf numFmtId="0" fontId="4" fillId="30" borderId="29" xfId="0" applyFont="1" applyFill="1" applyBorder="1" applyAlignment="1">
      <alignment horizontal="left" vertical="center" indent="1"/>
    </xf>
    <xf numFmtId="0" fontId="4" fillId="29" borderId="24" xfId="0" applyFont="1" applyFill="1" applyBorder="1" applyAlignment="1">
      <alignment horizontal="left" vertical="center" indent="1"/>
    </xf>
    <xf numFmtId="0" fontId="4" fillId="5" borderId="88" xfId="0" applyFont="1" applyFill="1" applyBorder="1" applyAlignment="1">
      <alignment horizontal="left" vertical="center" indent="1"/>
    </xf>
    <xf numFmtId="0" fontId="4" fillId="15" borderId="24" xfId="0" applyFont="1" applyFill="1" applyBorder="1" applyAlignment="1">
      <alignment horizontal="left" vertical="center" wrapText="1" indent="1"/>
    </xf>
    <xf numFmtId="0" fontId="4" fillId="31" borderId="24" xfId="0" applyFont="1" applyFill="1" applyBorder="1" applyAlignment="1">
      <alignment horizontal="left" vertical="center" wrapText="1" indent="1"/>
    </xf>
    <xf numFmtId="0" fontId="4" fillId="0" borderId="87" xfId="0" applyFont="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31" borderId="1" xfId="0" applyFont="1" applyFill="1" applyBorder="1" applyAlignment="1">
      <alignment horizontal="left" vertical="center"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0" borderId="23" xfId="0" applyFont="1" applyBorder="1" applyAlignment="1">
      <alignment horizontal="left" vertical="center" wrapText="1" indent="1"/>
    </xf>
    <xf numFmtId="0" fontId="4" fillId="0" borderId="28"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31" borderId="1" xfId="0" applyFont="1" applyFill="1" applyBorder="1" applyAlignment="1">
      <alignment horizontal="left"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14" borderId="1" xfId="0" applyFont="1" applyFill="1" applyBorder="1" applyAlignment="1">
      <alignment horizontal="left" vertical="center" wrapText="1" indent="1"/>
    </xf>
    <xf numFmtId="0" fontId="4" fillId="0" borderId="29" xfId="0" applyFont="1" applyBorder="1" applyAlignment="1">
      <alignment horizontal="left" vertical="center" wrapText="1"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30" borderId="38" xfId="0" applyFont="1" applyFill="1" applyBorder="1" applyAlignment="1">
      <alignment horizontal="left" vertical="center" indent="1"/>
    </xf>
    <xf numFmtId="0" fontId="4" fillId="30" borderId="7" xfId="0" applyFont="1" applyFill="1" applyBorder="1" applyAlignment="1">
      <alignment horizontal="left" vertical="center" indent="1"/>
    </xf>
    <xf numFmtId="0" fontId="4" fillId="29" borderId="7" xfId="0" applyFont="1" applyFill="1" applyBorder="1" applyAlignment="1">
      <alignment horizontal="left" vertical="center" indent="1"/>
    </xf>
    <xf numFmtId="0" fontId="4" fillId="29" borderId="7" xfId="0" applyFont="1" applyFill="1" applyBorder="1" applyAlignment="1">
      <alignment horizontal="left" vertical="center" wrapText="1" indent="1"/>
    </xf>
    <xf numFmtId="0" fontId="4" fillId="30" borderId="7" xfId="0" applyFont="1" applyFill="1" applyBorder="1" applyAlignment="1">
      <alignment horizontal="left" vertical="center" wrapText="1" indent="1"/>
    </xf>
    <xf numFmtId="0" fontId="4" fillId="30" borderId="39" xfId="0" applyFont="1" applyFill="1" applyBorder="1" applyAlignment="1">
      <alignment horizontal="left" vertical="center" indent="1"/>
    </xf>
    <xf numFmtId="0" fontId="4" fillId="0" borderId="2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9" fontId="4" fillId="0" borderId="88" xfId="1" applyFont="1" applyBorder="1" applyAlignment="1">
      <alignment horizontal="center" vertical="center"/>
    </xf>
    <xf numFmtId="0" fontId="4" fillId="31" borderId="2" xfId="0" applyFont="1" applyFill="1" applyBorder="1" applyAlignment="1">
      <alignment horizontal="left" vertical="center" wrapText="1" indent="1"/>
    </xf>
    <xf numFmtId="0" fontId="4" fillId="15" borderId="65" xfId="0" applyFont="1" applyFill="1" applyBorder="1" applyAlignment="1">
      <alignment horizontal="left" vertical="center" wrapText="1" indent="1"/>
    </xf>
    <xf numFmtId="0" fontId="4" fillId="15" borderId="66" xfId="0" applyFont="1" applyFill="1" applyBorder="1" applyAlignment="1">
      <alignment horizontal="left" vertical="center" wrapText="1" indent="1"/>
    </xf>
    <xf numFmtId="0" fontId="4" fillId="0" borderId="1" xfId="0" applyFont="1" applyBorder="1" applyAlignment="1" applyProtection="1">
      <alignment horizontal="center" vertical="center"/>
      <protection locked="0"/>
    </xf>
    <xf numFmtId="0" fontId="3" fillId="6" borderId="3" xfId="0" applyFont="1" applyFill="1" applyBorder="1" applyAlignment="1" applyProtection="1">
      <alignment horizontal="center" vertical="center" wrapText="1"/>
    </xf>
    <xf numFmtId="9" fontId="6" fillId="16" borderId="4" xfId="0" applyNumberFormat="1" applyFont="1" applyFill="1" applyBorder="1" applyAlignment="1" applyProtection="1">
      <alignment horizontal="center" vertical="center"/>
    </xf>
    <xf numFmtId="9" fontId="6" fillId="16" borderId="3" xfId="0" applyNumberFormat="1" applyFont="1" applyFill="1" applyBorder="1" applyAlignment="1" applyProtection="1">
      <alignment horizontal="center" vertical="center"/>
    </xf>
    <xf numFmtId="0" fontId="4" fillId="0" borderId="1" xfId="0" applyFont="1" applyBorder="1" applyAlignment="1" applyProtection="1">
      <alignment horizontal="left" vertical="center" wrapText="1" indent="1"/>
    </xf>
    <xf numFmtId="9" fontId="4" fillId="16" borderId="4" xfId="0" applyNumberFormat="1" applyFont="1" applyFill="1" applyBorder="1" applyAlignment="1" applyProtection="1">
      <alignment horizontal="center" vertical="center"/>
    </xf>
    <xf numFmtId="9" fontId="4" fillId="16" borderId="3"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9" borderId="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0" borderId="3" xfId="0" applyFont="1" applyBorder="1" applyAlignment="1" applyProtection="1">
      <alignment horizontal="center" vertical="center" wrapText="1"/>
    </xf>
    <xf numFmtId="0" fontId="4" fillId="14"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4" xfId="0" applyFont="1" applyFill="1" applyBorder="1" applyAlignment="1" applyProtection="1">
      <alignment horizontal="left" vertical="center" wrapText="1" inden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left" vertical="center" wrapText="1" indent="1"/>
    </xf>
    <xf numFmtId="0" fontId="2" fillId="3" borderId="2" xfId="0" applyFont="1" applyFill="1" applyBorder="1" applyAlignment="1" applyProtection="1">
      <alignment horizontal="center" vertical="center" wrapText="1"/>
    </xf>
    <xf numFmtId="0" fontId="3" fillId="0" borderId="36" xfId="0" applyFont="1" applyBorder="1" applyAlignment="1" applyProtection="1">
      <alignment horizontal="left" vertical="center" wrapText="1" indent="1"/>
    </xf>
    <xf numFmtId="0" fontId="3" fillId="0" borderId="29" xfId="0" applyFont="1" applyBorder="1" applyAlignment="1" applyProtection="1">
      <alignment horizontal="left" vertical="center" wrapText="1" indent="1"/>
    </xf>
    <xf numFmtId="0" fontId="3" fillId="5" borderId="29"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left" wrapText="1" indent="1"/>
    </xf>
    <xf numFmtId="0" fontId="3" fillId="0" borderId="24" xfId="0" applyFont="1" applyBorder="1" applyAlignment="1" applyProtection="1">
      <alignment horizontal="left" vertical="center" wrapText="1" indent="1"/>
    </xf>
    <xf numFmtId="0" fontId="3" fillId="5" borderId="24"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left" vertical="center" wrapText="1" indent="1"/>
    </xf>
    <xf numFmtId="0" fontId="4" fillId="0" borderId="29" xfId="0" applyFont="1" applyBorder="1" applyAlignment="1" applyProtection="1">
      <alignment horizontal="left" vertical="center" wrapText="1" indent="1"/>
    </xf>
    <xf numFmtId="0" fontId="3" fillId="5" borderId="67" xfId="0"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0" fillId="0" borderId="29" xfId="0" applyBorder="1" applyAlignment="1" applyProtection="1">
      <alignment horizontal="center" vertical="center" wrapText="1"/>
    </xf>
    <xf numFmtId="0" fontId="4" fillId="7" borderId="87" xfId="0" applyFont="1" applyFill="1" applyBorder="1" applyAlignment="1" applyProtection="1">
      <alignment horizontal="left" vertical="center" wrapText="1" indent="1"/>
    </xf>
    <xf numFmtId="9" fontId="4" fillId="7" borderId="88" xfId="1" applyFont="1" applyFill="1" applyBorder="1" applyAlignment="1" applyProtection="1">
      <alignment horizontal="center" vertical="center" wrapText="1"/>
    </xf>
    <xf numFmtId="9" fontId="6" fillId="16" borderId="107" xfId="0" applyNumberFormat="1" applyFont="1" applyFill="1" applyBorder="1" applyAlignment="1" applyProtection="1">
      <alignment horizontal="center" vertical="center"/>
    </xf>
    <xf numFmtId="0" fontId="5" fillId="0" borderId="24" xfId="0" applyFont="1" applyBorder="1" applyAlignment="1" applyProtection="1">
      <alignment horizontal="left" vertical="center" wrapText="1" indent="1"/>
    </xf>
    <xf numFmtId="0" fontId="9" fillId="7" borderId="35" xfId="3" applyFill="1" applyBorder="1" applyAlignment="1" applyProtection="1">
      <alignment horizontal="left" vertical="center" wrapText="1" indent="1"/>
    </xf>
    <xf numFmtId="0" fontId="5" fillId="0" borderId="29" xfId="0" applyFont="1" applyBorder="1" applyAlignment="1" applyProtection="1">
      <alignment horizontal="left" vertical="center" wrapText="1" indent="1"/>
    </xf>
    <xf numFmtId="167" fontId="4" fillId="0" borderId="24" xfId="0" applyNumberFormat="1" applyFont="1" applyBorder="1" applyAlignment="1" applyProtection="1">
      <alignment horizontal="center" vertical="center"/>
      <protection locked="0"/>
    </xf>
    <xf numFmtId="167" fontId="4" fillId="0" borderId="29" xfId="0" applyNumberFormat="1" applyFont="1" applyBorder="1" applyAlignment="1" applyProtection="1">
      <alignment horizontal="center" vertical="center"/>
      <protection locked="0"/>
    </xf>
    <xf numFmtId="0" fontId="0" fillId="0" borderId="24" xfId="0" applyBorder="1" applyAlignment="1" applyProtection="1">
      <alignment horizontal="center"/>
      <protection locked="0"/>
    </xf>
    <xf numFmtId="0" fontId="4" fillId="6" borderId="3" xfId="0" applyFont="1" applyFill="1" applyBorder="1" applyAlignment="1" applyProtection="1">
      <alignment horizontal="center"/>
    </xf>
    <xf numFmtId="0" fontId="4" fillId="6" borderId="4" xfId="0" applyFont="1" applyFill="1" applyBorder="1" applyProtection="1"/>
    <xf numFmtId="0" fontId="3" fillId="5" borderId="24" xfId="0" applyFont="1" applyFill="1" applyBorder="1" applyAlignment="1" applyProtection="1">
      <alignment horizontal="left" vertical="center" wrapText="1" indent="1"/>
    </xf>
    <xf numFmtId="0" fontId="4" fillId="5" borderId="29" xfId="0" applyFont="1" applyFill="1" applyBorder="1" applyAlignment="1" applyProtection="1">
      <alignment horizontal="left" vertical="center" wrapText="1" indent="1"/>
    </xf>
    <xf numFmtId="0" fontId="3" fillId="7" borderId="87" xfId="0" applyFont="1" applyFill="1" applyBorder="1" applyAlignment="1" applyProtection="1">
      <alignment horizontal="left" vertical="center" wrapText="1" indent="1"/>
    </xf>
    <xf numFmtId="9" fontId="3" fillId="7" borderId="88" xfId="0" applyNumberFormat="1" applyFont="1" applyFill="1" applyBorder="1" applyAlignment="1" applyProtection="1">
      <alignment horizontal="center" vertical="center" wrapText="1"/>
    </xf>
    <xf numFmtId="0" fontId="4" fillId="5" borderId="7" xfId="0" applyFont="1" applyFill="1" applyBorder="1" applyAlignment="1" applyProtection="1">
      <alignment vertical="center" wrapText="1"/>
      <protection locked="0"/>
    </xf>
    <xf numFmtId="0" fontId="4" fillId="0" borderId="9" xfId="0" applyFont="1" applyBorder="1" applyAlignment="1" applyProtection="1">
      <alignment horizontal="center" wrapText="1"/>
      <protection locked="0"/>
    </xf>
    <xf numFmtId="0" fontId="4" fillId="0" borderId="7" xfId="0" applyFont="1" applyBorder="1" applyAlignment="1" applyProtection="1">
      <alignment wrapText="1"/>
      <protection locked="0"/>
    </xf>
    <xf numFmtId="0" fontId="0" fillId="9" borderId="34" xfId="0" applyFill="1" applyBorder="1" applyAlignment="1" applyProtection="1">
      <alignment horizontal="left" indent="1"/>
    </xf>
    <xf numFmtId="0" fontId="3" fillId="9" borderId="34" xfId="0" applyFont="1" applyFill="1" applyBorder="1" applyAlignment="1" applyProtection="1">
      <alignment horizontal="left" vertical="center" wrapText="1" indent="1"/>
    </xf>
    <xf numFmtId="0" fontId="9" fillId="0" borderId="76" xfId="3" applyBorder="1" applyAlignment="1" applyProtection="1">
      <alignment horizontal="left" vertical="center" wrapText="1" indent="1"/>
    </xf>
    <xf numFmtId="0" fontId="4" fillId="0" borderId="28" xfId="0" applyFont="1" applyBorder="1" applyAlignment="1" applyProtection="1">
      <alignment horizontal="left" vertical="center" wrapText="1" indent="1"/>
    </xf>
    <xf numFmtId="0" fontId="4" fillId="5" borderId="23" xfId="0" applyFont="1" applyFill="1" applyBorder="1" applyAlignment="1" applyProtection="1">
      <alignment horizontal="left" wrapText="1" indent="1"/>
    </xf>
    <xf numFmtId="0" fontId="4" fillId="5" borderId="26" xfId="0" applyFont="1" applyFill="1" applyBorder="1" applyAlignment="1" applyProtection="1">
      <alignment horizontal="left" vertical="center" wrapText="1" indent="1"/>
    </xf>
    <xf numFmtId="0" fontId="4" fillId="5" borderId="28" xfId="0" applyFont="1" applyFill="1" applyBorder="1" applyAlignment="1" applyProtection="1">
      <alignment horizontal="left" wrapText="1" indent="1"/>
    </xf>
    <xf numFmtId="0" fontId="4" fillId="6" borderId="3" xfId="0" applyFont="1" applyFill="1" applyBorder="1" applyProtection="1"/>
    <xf numFmtId="0" fontId="4" fillId="0" borderId="24" xfId="0" applyFont="1" applyBorder="1" applyAlignment="1" applyProtection="1">
      <alignment horizontal="left" wrapText="1" indent="1"/>
    </xf>
    <xf numFmtId="0" fontId="4" fillId="0" borderId="29" xfId="0" applyFont="1" applyBorder="1" applyAlignment="1" applyProtection="1">
      <alignment horizontal="left" wrapText="1" indent="1"/>
    </xf>
    <xf numFmtId="0" fontId="3" fillId="9" borderId="87" xfId="0" applyFont="1" applyFill="1" applyBorder="1" applyAlignment="1" applyProtection="1">
      <alignment horizontal="left" vertical="center" wrapText="1" indent="1"/>
    </xf>
    <xf numFmtId="9" fontId="4" fillId="9" borderId="88" xfId="0" applyNumberFormat="1" applyFont="1" applyFill="1" applyBorder="1" applyAlignment="1" applyProtection="1">
      <alignment horizontal="center" vertical="center"/>
    </xf>
    <xf numFmtId="9" fontId="4" fillId="16" borderId="107" xfId="0" applyNumberFormat="1" applyFont="1" applyFill="1" applyBorder="1" applyAlignment="1" applyProtection="1">
      <alignment horizontal="center" vertical="center"/>
    </xf>
    <xf numFmtId="0" fontId="4" fillId="0" borderId="31" xfId="0" applyFont="1" applyBorder="1" applyAlignment="1" applyProtection="1">
      <alignment horizontal="left" vertical="center" wrapText="1" indent="1"/>
    </xf>
    <xf numFmtId="0" fontId="4" fillId="0" borderId="39" xfId="0" applyFont="1" applyBorder="1" applyAlignment="1" applyProtection="1">
      <alignment horizontal="left" vertical="center" wrapText="1" indent="1"/>
    </xf>
    <xf numFmtId="0" fontId="9" fillId="9" borderId="34" xfId="3" applyFill="1" applyBorder="1" applyAlignment="1" applyProtection="1">
      <alignment horizontal="left" wrapText="1" indent="1"/>
    </xf>
    <xf numFmtId="0" fontId="2" fillId="3" borderId="2" xfId="1" applyNumberFormat="1" applyFont="1" applyFill="1" applyBorder="1" applyAlignment="1" applyProtection="1">
      <alignment horizontal="center" vertical="center" wrapText="1"/>
    </xf>
    <xf numFmtId="0" fontId="4" fillId="0" borderId="24" xfId="1" applyNumberFormat="1" applyFont="1" applyBorder="1" applyProtection="1">
      <protection locked="0"/>
    </xf>
    <xf numFmtId="0" fontId="4" fillId="0" borderId="29" xfId="1" applyNumberFormat="1" applyFont="1" applyBorder="1" applyAlignment="1" applyProtection="1">
      <alignment horizontal="center" vertical="center"/>
      <protection locked="0"/>
    </xf>
    <xf numFmtId="0" fontId="4" fillId="0" borderId="24" xfId="1" applyNumberFormat="1" applyFont="1" applyBorder="1" applyAlignment="1" applyProtection="1">
      <alignment horizontal="center" vertical="center"/>
      <protection locked="0"/>
    </xf>
    <xf numFmtId="0" fontId="4" fillId="5" borderId="38" xfId="0" applyFont="1" applyFill="1" applyBorder="1" applyAlignment="1" applyProtection="1">
      <alignment horizontal="left" vertical="center" wrapText="1" indent="1"/>
    </xf>
    <xf numFmtId="0" fontId="4" fillId="5" borderId="24" xfId="1" applyNumberFormat="1" applyFont="1" applyFill="1" applyBorder="1" applyAlignment="1" applyProtection="1">
      <alignment horizontal="center" vertical="center"/>
      <protection locked="0"/>
    </xf>
    <xf numFmtId="0" fontId="4" fillId="0" borderId="29" xfId="1" applyNumberFormat="1" applyFont="1" applyFill="1" applyBorder="1" applyAlignment="1" applyProtection="1">
      <alignment horizontal="center" vertical="center"/>
      <protection locked="0"/>
    </xf>
    <xf numFmtId="0" fontId="4" fillId="5" borderId="24" xfId="0" applyFont="1" applyFill="1" applyBorder="1" applyAlignment="1" applyProtection="1">
      <alignment horizontal="left" vertical="center" wrapText="1" indent="1"/>
    </xf>
    <xf numFmtId="0" fontId="4" fillId="0" borderId="24" xfId="1" applyNumberFormat="1" applyFont="1" applyFill="1" applyBorder="1" applyAlignment="1" applyProtection="1">
      <alignment horizontal="center" vertical="center"/>
      <protection locked="0"/>
    </xf>
    <xf numFmtId="168" fontId="4" fillId="0" borderId="24" xfId="4" applyNumberFormat="1" applyFont="1" applyBorder="1" applyAlignment="1" applyProtection="1">
      <protection locked="0"/>
    </xf>
    <xf numFmtId="168" fontId="4" fillId="5" borderId="29" xfId="4" applyNumberFormat="1" applyFont="1" applyFill="1" applyBorder="1" applyAlignment="1" applyProtection="1">
      <protection locked="0"/>
    </xf>
    <xf numFmtId="168" fontId="4" fillId="0" borderId="24" xfId="4" applyNumberFormat="1" applyFont="1" applyBorder="1" applyAlignment="1" applyProtection="1">
      <alignment horizontal="center" vertical="center"/>
      <protection locked="0"/>
    </xf>
    <xf numFmtId="168" fontId="4" fillId="5" borderId="29" xfId="4"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left" vertical="center" wrapText="1" indent="1"/>
    </xf>
    <xf numFmtId="0" fontId="4" fillId="5" borderId="44" xfId="0" applyFont="1" applyFill="1" applyBorder="1" applyAlignment="1" applyProtection="1">
      <alignment horizontal="left" vertical="center" wrapText="1" indent="1"/>
    </xf>
    <xf numFmtId="0" fontId="4" fillId="5" borderId="29" xfId="1" applyNumberFormat="1" applyFont="1" applyFill="1" applyBorder="1" applyAlignment="1" applyProtection="1">
      <alignment horizontal="center" vertical="center"/>
      <protection locked="0"/>
    </xf>
    <xf numFmtId="0" fontId="4" fillId="5" borderId="126" xfId="0" applyFont="1" applyFill="1" applyBorder="1" applyAlignment="1" applyProtection="1">
      <alignment horizontal="left" vertical="center" wrapText="1" indent="1"/>
    </xf>
    <xf numFmtId="0" fontId="4" fillId="6" borderId="3" xfId="0" applyFont="1" applyFill="1" applyBorder="1" applyProtection="1">
      <protection locked="0"/>
    </xf>
    <xf numFmtId="9" fontId="4" fillId="15" borderId="24" xfId="0" applyNumberFormat="1" applyFont="1" applyFill="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15" borderId="38" xfId="0" applyFont="1" applyFill="1" applyBorder="1" applyAlignment="1" applyProtection="1">
      <alignment horizontal="left" vertical="center" wrapText="1" indent="1"/>
    </xf>
    <xf numFmtId="0" fontId="4" fillId="0" borderId="57" xfId="0" applyFont="1" applyBorder="1" applyAlignment="1" applyProtection="1">
      <alignment horizontal="center"/>
    </xf>
    <xf numFmtId="0" fontId="4" fillId="15" borderId="39" xfId="0" applyFont="1" applyFill="1" applyBorder="1" applyAlignment="1" applyProtection="1">
      <alignment horizontal="left" vertical="center" wrapText="1" indent="1"/>
    </xf>
    <xf numFmtId="0" fontId="4" fillId="5" borderId="67" xfId="0" applyFont="1" applyFill="1" applyBorder="1" applyAlignment="1" applyProtection="1">
      <alignment vertical="center" wrapText="1"/>
    </xf>
    <xf numFmtId="0" fontId="4" fillId="14" borderId="38" xfId="0" applyFont="1" applyFill="1" applyBorder="1" applyAlignment="1" applyProtection="1">
      <alignment horizontal="left" vertical="center" wrapText="1" indent="1"/>
    </xf>
    <xf numFmtId="9" fontId="4" fillId="14" borderId="24" xfId="0" applyNumberFormat="1" applyFont="1" applyFill="1" applyBorder="1" applyAlignment="1" applyProtection="1">
      <alignment horizontal="center" vertical="center" wrapText="1"/>
    </xf>
    <xf numFmtId="0" fontId="4" fillId="5" borderId="83" xfId="0" applyFont="1" applyFill="1" applyBorder="1" applyAlignment="1" applyProtection="1">
      <alignment horizontal="center" vertical="center" wrapText="1"/>
      <protection locked="0"/>
    </xf>
    <xf numFmtId="0" fontId="4" fillId="0" borderId="71" xfId="0" applyFont="1" applyBorder="1" applyAlignment="1" applyProtection="1">
      <alignment horizontal="center" vertical="center"/>
    </xf>
    <xf numFmtId="0" fontId="4" fillId="0" borderId="72" xfId="0" applyFont="1" applyBorder="1" applyAlignment="1" applyProtection="1">
      <alignment horizontal="center" vertical="center"/>
    </xf>
    <xf numFmtId="0" fontId="4" fillId="14" borderId="39" xfId="0" applyFont="1" applyFill="1" applyBorder="1" applyAlignment="1" applyProtection="1">
      <alignment horizontal="left" vertical="center" wrapText="1" indent="1"/>
    </xf>
    <xf numFmtId="9" fontId="4" fillId="14" borderId="29" xfId="0" applyNumberFormat="1" applyFont="1" applyFill="1" applyBorder="1" applyAlignment="1" applyProtection="1">
      <alignment horizontal="center" vertical="center" wrapText="1"/>
    </xf>
    <xf numFmtId="0" fontId="4" fillId="5" borderId="67" xfId="0" applyFont="1" applyFill="1" applyBorder="1" applyAlignment="1" applyProtection="1">
      <alignment horizontal="center" vertical="center" wrapText="1"/>
      <protection locked="0"/>
    </xf>
    <xf numFmtId="0" fontId="4" fillId="0" borderId="74" xfId="0" applyFont="1" applyBorder="1" applyAlignment="1" applyProtection="1">
      <alignment horizontal="center" vertical="center"/>
    </xf>
    <xf numFmtId="9" fontId="5" fillId="14" borderId="24" xfId="0" applyNumberFormat="1"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xf>
    <xf numFmtId="0" fontId="4" fillId="0" borderId="27" xfId="0" applyFont="1" applyBorder="1" applyAlignment="1" applyProtection="1">
      <alignment horizontal="center" vertical="center"/>
    </xf>
    <xf numFmtId="9" fontId="5" fillId="14" borderId="29" xfId="0" applyNumberFormat="1" applyFont="1" applyFill="1" applyBorder="1" applyAlignment="1" applyProtection="1">
      <alignment horizontal="center" vertical="center"/>
    </xf>
    <xf numFmtId="0" fontId="4" fillId="5" borderId="39" xfId="0" applyFont="1" applyFill="1" applyBorder="1" applyAlignment="1" applyProtection="1">
      <alignment horizontal="center" vertical="center" wrapText="1"/>
      <protection locked="0"/>
    </xf>
    <xf numFmtId="0" fontId="4" fillId="0" borderId="30" xfId="0" applyFont="1" applyBorder="1" applyAlignment="1" applyProtection="1">
      <alignment horizontal="center" vertical="center"/>
    </xf>
    <xf numFmtId="166" fontId="4" fillId="14" borderId="24" xfId="0" applyNumberFormat="1" applyFont="1" applyFill="1" applyBorder="1" applyAlignment="1" applyProtection="1">
      <alignment horizontal="center" vertical="center" wrapText="1"/>
    </xf>
    <xf numFmtId="166" fontId="4" fillId="0" borderId="25" xfId="1" applyNumberFormat="1" applyFont="1" applyBorder="1" applyAlignment="1" applyProtection="1">
      <alignment horizontal="center" vertical="center"/>
    </xf>
    <xf numFmtId="166" fontId="4" fillId="0" borderId="27" xfId="1" applyNumberFormat="1" applyFont="1" applyBorder="1" applyAlignment="1" applyProtection="1">
      <alignment horizontal="center" vertical="center"/>
    </xf>
    <xf numFmtId="9" fontId="4" fillId="14" borderId="29" xfId="0" applyNumberFormat="1" applyFont="1" applyFill="1" applyBorder="1" applyAlignment="1" applyProtection="1">
      <alignment horizontal="center" wrapText="1"/>
    </xf>
    <xf numFmtId="0" fontId="4" fillId="15" borderId="24" xfId="0" applyFont="1" applyFill="1" applyBorder="1" applyAlignment="1" applyProtection="1">
      <alignment horizontal="center" vertical="center"/>
    </xf>
    <xf numFmtId="0" fontId="4" fillId="15" borderId="24" xfId="0" applyFont="1" applyFill="1" applyBorder="1" applyAlignment="1" applyProtection="1">
      <alignment horizontal="left" wrapText="1" indent="1"/>
    </xf>
    <xf numFmtId="9" fontId="4" fillId="15" borderId="24" xfId="0" applyNumberFormat="1" applyFont="1" applyFill="1" applyBorder="1" applyAlignment="1" applyProtection="1">
      <alignment horizontal="center" wrapText="1"/>
    </xf>
    <xf numFmtId="0" fontId="4" fillId="0" borderId="0" xfId="0" applyFont="1" applyBorder="1" applyAlignment="1" applyProtection="1">
      <alignment horizontal="center"/>
      <protection locked="0"/>
    </xf>
    <xf numFmtId="10" fontId="4" fillId="14" borderId="29" xfId="0" applyNumberFormat="1" applyFont="1" applyFill="1" applyBorder="1" applyAlignment="1" applyProtection="1">
      <alignment horizontal="center" vertical="center" wrapText="1"/>
    </xf>
    <xf numFmtId="0" fontId="4" fillId="14" borderId="39" xfId="0" applyFont="1" applyFill="1" applyBorder="1" applyAlignment="1" applyProtection="1">
      <alignment horizontal="left" vertical="center" indent="1"/>
    </xf>
    <xf numFmtId="9" fontId="4" fillId="14" borderId="38" xfId="0" applyNumberFormat="1" applyFont="1" applyFill="1" applyBorder="1" applyAlignment="1" applyProtection="1">
      <alignment horizontal="center" vertical="center" wrapText="1"/>
    </xf>
    <xf numFmtId="9" fontId="4" fillId="14" borderId="39" xfId="0" applyNumberFormat="1" applyFont="1" applyFill="1" applyBorder="1" applyAlignment="1" applyProtection="1">
      <alignment horizontal="center" vertical="center"/>
    </xf>
    <xf numFmtId="166" fontId="4" fillId="14" borderId="39" xfId="0" applyNumberFormat="1" applyFont="1" applyFill="1" applyBorder="1" applyAlignment="1" applyProtection="1">
      <alignment horizontal="center" vertical="center" wrapText="1"/>
    </xf>
    <xf numFmtId="9" fontId="4" fillId="15" borderId="38" xfId="0" applyNumberFormat="1" applyFont="1" applyFill="1" applyBorder="1" applyAlignment="1" applyProtection="1">
      <alignment horizontal="center" vertical="center" wrapText="1"/>
    </xf>
    <xf numFmtId="0" fontId="4" fillId="15" borderId="29" xfId="0" applyFont="1" applyFill="1" applyBorder="1" applyAlignment="1" applyProtection="1">
      <alignment horizontal="center" vertical="center"/>
    </xf>
    <xf numFmtId="0" fontId="4" fillId="15" borderId="39" xfId="0" applyFont="1" applyFill="1" applyBorder="1" applyAlignment="1" applyProtection="1">
      <alignment horizontal="left" vertical="center" indent="1"/>
    </xf>
    <xf numFmtId="9" fontId="4" fillId="15" borderId="39" xfId="0" applyNumberFormat="1" applyFont="1" applyFill="1" applyBorder="1" applyAlignment="1" applyProtection="1">
      <alignment horizontal="center" vertical="center"/>
    </xf>
    <xf numFmtId="0" fontId="4" fillId="5" borderId="6" xfId="0" applyFont="1" applyFill="1" applyBorder="1" applyAlignment="1" applyProtection="1">
      <alignment horizontal="center" vertical="center" wrapText="1"/>
      <protection locked="0"/>
    </xf>
    <xf numFmtId="0" fontId="4" fillId="5" borderId="95" xfId="0" applyFont="1" applyFill="1" applyBorder="1" applyAlignment="1" applyProtection="1">
      <alignment vertical="center" wrapText="1"/>
    </xf>
    <xf numFmtId="0" fontId="4" fillId="14" borderId="38" xfId="0" applyFont="1" applyFill="1" applyBorder="1" applyAlignment="1" applyProtection="1">
      <alignment horizontal="left" vertical="center" indent="1"/>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9" fontId="6" fillId="10" borderId="2" xfId="1" applyFont="1" applyFill="1" applyBorder="1" applyAlignment="1" applyProtection="1">
      <alignment horizontal="center" vertical="center" wrapText="1"/>
    </xf>
    <xf numFmtId="9" fontId="4" fillId="5" borderId="43" xfId="0" applyNumberFormat="1" applyFont="1" applyFill="1" applyBorder="1" applyAlignment="1" applyProtection="1">
      <alignment vertical="center" wrapText="1"/>
    </xf>
    <xf numFmtId="9" fontId="4" fillId="5" borderId="44" xfId="0" applyNumberFormat="1" applyFont="1" applyFill="1" applyBorder="1" applyAlignment="1" applyProtection="1">
      <alignment vertical="center" wrapText="1"/>
    </xf>
    <xf numFmtId="0" fontId="4" fillId="14" borderId="29" xfId="0" applyFont="1" applyFill="1" applyBorder="1" applyAlignment="1" applyProtection="1">
      <alignment horizontal="center"/>
    </xf>
    <xf numFmtId="9" fontId="4" fillId="15" borderId="24" xfId="0" applyNumberFormat="1" applyFont="1" applyFill="1" applyBorder="1" applyAlignment="1" applyProtection="1">
      <alignment horizontal="center" vertical="center"/>
    </xf>
    <xf numFmtId="0" fontId="4" fillId="15" borderId="29" xfId="0" applyFont="1" applyFill="1" applyBorder="1" applyAlignment="1" applyProtection="1">
      <alignment horizontal="left" vertical="center" indent="1"/>
    </xf>
    <xf numFmtId="9" fontId="4" fillId="15" borderId="29" xfId="0" applyNumberFormat="1" applyFont="1" applyFill="1" applyBorder="1" applyAlignment="1" applyProtection="1">
      <alignment horizontal="center" vertical="center"/>
    </xf>
    <xf numFmtId="0" fontId="4" fillId="15" borderId="24"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10" fontId="4" fillId="14" borderId="24" xfId="0" applyNumberFormat="1" applyFont="1" applyFill="1" applyBorder="1" applyAlignment="1" applyProtection="1">
      <alignment horizontal="center" vertical="center"/>
    </xf>
    <xf numFmtId="10" fontId="4" fillId="5" borderId="24" xfId="0" applyNumberFormat="1" applyFont="1" applyFill="1" applyBorder="1" applyAlignment="1" applyProtection="1">
      <alignment horizontal="center" vertical="center"/>
      <protection locked="0"/>
    </xf>
    <xf numFmtId="10" fontId="4" fillId="5" borderId="43" xfId="0" applyNumberFormat="1" applyFont="1" applyFill="1" applyBorder="1" applyAlignment="1" applyProtection="1">
      <alignment vertical="center"/>
    </xf>
    <xf numFmtId="10" fontId="4" fillId="0" borderId="25" xfId="1" applyNumberFormat="1" applyFont="1" applyBorder="1" applyAlignment="1" applyProtection="1">
      <alignment horizontal="center" vertical="center"/>
    </xf>
    <xf numFmtId="10" fontId="4" fillId="0" borderId="27" xfId="1" applyNumberFormat="1" applyFont="1" applyBorder="1" applyAlignment="1" applyProtection="1">
      <alignment horizontal="center" vertical="center"/>
    </xf>
    <xf numFmtId="10" fontId="4" fillId="14" borderId="29" xfId="0" applyNumberFormat="1" applyFont="1" applyFill="1" applyBorder="1" applyAlignment="1" applyProtection="1">
      <alignment horizontal="center" vertical="center"/>
    </xf>
    <xf numFmtId="10" fontId="4" fillId="5" borderId="29" xfId="0" applyNumberFormat="1" applyFont="1" applyFill="1" applyBorder="1" applyAlignment="1" applyProtection="1">
      <alignment horizontal="center" vertical="center"/>
      <protection locked="0"/>
    </xf>
    <xf numFmtId="10" fontId="4" fillId="5" borderId="44" xfId="0" applyNumberFormat="1" applyFont="1" applyFill="1" applyBorder="1" applyAlignment="1" applyProtection="1">
      <alignment vertical="center"/>
    </xf>
    <xf numFmtId="10" fontId="4" fillId="0" borderId="30" xfId="1" applyNumberFormat="1" applyFont="1" applyBorder="1" applyAlignment="1" applyProtection="1">
      <alignment horizontal="center" vertical="center"/>
    </xf>
    <xf numFmtId="0" fontId="4" fillId="15" borderId="29" xfId="0" applyFont="1" applyFill="1" applyBorder="1" applyAlignment="1" applyProtection="1">
      <alignment horizontal="center"/>
    </xf>
    <xf numFmtId="9" fontId="4" fillId="14" borderId="29" xfId="0" applyNumberFormat="1" applyFont="1" applyFill="1" applyBorder="1" applyAlignment="1" applyProtection="1">
      <alignment horizontal="center"/>
    </xf>
    <xf numFmtId="9" fontId="4" fillId="15" borderId="29" xfId="0" applyNumberFormat="1" applyFont="1" applyFill="1" applyBorder="1" applyAlignment="1" applyProtection="1">
      <alignment horizontal="center"/>
    </xf>
    <xf numFmtId="9" fontId="7" fillId="16" borderId="3" xfId="1" applyFont="1" applyFill="1" applyBorder="1" applyAlignment="1" applyProtection="1">
      <alignment horizontal="center" vertical="center"/>
    </xf>
    <xf numFmtId="9" fontId="7" fillId="16" borderId="4" xfId="1" applyFont="1" applyFill="1" applyBorder="1" applyAlignment="1" applyProtection="1">
      <alignment horizontal="center" vertical="center"/>
    </xf>
    <xf numFmtId="9" fontId="7" fillId="16" borderId="2" xfId="1" applyFont="1" applyFill="1" applyBorder="1" applyAlignment="1" applyProtection="1">
      <alignment horizontal="center" vertical="center"/>
    </xf>
    <xf numFmtId="9" fontId="7" fillId="16" borderId="3" xfId="1" applyNumberFormat="1" applyFont="1" applyFill="1" applyBorder="1" applyAlignment="1" applyProtection="1">
      <alignment horizontal="center" vertical="center"/>
    </xf>
    <xf numFmtId="9" fontId="7" fillId="16" borderId="1" xfId="1" applyFont="1" applyFill="1" applyBorder="1" applyAlignment="1" applyProtection="1">
      <alignment horizontal="center" vertical="center"/>
    </xf>
    <xf numFmtId="0" fontId="4" fillId="0" borderId="66" xfId="0" applyFont="1" applyBorder="1" applyAlignment="1">
      <alignment horizontal="center" vertical="center"/>
    </xf>
    <xf numFmtId="9" fontId="4" fillId="0" borderId="31" xfId="0" applyNumberFormat="1" applyFont="1" applyBorder="1" applyAlignment="1">
      <alignment horizontal="center" vertical="center"/>
    </xf>
    <xf numFmtId="0" fontId="4" fillId="0" borderId="132" xfId="0" applyFont="1" applyBorder="1" applyAlignment="1">
      <alignment horizontal="center" vertical="center"/>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5" borderId="43"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7" xfId="0" applyBorder="1" applyAlignment="1" applyProtection="1">
      <alignment wrapText="1"/>
      <protection locked="0"/>
    </xf>
    <xf numFmtId="167" fontId="3" fillId="0" borderId="24" xfId="0" applyNumberFormat="1" applyFont="1" applyBorder="1" applyAlignment="1" applyProtection="1">
      <alignment horizontal="center" vertical="center" wrapText="1"/>
      <protection locked="0"/>
    </xf>
    <xf numFmtId="167" fontId="3" fillId="0" borderId="29" xfId="0" applyNumberFormat="1" applyFont="1" applyBorder="1" applyAlignment="1" applyProtection="1">
      <alignment horizontal="center" vertical="center" wrapText="1"/>
      <protection locked="0"/>
    </xf>
    <xf numFmtId="0" fontId="9" fillId="5" borderId="95" xfId="3" applyFill="1" applyBorder="1" applyAlignment="1" applyProtection="1">
      <alignment horizontal="left" vertical="center" wrapText="1" indent="1"/>
    </xf>
    <xf numFmtId="0" fontId="9" fillId="5" borderId="125" xfId="3" applyFill="1" applyBorder="1" applyAlignment="1" applyProtection="1">
      <alignment horizontal="left" vertical="center" wrapText="1" indent="1"/>
    </xf>
    <xf numFmtId="0" fontId="9" fillId="5" borderId="1" xfId="3" applyFill="1" applyBorder="1" applyAlignment="1" applyProtection="1">
      <alignment horizontal="left" vertical="center" wrapText="1" indent="1"/>
    </xf>
    <xf numFmtId="0" fontId="4" fillId="0" borderId="2" xfId="0" applyFont="1" applyBorder="1" applyAlignment="1" applyProtection="1">
      <alignment wrapText="1"/>
      <protection locked="0"/>
    </xf>
    <xf numFmtId="0" fontId="4" fillId="0" borderId="25" xfId="0" applyFont="1" applyBorder="1" applyAlignment="1" applyProtection="1">
      <alignment wrapText="1"/>
      <protection locked="0"/>
    </xf>
    <xf numFmtId="0" fontId="4" fillId="0" borderId="27" xfId="0" applyFont="1" applyBorder="1" applyAlignment="1" applyProtection="1">
      <alignment wrapText="1"/>
      <protection locked="0"/>
    </xf>
    <xf numFmtId="0" fontId="4" fillId="0" borderId="30"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4" xfId="0" applyFont="1" applyBorder="1" applyAlignment="1" applyProtection="1">
      <alignment wrapText="1"/>
      <protection locked="0"/>
    </xf>
    <xf numFmtId="0" fontId="31" fillId="0" borderId="7" xfId="0" applyFont="1" applyBorder="1" applyAlignment="1" applyProtection="1">
      <alignment wrapText="1"/>
      <protection locked="0"/>
    </xf>
    <xf numFmtId="0" fontId="31" fillId="0" borderId="1" xfId="0" applyFont="1" applyBorder="1" applyAlignment="1" applyProtection="1">
      <alignment wrapText="1"/>
      <protection locked="0"/>
    </xf>
    <xf numFmtId="0" fontId="4" fillId="14" borderId="2" xfId="0" applyFont="1" applyFill="1" applyBorder="1" applyAlignment="1">
      <alignment horizontal="left" vertical="center" wrapText="1" indent="1"/>
    </xf>
    <xf numFmtId="9" fontId="7" fillId="16" borderId="13" xfId="1" applyFont="1" applyFill="1" applyBorder="1" applyAlignment="1">
      <alignment horizontal="center" vertical="center"/>
    </xf>
    <xf numFmtId="10" fontId="4" fillId="0" borderId="83" xfId="1" applyNumberFormat="1" applyFont="1" applyBorder="1" applyAlignment="1">
      <alignment horizontal="center" vertical="center"/>
    </xf>
    <xf numFmtId="10" fontId="4" fillId="0" borderId="6" xfId="1" applyNumberFormat="1" applyFont="1" applyBorder="1" applyAlignment="1">
      <alignment horizontal="center" vertical="center"/>
    </xf>
    <xf numFmtId="9" fontId="4" fillId="0" borderId="6" xfId="1" applyFont="1" applyBorder="1" applyAlignment="1">
      <alignment horizontal="center" vertical="center"/>
    </xf>
    <xf numFmtId="9" fontId="4" fillId="0" borderId="124" xfId="1" applyFont="1" applyBorder="1" applyAlignment="1">
      <alignment horizontal="center" vertical="center"/>
    </xf>
    <xf numFmtId="9" fontId="4" fillId="0" borderId="83" xfId="1" applyFont="1" applyBorder="1" applyAlignment="1">
      <alignment horizontal="center" vertical="center"/>
    </xf>
    <xf numFmtId="9" fontId="4" fillId="0" borderId="5" xfId="1" applyFont="1" applyBorder="1" applyAlignment="1">
      <alignment horizontal="center" vertical="center"/>
    </xf>
    <xf numFmtId="10" fontId="4" fillId="0" borderId="5" xfId="1" applyNumberFormat="1" applyFont="1" applyBorder="1" applyAlignment="1">
      <alignment horizontal="center" vertical="center"/>
    </xf>
    <xf numFmtId="10" fontId="4" fillId="0" borderId="15" xfId="1" applyNumberFormat="1" applyFont="1" applyBorder="1" applyAlignment="1">
      <alignment horizontal="center" vertical="center"/>
    </xf>
    <xf numFmtId="166" fontId="4" fillId="0" borderId="6" xfId="1" applyNumberFormat="1" applyFont="1" applyBorder="1" applyAlignment="1">
      <alignment horizontal="center" vertical="center"/>
    </xf>
    <xf numFmtId="9" fontId="7" fillId="16" borderId="8" xfId="1" applyFont="1" applyFill="1" applyBorder="1" applyAlignment="1">
      <alignment horizontal="center" vertical="center"/>
    </xf>
    <xf numFmtId="9" fontId="22" fillId="16" borderId="5" xfId="1" applyFont="1" applyFill="1" applyBorder="1" applyAlignment="1">
      <alignment horizontal="center" vertical="center"/>
    </xf>
    <xf numFmtId="0" fontId="4" fillId="5" borderId="21" xfId="0" applyFont="1" applyFill="1" applyBorder="1" applyAlignment="1" applyProtection="1">
      <alignment wrapText="1"/>
      <protection locked="0"/>
    </xf>
    <xf numFmtId="0" fontId="4" fillId="5" borderId="133" xfId="0" applyFont="1" applyFill="1" applyBorder="1" applyAlignment="1" applyProtection="1">
      <alignment wrapText="1"/>
      <protection locked="0"/>
    </xf>
    <xf numFmtId="0" fontId="4" fillId="0" borderId="133" xfId="0" applyFont="1" applyBorder="1" applyAlignment="1" applyProtection="1">
      <alignment wrapText="1"/>
      <protection locked="0"/>
    </xf>
    <xf numFmtId="0" fontId="4" fillId="5" borderId="71" xfId="0" applyFont="1" applyFill="1" applyBorder="1" applyAlignment="1" applyProtection="1">
      <alignment wrapText="1"/>
      <protection locked="0"/>
    </xf>
    <xf numFmtId="0" fontId="4" fillId="5" borderId="72" xfId="0" applyFont="1" applyFill="1" applyBorder="1" applyAlignment="1" applyProtection="1">
      <alignment wrapText="1"/>
      <protection locked="0"/>
    </xf>
    <xf numFmtId="0" fontId="4" fillId="5" borderId="74" xfId="0" applyFont="1" applyFill="1" applyBorder="1" applyAlignment="1" applyProtection="1">
      <alignment wrapText="1"/>
      <protection locked="0"/>
    </xf>
    <xf numFmtId="0" fontId="4" fillId="0" borderId="9" xfId="0" applyFont="1" applyBorder="1" applyAlignment="1" applyProtection="1">
      <alignment wrapText="1"/>
      <protection locked="0"/>
    </xf>
    <xf numFmtId="0" fontId="4" fillId="0" borderId="7" xfId="0" applyFont="1" applyBorder="1" applyAlignment="1" applyProtection="1">
      <alignment horizontal="left" wrapText="1"/>
      <protection locked="0"/>
    </xf>
    <xf numFmtId="0" fontId="31" fillId="5" borderId="7" xfId="0" applyFont="1" applyFill="1" applyBorder="1" applyAlignment="1" applyProtection="1">
      <alignment wrapText="1"/>
      <protection locked="0"/>
    </xf>
    <xf numFmtId="0" fontId="31" fillId="5" borderId="1" xfId="0" applyFont="1" applyFill="1" applyBorder="1" applyAlignment="1" applyProtection="1">
      <alignment wrapText="1"/>
      <protection locked="0"/>
    </xf>
    <xf numFmtId="9" fontId="4" fillId="0" borderId="7" xfId="1" applyFont="1" applyBorder="1" applyAlignment="1" applyProtection="1">
      <alignment horizontal="center" vertical="center" wrapText="1"/>
      <protection locked="0"/>
    </xf>
    <xf numFmtId="0" fontId="31" fillId="0" borderId="7" xfId="0" applyFont="1" applyBorder="1" applyAlignment="1" applyProtection="1">
      <alignment vertical="center" wrapText="1"/>
      <protection locked="0"/>
    </xf>
    <xf numFmtId="0" fontId="4" fillId="0" borderId="75" xfId="0" applyFont="1" applyBorder="1" applyAlignment="1" applyProtection="1">
      <alignment wrapText="1"/>
      <protection locked="0"/>
    </xf>
    <xf numFmtId="0" fontId="4" fillId="0" borderId="21" xfId="0" applyFont="1" applyBorder="1" applyAlignment="1" applyProtection="1">
      <alignment wrapText="1"/>
      <protection locked="0"/>
    </xf>
    <xf numFmtId="0" fontId="4" fillId="0" borderId="57" xfId="0" applyFont="1" applyBorder="1" applyAlignment="1">
      <alignment horizontal="center"/>
    </xf>
    <xf numFmtId="0" fontId="4" fillId="5" borderId="24" xfId="0" applyFont="1" applyFill="1" applyBorder="1" applyAlignment="1">
      <alignment horizontal="left" vertical="center" wrapText="1" indent="1"/>
    </xf>
    <xf numFmtId="42" fontId="4" fillId="5" borderId="24" xfId="0" applyNumberFormat="1" applyFont="1" applyFill="1" applyBorder="1" applyAlignment="1" applyProtection="1">
      <alignment vertical="center" wrapText="1"/>
      <protection locked="0"/>
    </xf>
    <xf numFmtId="0" fontId="4" fillId="5" borderId="25" xfId="0" applyFont="1" applyFill="1" applyBorder="1" applyAlignment="1" applyProtection="1">
      <alignment wrapText="1"/>
      <protection locked="0"/>
    </xf>
    <xf numFmtId="0" fontId="4" fillId="0" borderId="29" xfId="0" applyFont="1" applyFill="1" applyBorder="1" applyAlignment="1">
      <alignment horizontal="left" vertical="center" wrapText="1" indent="1"/>
    </xf>
    <xf numFmtId="42" fontId="4" fillId="0" borderId="29" xfId="0" applyNumberFormat="1" applyFont="1" applyFill="1" applyBorder="1" applyAlignment="1" applyProtection="1">
      <alignment vertical="center" wrapText="1"/>
      <protection locked="0"/>
    </xf>
    <xf numFmtId="0" fontId="4" fillId="0" borderId="24" xfId="0" applyFont="1" applyFill="1" applyBorder="1" applyAlignment="1">
      <alignment horizontal="left" vertical="center" wrapText="1" indent="1"/>
    </xf>
    <xf numFmtId="42" fontId="4" fillId="0" borderId="24" xfId="0" applyNumberFormat="1" applyFont="1" applyFill="1" applyBorder="1" applyAlignment="1" applyProtection="1">
      <alignment vertical="center" wrapText="1"/>
      <protection locked="0"/>
    </xf>
    <xf numFmtId="0" fontId="4" fillId="0" borderId="2" xfId="0" applyFont="1" applyBorder="1" applyAlignment="1">
      <alignment horizontal="left" vertical="center" indent="1"/>
    </xf>
    <xf numFmtId="42" fontId="4" fillId="0" borderId="2" xfId="0" applyNumberFormat="1" applyFont="1" applyBorder="1" applyAlignment="1" applyProtection="1">
      <alignment vertical="center"/>
      <protection locked="0"/>
    </xf>
    <xf numFmtId="0" fontId="4" fillId="0" borderId="45" xfId="0" applyFont="1" applyBorder="1" applyAlignment="1" applyProtection="1">
      <alignment wrapText="1"/>
      <protection locked="0"/>
    </xf>
    <xf numFmtId="9" fontId="22" fillId="16" borderId="88" xfId="0" applyNumberFormat="1" applyFont="1" applyFill="1" applyBorder="1" applyAlignment="1">
      <alignment horizontal="center" vertical="center"/>
    </xf>
    <xf numFmtId="0" fontId="4" fillId="0" borderId="107" xfId="0" applyFont="1" applyBorder="1" applyAlignment="1" applyProtection="1">
      <alignment wrapText="1"/>
      <protection locked="0"/>
    </xf>
    <xf numFmtId="42" fontId="4" fillId="0" borderId="24" xfId="0" applyNumberFormat="1" applyFont="1" applyFill="1" applyBorder="1" applyAlignment="1" applyProtection="1">
      <alignment horizontal="center" vertical="center" wrapText="1"/>
      <protection locked="0"/>
    </xf>
    <xf numFmtId="42" fontId="4" fillId="0" borderId="29" xfId="0" applyNumberFormat="1" applyFont="1" applyFill="1" applyBorder="1" applyAlignment="1" applyProtection="1">
      <alignment horizontal="center" vertical="center" wrapText="1"/>
      <protection locked="0"/>
    </xf>
    <xf numFmtId="0" fontId="4" fillId="5" borderId="29" xfId="0" applyFont="1" applyFill="1" applyBorder="1" applyAlignment="1">
      <alignment horizontal="left" vertical="center" wrapText="1" indent="1"/>
    </xf>
    <xf numFmtId="9" fontId="22" fillId="16" borderId="9" xfId="0" applyNumberFormat="1" applyFont="1" applyFill="1" applyBorder="1" applyAlignment="1">
      <alignment horizontal="center" vertical="center"/>
    </xf>
    <xf numFmtId="0" fontId="4" fillId="0" borderId="2" xfId="0" applyFont="1" applyBorder="1" applyAlignment="1">
      <alignment horizontal="left" wrapText="1" indent="1"/>
    </xf>
    <xf numFmtId="42" fontId="4" fillId="0" borderId="2" xfId="0" applyNumberFormat="1" applyFont="1" applyFill="1" applyBorder="1" applyAlignment="1" applyProtection="1">
      <alignment horizontal="center" vertical="center" wrapText="1"/>
      <protection locked="0"/>
    </xf>
    <xf numFmtId="0" fontId="6" fillId="10" borderId="2" xfId="0" applyFont="1" applyFill="1" applyBorder="1" applyAlignment="1">
      <alignment vertical="center"/>
    </xf>
    <xf numFmtId="0" fontId="6" fillId="10" borderId="2" xfId="0" applyFont="1" applyFill="1" applyBorder="1" applyAlignment="1">
      <alignment horizontal="center" vertical="center"/>
    </xf>
    <xf numFmtId="9" fontId="6" fillId="10" borderId="2" xfId="1" applyFont="1" applyFill="1" applyBorder="1" applyAlignment="1">
      <alignment horizontal="center" vertical="center"/>
    </xf>
    <xf numFmtId="42" fontId="4" fillId="5" borderId="24" xfId="0" applyNumberFormat="1" applyFont="1" applyFill="1" applyBorder="1" applyAlignment="1" applyProtection="1">
      <alignment horizontal="center" vertical="center" wrapText="1"/>
      <protection locked="0"/>
    </xf>
    <xf numFmtId="0" fontId="5" fillId="5" borderId="29" xfId="0" applyFont="1" applyFill="1" applyBorder="1" applyAlignment="1">
      <alignment horizontal="left" vertical="center" wrapText="1" indent="1"/>
    </xf>
    <xf numFmtId="42" fontId="4" fillId="0" borderId="29" xfId="0" applyNumberFormat="1" applyFont="1" applyBorder="1" applyAlignment="1" applyProtection="1">
      <alignment horizontal="center" vertical="center"/>
      <protection locked="0"/>
    </xf>
    <xf numFmtId="0" fontId="5" fillId="5" borderId="24" xfId="0" applyFont="1" applyFill="1" applyBorder="1" applyAlignment="1">
      <alignment horizontal="left" vertical="center" wrapText="1" indent="1"/>
    </xf>
    <xf numFmtId="42" fontId="4" fillId="0" borderId="24" xfId="0" applyNumberFormat="1" applyFont="1" applyBorder="1" applyAlignment="1" applyProtection="1">
      <alignment horizontal="center" vertical="center"/>
      <protection locked="0"/>
    </xf>
    <xf numFmtId="42" fontId="4" fillId="5" borderId="29" xfId="0" applyNumberFormat="1" applyFont="1" applyFill="1" applyBorder="1" applyAlignment="1" applyProtection="1">
      <alignment horizontal="center" vertical="center"/>
      <protection locked="0"/>
    </xf>
    <xf numFmtId="9" fontId="22" fillId="16" borderId="56" xfId="0" applyNumberFormat="1" applyFont="1" applyFill="1" applyBorder="1" applyAlignment="1">
      <alignment horizontal="center" vertical="center"/>
    </xf>
    <xf numFmtId="0" fontId="0" fillId="0" borderId="0" xfId="0" applyBorder="1"/>
    <xf numFmtId="9" fontId="9" fillId="16" borderId="1" xfId="3" applyNumberFormat="1" applyFill="1" applyBorder="1" applyAlignment="1" applyProtection="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Border="1" applyAlignment="1" applyProtection="1">
      <alignment wrapText="1"/>
      <protection locked="0"/>
    </xf>
    <xf numFmtId="0" fontId="0" fillId="0" borderId="0" xfId="0" applyFill="1" applyBorder="1"/>
    <xf numFmtId="0" fontId="16" fillId="17" borderId="141" xfId="0" applyFont="1" applyFill="1" applyBorder="1" applyAlignment="1" applyProtection="1">
      <alignment horizontal="center" vertical="center"/>
    </xf>
    <xf numFmtId="0" fontId="16" fillId="12" borderId="142" xfId="0" applyFont="1" applyFill="1" applyBorder="1" applyAlignment="1" applyProtection="1">
      <alignment horizontal="center" vertical="center" wrapText="1"/>
    </xf>
    <xf numFmtId="9" fontId="9" fillId="16" borderId="144" xfId="3" applyNumberFormat="1" applyFill="1" applyBorder="1" applyAlignment="1" applyProtection="1">
      <alignment horizontal="center" vertical="center"/>
    </xf>
    <xf numFmtId="9" fontId="9" fillId="16" borderId="146" xfId="3" applyNumberFormat="1" applyFill="1" applyBorder="1" applyAlignment="1" applyProtection="1">
      <alignment horizontal="center" vertical="center"/>
    </xf>
    <xf numFmtId="9" fontId="16" fillId="16" borderId="146" xfId="0" applyNumberFormat="1" applyFont="1" applyFill="1" applyBorder="1" applyAlignment="1" applyProtection="1">
      <alignment horizontal="center" vertical="center"/>
    </xf>
    <xf numFmtId="9" fontId="20" fillId="16" borderId="146" xfId="3" applyNumberFormat="1" applyFont="1" applyFill="1" applyBorder="1" applyAlignment="1" applyProtection="1">
      <alignment horizontal="center" vertical="center"/>
    </xf>
    <xf numFmtId="9" fontId="16" fillId="16" borderId="153" xfId="0" applyNumberFormat="1" applyFont="1" applyFill="1" applyBorder="1" applyAlignment="1" applyProtection="1">
      <alignment horizontal="center" vertical="center"/>
    </xf>
    <xf numFmtId="0" fontId="3" fillId="5" borderId="44" xfId="0" applyFont="1" applyFill="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5" borderId="1" xfId="1"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9" fillId="0" borderId="0" xfId="3" applyAlignment="1" applyProtection="1">
      <protection locked="0"/>
    </xf>
    <xf numFmtId="9" fontId="16" fillId="16" borderId="146" xfId="0" applyNumberFormat="1" applyFont="1" applyFill="1" applyBorder="1" applyAlignment="1" applyProtection="1">
      <alignment horizontal="center" vertical="center"/>
      <protection locked="0"/>
    </xf>
    <xf numFmtId="167" fontId="4" fillId="19" borderId="1" xfId="0" applyNumberFormat="1" applyFont="1" applyFill="1" applyBorder="1" applyAlignment="1" applyProtection="1">
      <alignment horizontal="center" vertical="center"/>
      <protection locked="0"/>
    </xf>
    <xf numFmtId="164" fontId="3" fillId="19" borderId="1" xfId="0" applyNumberFormat="1" applyFont="1" applyFill="1" applyBorder="1" applyAlignment="1" applyProtection="1">
      <alignment horizontal="justify" vertical="center" wrapText="1"/>
      <protection locked="0" hidden="1"/>
    </xf>
    <xf numFmtId="0" fontId="3" fillId="19" borderId="24" xfId="0" applyFont="1" applyFill="1" applyBorder="1" applyAlignment="1" applyProtection="1">
      <alignment horizontal="center" vertical="center" wrapText="1"/>
      <protection locked="0"/>
    </xf>
    <xf numFmtId="0" fontId="3" fillId="19" borderId="29" xfId="0" applyFont="1" applyFill="1" applyBorder="1" applyAlignment="1" applyProtection="1">
      <alignment horizontal="center" vertical="center" wrapText="1"/>
      <protection locked="0"/>
    </xf>
    <xf numFmtId="167" fontId="3" fillId="19" borderId="24" xfId="0" applyNumberFormat="1" applyFont="1" applyFill="1" applyBorder="1" applyAlignment="1" applyProtection="1">
      <alignment horizontal="center" vertical="center" wrapText="1"/>
      <protection locked="0"/>
    </xf>
    <xf numFmtId="0" fontId="4" fillId="19" borderId="29" xfId="0" applyFont="1" applyFill="1" applyBorder="1" applyAlignment="1" applyProtection="1">
      <alignment horizontal="center" vertical="center"/>
      <protection locked="0"/>
    </xf>
    <xf numFmtId="0" fontId="4" fillId="19" borderId="1" xfId="0" applyFont="1" applyFill="1" applyBorder="1" applyAlignment="1" applyProtection="1">
      <alignment horizontal="center" vertical="center"/>
      <protection locked="0"/>
    </xf>
    <xf numFmtId="0" fontId="4" fillId="19" borderId="1" xfId="0" applyFont="1" applyFill="1" applyBorder="1" applyAlignment="1" applyProtection="1">
      <alignment wrapText="1"/>
      <protection locked="0"/>
    </xf>
    <xf numFmtId="0" fontId="4" fillId="19" borderId="7" xfId="0" applyFont="1" applyFill="1" applyBorder="1" applyAlignment="1" applyProtection="1">
      <alignment wrapText="1"/>
      <protection locked="0"/>
    </xf>
    <xf numFmtId="0" fontId="31" fillId="19" borderId="7" xfId="0" applyFont="1" applyFill="1" applyBorder="1" applyAlignment="1" applyProtection="1">
      <alignment wrapText="1"/>
      <protection locked="0"/>
    </xf>
    <xf numFmtId="0" fontId="4" fillId="19" borderId="133" xfId="0" applyFont="1" applyFill="1" applyBorder="1" applyAlignment="1" applyProtection="1">
      <alignment wrapText="1"/>
      <protection locked="0"/>
    </xf>
    <xf numFmtId="0" fontId="31" fillId="19" borderId="1" xfId="0" applyFont="1" applyFill="1" applyBorder="1" applyAlignment="1" applyProtection="1">
      <alignment wrapText="1"/>
      <protection locked="0"/>
    </xf>
    <xf numFmtId="0" fontId="3" fillId="4" borderId="1" xfId="0" applyFont="1" applyFill="1" applyBorder="1" applyAlignment="1" applyProtection="1">
      <alignment horizontal="center" vertical="center" wrapText="1"/>
      <protection locked="0" hidden="1"/>
    </xf>
    <xf numFmtId="0" fontId="0" fillId="0" borderId="1" xfId="0" applyBorder="1" applyAlignment="1" applyProtection="1">
      <alignment horizontal="center" vertical="center"/>
      <protection locked="0" hidden="1"/>
    </xf>
    <xf numFmtId="0" fontId="3" fillId="19" borderId="1" xfId="0" applyFont="1" applyFill="1" applyBorder="1" applyAlignment="1" applyProtection="1">
      <alignment horizontal="center" vertical="center" wrapText="1"/>
      <protection locked="0" hidden="1"/>
    </xf>
    <xf numFmtId="0" fontId="3" fillId="4" borderId="1" xfId="0" applyFont="1" applyFill="1" applyBorder="1" applyAlignment="1" applyProtection="1">
      <alignment horizontal="center" vertical="center"/>
      <protection locked="0" hidden="1"/>
    </xf>
    <xf numFmtId="164" fontId="3" fillId="19" borderId="1" xfId="0" applyNumberFormat="1" applyFont="1" applyFill="1" applyBorder="1" applyAlignment="1" applyProtection="1">
      <alignment horizontal="center" vertical="center" wrapText="1"/>
      <protection locked="0" hidden="1"/>
    </xf>
    <xf numFmtId="0" fontId="2" fillId="3" borderId="6" xfId="0" applyFont="1" applyFill="1" applyBorder="1" applyAlignment="1">
      <alignment vertical="center" wrapText="1"/>
    </xf>
    <xf numFmtId="0" fontId="33" fillId="0" borderId="1" xfId="0" applyFont="1" applyBorder="1" applyAlignment="1" applyProtection="1">
      <alignment horizontal="justify" vertical="top" wrapText="1"/>
      <protection locked="0" hidden="1"/>
    </xf>
    <xf numFmtId="0" fontId="3" fillId="4" borderId="1" xfId="0" applyFont="1" applyFill="1" applyBorder="1" applyAlignment="1">
      <alignment horizontal="justify" vertical="top" wrapText="1"/>
    </xf>
    <xf numFmtId="0" fontId="34" fillId="4" borderId="1" xfId="0" applyFont="1" applyFill="1" applyBorder="1" applyAlignment="1" applyProtection="1">
      <alignment horizontal="center" vertical="center" wrapText="1"/>
      <protection locked="0" hidden="1"/>
    </xf>
    <xf numFmtId="43" fontId="0" fillId="0" borderId="0" xfId="4" applyFont="1"/>
    <xf numFmtId="0" fontId="4" fillId="0" borderId="7" xfId="0" applyFont="1" applyBorder="1" applyAlignment="1" applyProtection="1">
      <alignment horizontal="justify" vertical="top" wrapText="1"/>
      <protection locked="0"/>
    </xf>
    <xf numFmtId="0" fontId="17" fillId="2" borderId="16" xfId="0" applyFont="1" applyFill="1" applyBorder="1" applyAlignment="1" applyProtection="1">
      <alignment horizontal="center" vertical="top" wrapText="1"/>
    </xf>
    <xf numFmtId="0" fontId="17" fillId="2" borderId="17"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16" fillId="21" borderId="5" xfId="0" applyFont="1" applyFill="1" applyBorder="1" applyAlignment="1" applyProtection="1">
      <alignment horizontal="center" vertical="center"/>
    </xf>
    <xf numFmtId="0" fontId="16" fillId="21" borderId="6" xfId="0" applyFont="1" applyFill="1" applyBorder="1" applyAlignment="1" applyProtection="1">
      <alignment horizontal="center" vertical="center"/>
    </xf>
    <xf numFmtId="0" fontId="16" fillId="21" borderId="7" xfId="0" applyFont="1" applyFill="1" applyBorder="1" applyAlignment="1" applyProtection="1">
      <alignment horizontal="center" vertical="center"/>
    </xf>
    <xf numFmtId="0" fontId="16" fillId="21" borderId="147" xfId="0" applyFont="1" applyFill="1" applyBorder="1" applyAlignment="1" applyProtection="1">
      <alignment horizontal="center" vertical="center"/>
    </xf>
    <xf numFmtId="0" fontId="16" fillId="21" borderId="14" xfId="0" applyFont="1" applyFill="1" applyBorder="1" applyAlignment="1" applyProtection="1">
      <alignment horizontal="center" vertical="center"/>
    </xf>
    <xf numFmtId="0" fontId="16" fillId="21" borderId="9" xfId="0" applyFont="1" applyFill="1" applyBorder="1" applyAlignment="1" applyProtection="1">
      <alignment horizontal="center" vertical="center"/>
    </xf>
    <xf numFmtId="0" fontId="16" fillId="21" borderId="143" xfId="0" applyFont="1" applyFill="1" applyBorder="1" applyAlignment="1" applyProtection="1">
      <alignment horizontal="center" vertical="center"/>
    </xf>
    <xf numFmtId="0" fontId="16" fillId="21" borderId="145" xfId="0" applyFont="1" applyFill="1" applyBorder="1" applyAlignment="1" applyProtection="1">
      <alignment horizontal="center" vertical="center"/>
    </xf>
    <xf numFmtId="0" fontId="16" fillId="21" borderId="2" xfId="0" applyFont="1" applyFill="1" applyBorder="1" applyAlignment="1" applyProtection="1">
      <alignment horizontal="center" vertical="center" wrapText="1"/>
    </xf>
    <xf numFmtId="0" fontId="16" fillId="21" borderId="3" xfId="0" applyFont="1" applyFill="1" applyBorder="1" applyAlignment="1" applyProtection="1">
      <alignment horizontal="center" vertical="center" wrapText="1"/>
    </xf>
    <xf numFmtId="0" fontId="16" fillId="21" borderId="4" xfId="0" applyFont="1" applyFill="1" applyBorder="1" applyAlignment="1" applyProtection="1">
      <alignment horizontal="center" vertical="center" wrapText="1"/>
    </xf>
    <xf numFmtId="9" fontId="9" fillId="16" borderId="2" xfId="3" applyNumberFormat="1" applyFill="1" applyBorder="1" applyAlignment="1" applyProtection="1">
      <alignment horizontal="center" vertical="center"/>
    </xf>
    <xf numFmtId="9" fontId="9" fillId="16" borderId="3" xfId="3" applyNumberFormat="1" applyFill="1" applyBorder="1" applyAlignment="1" applyProtection="1">
      <alignment horizontal="center" vertical="center"/>
    </xf>
    <xf numFmtId="9" fontId="9" fillId="16" borderId="4" xfId="3" applyNumberFormat="1" applyFill="1" applyBorder="1" applyAlignment="1" applyProtection="1">
      <alignment horizontal="center" vertical="center"/>
    </xf>
    <xf numFmtId="0" fontId="16" fillId="27" borderId="148" xfId="0" applyFont="1" applyFill="1" applyBorder="1" applyAlignment="1" applyProtection="1">
      <alignment horizontal="center" vertical="center" wrapText="1"/>
    </xf>
    <xf numFmtId="0" fontId="16" fillId="27" borderId="145" xfId="0" applyFont="1" applyFill="1" applyBorder="1" applyAlignment="1" applyProtection="1">
      <alignment horizontal="center" vertical="center" wrapText="1"/>
    </xf>
    <xf numFmtId="0" fontId="16" fillId="27" borderId="149" xfId="0" applyFont="1" applyFill="1" applyBorder="1" applyAlignment="1" applyProtection="1">
      <alignment horizontal="center" vertical="center" wrapText="1"/>
    </xf>
    <xf numFmtId="0" fontId="16" fillId="28" borderId="151" xfId="0" applyFont="1" applyFill="1" applyBorder="1" applyAlignment="1" applyProtection="1">
      <alignment horizontal="center" vertical="center"/>
    </xf>
    <xf numFmtId="0" fontId="16" fillId="28" borderId="152" xfId="0" applyFont="1" applyFill="1" applyBorder="1" applyAlignment="1" applyProtection="1">
      <alignment horizontal="center" vertical="center"/>
    </xf>
    <xf numFmtId="0" fontId="16" fillId="26" borderId="2" xfId="0" applyFont="1" applyFill="1" applyBorder="1" applyAlignment="1" applyProtection="1">
      <alignment horizontal="center" vertical="center" wrapText="1"/>
    </xf>
    <xf numFmtId="0" fontId="16" fillId="26" borderId="3" xfId="0" applyFont="1" applyFill="1" applyBorder="1" applyAlignment="1" applyProtection="1">
      <alignment horizontal="center" vertical="center" wrapText="1"/>
    </xf>
    <xf numFmtId="0" fontId="16" fillId="26" borderId="4" xfId="0" applyFont="1" applyFill="1" applyBorder="1" applyAlignment="1" applyProtection="1">
      <alignment horizontal="center" vertical="center" wrapText="1"/>
    </xf>
    <xf numFmtId="0" fontId="16" fillId="26" borderId="2" xfId="0" applyFont="1" applyFill="1" applyBorder="1" applyAlignment="1" applyProtection="1">
      <alignment horizontal="center" vertical="center"/>
    </xf>
    <xf numFmtId="0" fontId="16" fillId="26" borderId="3" xfId="0" applyFont="1" applyFill="1" applyBorder="1" applyAlignment="1" applyProtection="1">
      <alignment horizontal="center" vertical="center"/>
    </xf>
    <xf numFmtId="0" fontId="16" fillId="26" borderId="148" xfId="0" applyFont="1" applyFill="1" applyBorder="1" applyAlignment="1" applyProtection="1">
      <alignment horizontal="center" vertical="center"/>
    </xf>
    <xf numFmtId="0" fontId="16" fillId="26" borderId="145" xfId="0" applyFont="1" applyFill="1" applyBorder="1" applyAlignment="1" applyProtection="1">
      <alignment horizontal="center" vertical="center"/>
    </xf>
    <xf numFmtId="0" fontId="16" fillId="26" borderId="147" xfId="0" applyFont="1" applyFill="1" applyBorder="1" applyAlignment="1" applyProtection="1">
      <alignment horizontal="center" vertical="center"/>
    </xf>
    <xf numFmtId="0" fontId="16" fillId="26" borderId="14" xfId="0" applyFont="1" applyFill="1" applyBorder="1" applyAlignment="1" applyProtection="1">
      <alignment horizontal="center" vertical="center"/>
    </xf>
    <xf numFmtId="0" fontId="16" fillId="26" borderId="9" xfId="0" applyFont="1" applyFill="1" applyBorder="1" applyAlignment="1" applyProtection="1">
      <alignment horizontal="center" vertical="center"/>
    </xf>
    <xf numFmtId="0" fontId="16" fillId="27" borderId="150" xfId="0" applyFont="1" applyFill="1" applyBorder="1" applyAlignment="1" applyProtection="1">
      <alignment horizontal="center" vertical="center" wrapText="1"/>
    </xf>
    <xf numFmtId="0" fontId="16" fillId="27" borderId="6" xfId="0" applyFont="1" applyFill="1" applyBorder="1" applyAlignment="1" applyProtection="1">
      <alignment horizontal="center" vertical="center" wrapText="1"/>
    </xf>
    <xf numFmtId="0" fontId="16" fillId="27" borderId="7" xfId="0" applyFont="1" applyFill="1" applyBorder="1" applyAlignment="1" applyProtection="1">
      <alignment horizontal="center" vertical="center" wrapText="1"/>
    </xf>
    <xf numFmtId="0" fontId="6" fillId="0" borderId="1" xfId="0" applyFont="1" applyBorder="1" applyAlignment="1" applyProtection="1">
      <alignment horizontal="center"/>
    </xf>
    <xf numFmtId="0" fontId="16" fillId="2" borderId="138" xfId="0" applyFont="1" applyFill="1" applyBorder="1" applyAlignment="1">
      <alignment horizontal="center" vertical="center"/>
    </xf>
    <xf numFmtId="0" fontId="16" fillId="2" borderId="139" xfId="0" applyFont="1" applyFill="1" applyBorder="1" applyAlignment="1">
      <alignment horizontal="center" vertical="center"/>
    </xf>
    <xf numFmtId="0" fontId="16" fillId="2" borderId="140" xfId="0" applyFont="1" applyFill="1" applyBorder="1" applyAlignment="1">
      <alignment horizontal="center" vertical="center"/>
    </xf>
    <xf numFmtId="0" fontId="9" fillId="16" borderId="1" xfId="3" applyFill="1" applyBorder="1" applyAlignment="1" applyProtection="1">
      <alignment horizontal="center" vertical="center"/>
    </xf>
    <xf numFmtId="9" fontId="9" fillId="16" borderId="1" xfId="3" applyNumberFormat="1" applyFill="1" applyBorder="1" applyAlignment="1" applyProtection="1">
      <alignment horizontal="center" vertical="center"/>
    </xf>
    <xf numFmtId="9" fontId="6" fillId="16" borderId="59" xfId="0" applyNumberFormat="1" applyFont="1" applyFill="1" applyBorder="1" applyAlignment="1" applyProtection="1">
      <alignment horizontal="center" vertical="center"/>
    </xf>
    <xf numFmtId="9" fontId="6" fillId="16" borderId="108" xfId="0" applyNumberFormat="1" applyFont="1" applyFill="1" applyBorder="1" applyAlignment="1" applyProtection="1">
      <alignment horizontal="center" vertical="center"/>
    </xf>
    <xf numFmtId="9" fontId="6" fillId="16" borderId="106" xfId="0" applyNumberFormat="1" applyFont="1" applyFill="1" applyBorder="1" applyAlignment="1" applyProtection="1">
      <alignment horizontal="center" vertical="center"/>
    </xf>
    <xf numFmtId="0" fontId="3" fillId="7" borderId="43" xfId="0" applyFont="1" applyFill="1" applyBorder="1" applyAlignment="1" applyProtection="1">
      <alignment horizontal="center" wrapText="1"/>
    </xf>
    <xf numFmtId="0" fontId="3" fillId="7" borderId="3" xfId="0" applyFont="1" applyFill="1" applyBorder="1" applyAlignment="1" applyProtection="1">
      <alignment horizontal="center" wrapText="1"/>
    </xf>
    <xf numFmtId="0" fontId="3" fillId="7" borderId="44" xfId="0" applyFont="1" applyFill="1" applyBorder="1" applyAlignment="1" applyProtection="1">
      <alignment horizontal="center" wrapText="1"/>
    </xf>
    <xf numFmtId="0" fontId="3" fillId="5" borderId="43"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7" borderId="24" xfId="0" applyFont="1" applyFill="1" applyBorder="1" applyAlignment="1" applyProtection="1">
      <alignment horizontal="center" wrapText="1"/>
    </xf>
    <xf numFmtId="0" fontId="3" fillId="7" borderId="1" xfId="0" applyFont="1" applyFill="1" applyBorder="1" applyAlignment="1" applyProtection="1">
      <alignment horizontal="center" wrapText="1"/>
    </xf>
    <xf numFmtId="0" fontId="3" fillId="7" borderId="29" xfId="0" applyFont="1" applyFill="1" applyBorder="1" applyAlignment="1" applyProtection="1">
      <alignment horizontal="center" wrapText="1"/>
    </xf>
    <xf numFmtId="0" fontId="3" fillId="4" borderId="24" xfId="0" applyFont="1" applyFill="1" applyBorder="1" applyAlignment="1" applyProtection="1">
      <alignment horizontal="center" vertical="center" wrapText="1"/>
    </xf>
    <xf numFmtId="0" fontId="3" fillId="4" borderId="29" xfId="0" applyFont="1" applyFill="1" applyBorder="1" applyAlignment="1" applyProtection="1">
      <alignment horizontal="center" vertical="center" wrapText="1"/>
    </xf>
    <xf numFmtId="0" fontId="3" fillId="7" borderId="24" xfId="0" applyFont="1" applyFill="1" applyBorder="1" applyAlignment="1" applyProtection="1">
      <alignment horizontal="center"/>
    </xf>
    <xf numFmtId="0" fontId="3" fillId="7" borderId="29" xfId="0" applyFont="1" applyFill="1" applyBorder="1" applyAlignment="1" applyProtection="1">
      <alignment horizontal="center"/>
    </xf>
    <xf numFmtId="0" fontId="6" fillId="0" borderId="1" xfId="0" applyFont="1" applyBorder="1" applyAlignment="1" applyProtection="1">
      <alignment horizontal="center" wrapText="1"/>
    </xf>
    <xf numFmtId="0" fontId="4" fillId="0" borderId="1" xfId="0" applyFont="1" applyBorder="1" applyAlignment="1" applyProtection="1">
      <alignment horizontal="justify" vertical="top" wrapText="1"/>
    </xf>
    <xf numFmtId="0" fontId="2" fillId="3" borderId="1" xfId="0" applyFont="1" applyFill="1" applyBorder="1" applyAlignment="1" applyProtection="1">
      <alignment horizontal="center" wrapText="1"/>
    </xf>
    <xf numFmtId="0" fontId="4" fillId="0" borderId="1" xfId="0" applyFont="1" applyBorder="1" applyAlignment="1" applyProtection="1">
      <alignment horizontal="left" wrapText="1"/>
    </xf>
    <xf numFmtId="9" fontId="3" fillId="4" borderId="24"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wrapText="1"/>
    </xf>
    <xf numFmtId="0" fontId="4" fillId="6"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wrapText="1"/>
    </xf>
    <xf numFmtId="0" fontId="3" fillId="6" borderId="3" xfId="0" applyFont="1" applyFill="1" applyBorder="1" applyAlignment="1" applyProtection="1">
      <alignment horizontal="center" vertical="center" wrapText="1"/>
    </xf>
    <xf numFmtId="9" fontId="4" fillId="7" borderId="24" xfId="1" applyFont="1" applyFill="1" applyBorder="1" applyAlignment="1" applyProtection="1">
      <alignment horizontal="center" vertical="center" wrapText="1"/>
    </xf>
    <xf numFmtId="9" fontId="4" fillId="7" borderId="1" xfId="1" applyFont="1" applyFill="1" applyBorder="1" applyAlignment="1" applyProtection="1">
      <alignment horizontal="center" vertical="center" wrapText="1"/>
    </xf>
    <xf numFmtId="9" fontId="4" fillId="7" borderId="29" xfId="1" applyFont="1" applyFill="1" applyBorder="1" applyAlignment="1" applyProtection="1">
      <alignment horizontal="center" vertical="center" wrapText="1"/>
    </xf>
    <xf numFmtId="9" fontId="3" fillId="7" borderId="38" xfId="0" applyNumberFormat="1" applyFont="1" applyFill="1" applyBorder="1" applyAlignment="1" applyProtection="1">
      <alignment horizontal="center" vertical="center" wrapText="1"/>
    </xf>
    <xf numFmtId="9" fontId="3" fillId="7" borderId="29" xfId="0" applyNumberFormat="1" applyFont="1" applyFill="1" applyBorder="1" applyAlignment="1" applyProtection="1">
      <alignment horizontal="center" vertical="center" wrapText="1"/>
    </xf>
    <xf numFmtId="9" fontId="4" fillId="7" borderId="24" xfId="0" applyNumberFormat="1" applyFont="1" applyFill="1" applyBorder="1" applyAlignment="1" applyProtection="1">
      <alignment horizontal="center" vertical="center" wrapText="1"/>
    </xf>
    <xf numFmtId="9" fontId="4" fillId="7" borderId="29"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7" borderId="33" xfId="0" applyFont="1" applyFill="1" applyBorder="1" applyAlignment="1" applyProtection="1">
      <alignment horizontal="left" vertical="center" wrapText="1" indent="1"/>
    </xf>
    <xf numFmtId="0" fontId="3" fillId="7" borderId="35" xfId="0" applyFont="1" applyFill="1" applyBorder="1" applyAlignment="1" applyProtection="1">
      <alignment horizontal="left" vertical="center" wrapText="1" indent="1"/>
    </xf>
    <xf numFmtId="0" fontId="3" fillId="6" borderId="52" xfId="0" applyFont="1" applyFill="1" applyBorder="1" applyAlignment="1" applyProtection="1">
      <alignment horizontal="left" vertical="center" wrapText="1" indent="1"/>
    </xf>
    <xf numFmtId="0" fontId="3" fillId="6" borderId="13" xfId="0" applyFont="1" applyFill="1" applyBorder="1" applyAlignment="1" applyProtection="1">
      <alignment horizontal="left" vertical="center" wrapText="1" indent="1"/>
    </xf>
    <xf numFmtId="0" fontId="3" fillId="6" borderId="51" xfId="0" applyFont="1" applyFill="1" applyBorder="1" applyAlignment="1" applyProtection="1">
      <alignment horizontal="left" vertical="center" wrapText="1" indent="1"/>
    </xf>
    <xf numFmtId="0" fontId="4" fillId="7" borderId="33" xfId="0" applyFont="1" applyFill="1" applyBorder="1" applyAlignment="1" applyProtection="1">
      <alignment horizontal="left" vertical="center" wrapText="1" indent="1"/>
    </xf>
    <xf numFmtId="0" fontId="4" fillId="7" borderId="35" xfId="0" applyFont="1" applyFill="1" applyBorder="1" applyAlignment="1" applyProtection="1">
      <alignment horizontal="left" vertical="center" wrapText="1" indent="1"/>
    </xf>
    <xf numFmtId="9" fontId="3" fillId="7" borderId="24" xfId="0" applyNumberFormat="1" applyFont="1" applyFill="1" applyBorder="1" applyAlignment="1" applyProtection="1">
      <alignment horizontal="center" vertical="center" wrapText="1"/>
    </xf>
    <xf numFmtId="0" fontId="4" fillId="7" borderId="89" xfId="0" applyFont="1" applyFill="1" applyBorder="1" applyAlignment="1" applyProtection="1">
      <alignment horizontal="center" vertical="center"/>
    </xf>
    <xf numFmtId="0" fontId="4" fillId="7" borderId="69" xfId="0" applyFont="1" applyFill="1" applyBorder="1" applyAlignment="1" applyProtection="1">
      <alignment horizontal="center" vertical="center"/>
    </xf>
    <xf numFmtId="0" fontId="4" fillId="7" borderId="110" xfId="0" applyFont="1" applyFill="1" applyBorder="1" applyAlignment="1" applyProtection="1">
      <alignment horizontal="center" vertical="center"/>
    </xf>
    <xf numFmtId="0" fontId="3" fillId="4" borderId="23" xfId="0" applyFont="1" applyFill="1" applyBorder="1" applyAlignment="1" applyProtection="1">
      <alignment horizontal="left" vertical="center" wrapText="1" indent="1"/>
    </xf>
    <xf numFmtId="0" fontId="3" fillId="4" borderId="28" xfId="0" applyFont="1" applyFill="1" applyBorder="1" applyAlignment="1" applyProtection="1">
      <alignment horizontal="left" vertical="center" wrapText="1" indent="1"/>
    </xf>
    <xf numFmtId="0" fontId="3" fillId="6" borderId="36" xfId="0" applyFont="1" applyFill="1" applyBorder="1" applyAlignment="1" applyProtection="1">
      <alignment horizontal="justify" vertical="center" wrapText="1"/>
    </xf>
    <xf numFmtId="0" fontId="3" fillId="6" borderId="5" xfId="0" applyFont="1" applyFill="1" applyBorder="1" applyAlignment="1" applyProtection="1">
      <alignment horizontal="justify" vertical="center" wrapText="1"/>
    </xf>
    <xf numFmtId="0" fontId="3" fillId="6" borderId="37" xfId="0" applyFont="1" applyFill="1" applyBorder="1" applyAlignment="1" applyProtection="1">
      <alignment horizontal="justify" vertical="center" wrapText="1"/>
    </xf>
    <xf numFmtId="0" fontId="6" fillId="2" borderId="16" xfId="0" applyFont="1"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6" fillId="2" borderId="18" xfId="0" applyFont="1" applyFill="1" applyBorder="1" applyAlignment="1" applyProtection="1">
      <alignment horizontal="center" vertical="top" wrapText="1"/>
    </xf>
    <xf numFmtId="0" fontId="4" fillId="0" borderId="2"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3" fillId="5" borderId="2"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left" vertical="center" wrapText="1" indent="1"/>
    </xf>
    <xf numFmtId="9" fontId="4" fillId="7" borderId="43" xfId="1" applyFont="1" applyFill="1" applyBorder="1" applyAlignment="1" applyProtection="1">
      <alignment horizontal="center" vertical="center" wrapText="1"/>
    </xf>
    <xf numFmtId="9" fontId="4" fillId="7" borderId="3" xfId="1" applyFont="1" applyFill="1" applyBorder="1" applyAlignment="1" applyProtection="1">
      <alignment horizontal="center" vertical="center" wrapText="1"/>
    </xf>
    <xf numFmtId="9" fontId="4" fillId="7" borderId="44" xfId="1" applyFont="1" applyFill="1" applyBorder="1" applyAlignment="1" applyProtection="1">
      <alignment horizontal="center" vertical="center" wrapText="1"/>
    </xf>
    <xf numFmtId="9" fontId="3" fillId="7" borderId="43" xfId="0" applyNumberFormat="1"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xf>
    <xf numFmtId="0" fontId="3" fillId="6" borderId="33"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3" fillId="6" borderId="52" xfId="0" applyFont="1" applyFill="1" applyBorder="1" applyAlignment="1" applyProtection="1">
      <alignment horizontal="justify" vertical="center" wrapText="1"/>
    </xf>
    <xf numFmtId="0" fontId="3" fillId="6" borderId="13" xfId="0" applyFont="1" applyFill="1" applyBorder="1" applyAlignment="1" applyProtection="1">
      <alignment horizontal="justify" vertical="center" wrapText="1"/>
    </xf>
    <xf numFmtId="0" fontId="3" fillId="6" borderId="51" xfId="0" applyFont="1" applyFill="1" applyBorder="1" applyAlignment="1" applyProtection="1">
      <alignment horizontal="justify" vertical="center" wrapText="1"/>
    </xf>
    <xf numFmtId="0" fontId="4" fillId="0" borderId="33" xfId="0" applyFont="1" applyBorder="1" applyAlignment="1" applyProtection="1">
      <alignment horizontal="left" vertical="center" wrapText="1" indent="1"/>
    </xf>
    <xf numFmtId="0" fontId="4" fillId="0" borderId="34" xfId="0" applyFont="1" applyBorder="1" applyAlignment="1" applyProtection="1">
      <alignment horizontal="left" vertical="center" wrapText="1" indent="1"/>
    </xf>
    <xf numFmtId="0" fontId="4" fillId="0" borderId="35" xfId="0" applyFont="1" applyBorder="1" applyAlignment="1" applyProtection="1">
      <alignment horizontal="left" vertical="center" wrapText="1" indent="1"/>
    </xf>
    <xf numFmtId="0" fontId="4" fillId="0" borderId="4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protection locked="0"/>
    </xf>
    <xf numFmtId="0" fontId="4" fillId="7" borderId="89" xfId="0" applyFont="1" applyFill="1" applyBorder="1" applyAlignment="1" applyProtection="1">
      <alignment horizontal="center" vertical="center" wrapText="1"/>
    </xf>
    <xf numFmtId="0" fontId="4" fillId="7" borderId="69" xfId="0" applyFont="1" applyFill="1" applyBorder="1" applyAlignment="1" applyProtection="1">
      <alignment horizontal="center" vertical="center" wrapText="1"/>
    </xf>
    <xf numFmtId="0" fontId="4" fillId="7" borderId="110" xfId="0" applyFont="1" applyFill="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6" borderId="4"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3" fillId="6" borderId="43" xfId="0" applyFont="1" applyFill="1" applyBorder="1" applyAlignment="1" applyProtection="1">
      <alignment horizontal="justify" vertical="center" wrapText="1"/>
    </xf>
    <xf numFmtId="0" fontId="3" fillId="6" borderId="3" xfId="0" applyFont="1" applyFill="1" applyBorder="1" applyAlignment="1" applyProtection="1">
      <alignment horizontal="justify" vertical="center" wrapText="1"/>
    </xf>
    <xf numFmtId="0" fontId="3" fillId="6" borderId="44" xfId="0" applyFont="1" applyFill="1" applyBorder="1" applyAlignment="1" applyProtection="1">
      <alignment horizontal="justify" vertical="center" wrapText="1"/>
    </xf>
    <xf numFmtId="0" fontId="3" fillId="9" borderId="43" xfId="0" applyFont="1" applyFill="1" applyBorder="1" applyAlignment="1" applyProtection="1">
      <alignment horizontal="left" vertical="center" wrapText="1" indent="1"/>
    </xf>
    <xf numFmtId="0" fontId="3" fillId="9" borderId="3" xfId="0" applyFont="1" applyFill="1" applyBorder="1" applyAlignment="1" applyProtection="1">
      <alignment horizontal="left" vertical="center" wrapText="1" indent="1"/>
    </xf>
    <xf numFmtId="0" fontId="3" fillId="9" borderId="44" xfId="0" applyFont="1" applyFill="1" applyBorder="1" applyAlignment="1" applyProtection="1">
      <alignment horizontal="left" vertical="center" wrapText="1" indent="1"/>
    </xf>
    <xf numFmtId="0" fontId="4" fillId="5" borderId="10" xfId="0" applyFont="1" applyFill="1" applyBorder="1" applyAlignment="1" applyProtection="1">
      <alignment horizontal="center" wrapText="1"/>
      <protection locked="0"/>
    </xf>
    <xf numFmtId="0" fontId="4" fillId="5" borderId="12" xfId="0" applyFont="1" applyFill="1" applyBorder="1" applyAlignment="1" applyProtection="1">
      <alignment horizontal="center" wrapText="1"/>
      <protection locked="0"/>
    </xf>
    <xf numFmtId="0" fontId="4" fillId="5" borderId="9" xfId="0" applyFont="1" applyFill="1" applyBorder="1" applyAlignment="1" applyProtection="1">
      <alignment horizontal="center" wrapText="1"/>
      <protection locked="0"/>
    </xf>
    <xf numFmtId="9" fontId="4" fillId="16" borderId="59" xfId="0" applyNumberFormat="1" applyFont="1" applyFill="1" applyBorder="1" applyAlignment="1" applyProtection="1">
      <alignment horizontal="center" vertical="center"/>
    </xf>
    <xf numFmtId="9" fontId="4" fillId="16" borderId="106" xfId="0" applyNumberFormat="1" applyFont="1" applyFill="1" applyBorder="1" applyAlignment="1" applyProtection="1">
      <alignment horizontal="center" vertical="center"/>
    </xf>
    <xf numFmtId="9" fontId="4" fillId="16" borderId="108" xfId="0" applyNumberFormat="1" applyFont="1" applyFill="1" applyBorder="1" applyAlignment="1" applyProtection="1">
      <alignment horizontal="center" vertical="center"/>
    </xf>
    <xf numFmtId="9" fontId="4" fillId="9" borderId="24" xfId="0" applyNumberFormat="1" applyFont="1" applyFill="1" applyBorder="1" applyAlignment="1" applyProtection="1">
      <alignment horizontal="center" vertical="center"/>
    </xf>
    <xf numFmtId="9" fontId="4" fillId="9" borderId="1" xfId="0" applyNumberFormat="1" applyFont="1" applyFill="1" applyBorder="1" applyAlignment="1" applyProtection="1">
      <alignment horizontal="center" vertical="center"/>
    </xf>
    <xf numFmtId="9" fontId="4" fillId="9" borderId="29" xfId="0" applyNumberFormat="1" applyFont="1" applyFill="1" applyBorder="1" applyAlignment="1" applyProtection="1">
      <alignment horizontal="center" vertical="center"/>
    </xf>
    <xf numFmtId="0" fontId="4" fillId="9" borderId="24" xfId="0" applyFont="1" applyFill="1" applyBorder="1" applyAlignment="1" applyProtection="1">
      <alignment horizontal="center"/>
    </xf>
    <xf numFmtId="0" fontId="4" fillId="9" borderId="1" xfId="0" applyFont="1" applyFill="1" applyBorder="1" applyAlignment="1" applyProtection="1">
      <alignment horizontal="center"/>
    </xf>
    <xf numFmtId="0" fontId="4" fillId="9" borderId="29" xfId="0" applyFont="1" applyFill="1" applyBorder="1" applyAlignment="1" applyProtection="1">
      <alignment horizontal="center"/>
    </xf>
    <xf numFmtId="9" fontId="4" fillId="0" borderId="43" xfId="0" applyNumberFormat="1" applyFont="1" applyBorder="1" applyAlignment="1" applyProtection="1">
      <alignment horizontal="center" vertical="center" wrapText="1"/>
    </xf>
    <xf numFmtId="9" fontId="4" fillId="0" borderId="3" xfId="0" applyNumberFormat="1"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5" borderId="43"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44" xfId="0" applyFont="1" applyFill="1" applyBorder="1" applyAlignment="1" applyProtection="1">
      <alignment horizontal="center" vertical="center"/>
    </xf>
    <xf numFmtId="0" fontId="4" fillId="0" borderId="23" xfId="0" applyFont="1" applyBorder="1" applyAlignment="1" applyProtection="1">
      <alignment horizontal="left" vertical="center" wrapText="1" indent="1"/>
    </xf>
    <xf numFmtId="0" fontId="4" fillId="0" borderId="26" xfId="0" applyFont="1" applyBorder="1" applyAlignment="1" applyProtection="1">
      <alignment horizontal="left" vertical="center" wrapText="1" indent="1"/>
    </xf>
    <xf numFmtId="0" fontId="4" fillId="0" borderId="28" xfId="0" applyFont="1" applyBorder="1" applyAlignment="1" applyProtection="1">
      <alignment horizontal="left" vertical="center" wrapText="1" indent="1"/>
    </xf>
    <xf numFmtId="0" fontId="4" fillId="0" borderId="24" xfId="0" applyFont="1" applyBorder="1" applyAlignment="1" applyProtection="1">
      <alignment horizontal="center"/>
    </xf>
    <xf numFmtId="0" fontId="4" fillId="0" borderId="1" xfId="0" applyFont="1" applyBorder="1" applyAlignment="1" applyProtection="1">
      <alignment horizontal="center"/>
    </xf>
    <xf numFmtId="0" fontId="4" fillId="0" borderId="29" xfId="0" applyFont="1" applyBorder="1" applyAlignment="1" applyProtection="1">
      <alignment horizontal="center"/>
    </xf>
    <xf numFmtId="0" fontId="4" fillId="0" borderId="43" xfId="0" applyFont="1" applyBorder="1" applyAlignment="1" applyProtection="1">
      <alignment horizontal="center"/>
    </xf>
    <xf numFmtId="0" fontId="4" fillId="0" borderId="3" xfId="0" applyFont="1" applyBorder="1" applyAlignment="1" applyProtection="1">
      <alignment horizontal="center"/>
    </xf>
    <xf numFmtId="0" fontId="4" fillId="0" borderId="44" xfId="0" applyFont="1" applyBorder="1" applyAlignment="1" applyProtection="1">
      <alignment horizontal="center"/>
    </xf>
    <xf numFmtId="0" fontId="4" fillId="5" borderId="43" xfId="0" applyFont="1" applyFill="1" applyBorder="1" applyAlignment="1" applyProtection="1">
      <alignment horizontal="center"/>
    </xf>
    <xf numFmtId="0" fontId="4" fillId="5" borderId="3" xfId="0" applyFont="1" applyFill="1" applyBorder="1" applyAlignment="1" applyProtection="1">
      <alignment horizontal="center"/>
    </xf>
    <xf numFmtId="0" fontId="4" fillId="5" borderId="44" xfId="0" applyFont="1" applyFill="1" applyBorder="1" applyAlignment="1" applyProtection="1">
      <alignment horizontal="center"/>
    </xf>
    <xf numFmtId="9" fontId="4" fillId="9" borderId="13" xfId="0" applyNumberFormat="1" applyFont="1" applyFill="1" applyBorder="1" applyAlignment="1" applyProtection="1">
      <alignment horizontal="center" vertical="center"/>
    </xf>
    <xf numFmtId="9" fontId="4" fillId="9" borderId="51" xfId="0" applyNumberFormat="1" applyFont="1" applyFill="1" applyBorder="1" applyAlignment="1" applyProtection="1">
      <alignment horizontal="center" vertical="center"/>
    </xf>
    <xf numFmtId="0" fontId="4" fillId="9" borderId="43" xfId="0" applyFont="1" applyFill="1" applyBorder="1" applyAlignment="1" applyProtection="1">
      <alignment horizontal="center"/>
    </xf>
    <xf numFmtId="0" fontId="4" fillId="9" borderId="3" xfId="0" applyFont="1" applyFill="1" applyBorder="1" applyAlignment="1" applyProtection="1">
      <alignment horizontal="center"/>
    </xf>
    <xf numFmtId="0" fontId="4" fillId="9" borderId="44" xfId="0" applyFont="1" applyFill="1" applyBorder="1" applyAlignment="1" applyProtection="1">
      <alignment horizontal="center"/>
    </xf>
    <xf numFmtId="9" fontId="4" fillId="9" borderId="36" xfId="0" applyNumberFormat="1" applyFont="1" applyFill="1" applyBorder="1" applyAlignment="1" applyProtection="1">
      <alignment horizontal="center" vertical="center"/>
    </xf>
    <xf numFmtId="9" fontId="4" fillId="9" borderId="5" xfId="0" applyNumberFormat="1" applyFont="1" applyFill="1" applyBorder="1" applyAlignment="1" applyProtection="1">
      <alignment horizontal="center" vertical="center"/>
    </xf>
    <xf numFmtId="0" fontId="4" fillId="0" borderId="84" xfId="0" applyFont="1" applyBorder="1" applyAlignment="1" applyProtection="1">
      <alignment horizontal="left" vertical="center" wrapText="1" indent="1"/>
    </xf>
    <xf numFmtId="0" fontId="4" fillId="19" borderId="43" xfId="0" applyFont="1" applyFill="1" applyBorder="1" applyAlignment="1" applyProtection="1">
      <alignment horizontal="center" vertical="center"/>
      <protection locked="0"/>
    </xf>
    <xf numFmtId="0" fontId="4" fillId="19" borderId="4" xfId="0" applyFont="1" applyFill="1" applyBorder="1" applyAlignment="1" applyProtection="1">
      <alignment horizontal="center" vertical="center"/>
      <protection locked="0"/>
    </xf>
    <xf numFmtId="0" fontId="4" fillId="19" borderId="24" xfId="0" applyFont="1" applyFill="1" applyBorder="1" applyAlignment="1" applyProtection="1">
      <alignment horizontal="center" vertical="center"/>
      <protection locked="0"/>
    </xf>
    <xf numFmtId="0" fontId="4" fillId="19" borderId="1" xfId="0" applyFont="1" applyFill="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3" fillId="6" borderId="1" xfId="0" applyFont="1" applyFill="1" applyBorder="1" applyAlignment="1" applyProtection="1">
      <alignment horizontal="justify" vertical="center" wrapText="1"/>
    </xf>
    <xf numFmtId="0" fontId="3" fillId="6" borderId="29" xfId="0" applyFont="1" applyFill="1" applyBorder="1" applyAlignment="1" applyProtection="1">
      <alignment horizontal="justify" vertical="center" wrapText="1"/>
    </xf>
    <xf numFmtId="0" fontId="4" fillId="0" borderId="10"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5" fillId="0" borderId="70" xfId="0" applyFont="1" applyBorder="1" applyAlignment="1" applyProtection="1">
      <alignment horizontal="left" vertical="center" wrapText="1" indent="1"/>
    </xf>
    <xf numFmtId="0" fontId="5" fillId="0" borderId="76" xfId="0" applyFont="1" applyBorder="1" applyAlignment="1" applyProtection="1">
      <alignment horizontal="left" vertical="center" wrapText="1" indent="1"/>
    </xf>
    <xf numFmtId="0" fontId="4" fillId="9" borderId="13" xfId="0" applyFont="1" applyFill="1" applyBorder="1" applyAlignment="1" applyProtection="1">
      <alignment horizontal="center" vertical="center" wrapText="1"/>
    </xf>
    <xf numFmtId="0" fontId="4" fillId="9" borderId="0"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xf>
    <xf numFmtId="0" fontId="4" fillId="9" borderId="51" xfId="0" applyFont="1" applyFill="1" applyBorder="1" applyAlignment="1" applyProtection="1">
      <alignment horizontal="center" vertical="center" wrapText="1"/>
    </xf>
    <xf numFmtId="0" fontId="4" fillId="9" borderId="67" xfId="0" applyFont="1" applyFill="1" applyBorder="1" applyAlignment="1" applyProtection="1">
      <alignment horizontal="center" vertical="center" wrapText="1"/>
    </xf>
    <xf numFmtId="0" fontId="4" fillId="9" borderId="32"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4" fillId="9" borderId="89" xfId="0" applyFont="1" applyFill="1" applyBorder="1" applyAlignment="1" applyProtection="1">
      <alignment horizontal="center" vertical="center"/>
    </xf>
    <xf numFmtId="0" fontId="4" fillId="9" borderId="69" xfId="0" applyFont="1" applyFill="1" applyBorder="1" applyAlignment="1" applyProtection="1">
      <alignment horizontal="center" vertical="center"/>
    </xf>
    <xf numFmtId="0" fontId="4" fillId="9" borderId="110" xfId="0" applyFont="1" applyFill="1" applyBorder="1" applyAlignment="1" applyProtection="1">
      <alignment horizontal="center" vertical="center"/>
    </xf>
    <xf numFmtId="0" fontId="9" fillId="9" borderId="34" xfId="3" applyFill="1" applyBorder="1" applyAlignment="1" applyProtection="1">
      <alignment horizontal="left" vertical="center" wrapText="1" indent="1"/>
    </xf>
    <xf numFmtId="0" fontId="9" fillId="9" borderId="35" xfId="3" applyFill="1" applyBorder="1" applyAlignment="1" applyProtection="1">
      <alignment horizontal="left" vertical="center" wrapText="1" indent="1"/>
    </xf>
    <xf numFmtId="0" fontId="3" fillId="9" borderId="33" xfId="0" applyFont="1" applyFill="1" applyBorder="1" applyAlignment="1" applyProtection="1">
      <alignment horizontal="left" vertical="center" wrapText="1" indent="1"/>
    </xf>
    <xf numFmtId="0" fontId="3" fillId="9" borderId="34" xfId="0" applyFont="1" applyFill="1" applyBorder="1" applyAlignment="1" applyProtection="1">
      <alignment horizontal="left" vertical="center" wrapText="1" indent="1"/>
    </xf>
    <xf numFmtId="0" fontId="3" fillId="9" borderId="23" xfId="0" applyFont="1" applyFill="1" applyBorder="1" applyAlignment="1" applyProtection="1">
      <alignment horizontal="left" vertical="center" wrapText="1" indent="1"/>
    </xf>
    <xf numFmtId="0" fontId="3" fillId="9" borderId="26" xfId="0" applyFont="1" applyFill="1" applyBorder="1" applyAlignment="1" applyProtection="1">
      <alignment horizontal="left" vertical="center" wrapText="1" indent="1"/>
    </xf>
    <xf numFmtId="0" fontId="3" fillId="9" borderId="28" xfId="0" applyFont="1" applyFill="1" applyBorder="1" applyAlignment="1" applyProtection="1">
      <alignment horizontal="left" vertical="center" wrapText="1" indent="1"/>
    </xf>
    <xf numFmtId="0" fontId="4" fillId="0" borderId="2" xfId="1" applyNumberFormat="1" applyFont="1" applyFill="1" applyBorder="1" applyAlignment="1" applyProtection="1">
      <alignment horizontal="center" vertical="center"/>
      <protection locked="0"/>
    </xf>
    <xf numFmtId="0" fontId="4" fillId="0" borderId="44" xfId="1" applyNumberFormat="1"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4" fillId="9" borderId="33" xfId="0" applyFont="1" applyFill="1" applyBorder="1" applyAlignment="1" applyProtection="1">
      <alignment horizontal="left" vertical="center" wrapText="1" indent="1"/>
    </xf>
    <xf numFmtId="0" fontId="4" fillId="9" borderId="34" xfId="0" applyFont="1" applyFill="1" applyBorder="1" applyAlignment="1" applyProtection="1">
      <alignment horizontal="left" vertical="center" wrapText="1" indent="1"/>
    </xf>
    <xf numFmtId="0" fontId="4" fillId="9" borderId="35" xfId="0" applyFont="1" applyFill="1" applyBorder="1" applyAlignment="1" applyProtection="1">
      <alignment horizontal="left" vertical="center" wrapText="1" indent="1"/>
    </xf>
    <xf numFmtId="10" fontId="4" fillId="9" borderId="24" xfId="0" applyNumberFormat="1" applyFont="1" applyFill="1" applyBorder="1" applyAlignment="1" applyProtection="1">
      <alignment horizontal="center" vertical="center"/>
    </xf>
    <xf numFmtId="10" fontId="4" fillId="9" borderId="1" xfId="0" applyNumberFormat="1" applyFont="1" applyFill="1" applyBorder="1" applyAlignment="1" applyProtection="1">
      <alignment horizontal="center" vertical="center"/>
    </xf>
    <xf numFmtId="0" fontId="4" fillId="9" borderId="29" xfId="0" applyFont="1" applyFill="1" applyBorder="1" applyAlignment="1" applyProtection="1">
      <alignment horizontal="center" vertical="center"/>
    </xf>
    <xf numFmtId="0" fontId="4" fillId="0" borderId="1" xfId="1" applyNumberFormat="1"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9" borderId="43" xfId="0" applyFont="1" applyFill="1" applyBorder="1" applyAlignment="1" applyProtection="1">
      <alignment horizontal="left" vertical="center" indent="1"/>
    </xf>
    <xf numFmtId="0" fontId="3" fillId="9" borderId="3" xfId="0" applyFont="1" applyFill="1" applyBorder="1" applyAlignment="1" applyProtection="1">
      <alignment horizontal="left" vertical="center" indent="1"/>
    </xf>
    <xf numFmtId="0" fontId="3" fillId="9" borderId="44" xfId="0" applyFont="1" applyFill="1" applyBorder="1" applyAlignment="1" applyProtection="1">
      <alignment horizontal="left" vertical="center" indent="1"/>
    </xf>
    <xf numFmtId="0" fontId="4" fillId="5" borderId="1" xfId="1" applyNumberFormat="1" applyFont="1" applyFill="1" applyBorder="1" applyAlignment="1" applyProtection="1">
      <alignment horizontal="center" vertical="center"/>
      <protection locked="0"/>
    </xf>
    <xf numFmtId="0" fontId="4" fillId="7" borderId="43" xfId="0" applyFont="1" applyFill="1" applyBorder="1" applyAlignment="1" applyProtection="1">
      <alignment horizontal="center"/>
    </xf>
    <xf numFmtId="0" fontId="4" fillId="7" borderId="3" xfId="0" applyFont="1" applyFill="1" applyBorder="1" applyAlignment="1" applyProtection="1">
      <alignment horizontal="center"/>
    </xf>
    <xf numFmtId="0" fontId="4" fillId="7" borderId="44" xfId="0" applyFont="1" applyFill="1" applyBorder="1" applyAlignment="1" applyProtection="1">
      <alignment horizontal="center"/>
    </xf>
    <xf numFmtId="10" fontId="4" fillId="9" borderId="5" xfId="0" applyNumberFormat="1" applyFont="1" applyFill="1" applyBorder="1" applyAlignment="1" applyProtection="1">
      <alignment horizontal="center" vertical="center"/>
    </xf>
    <xf numFmtId="10" fontId="4" fillId="9" borderId="29" xfId="0" applyNumberFormat="1" applyFont="1" applyFill="1" applyBorder="1" applyAlignment="1" applyProtection="1">
      <alignment horizontal="center" vertical="center"/>
    </xf>
    <xf numFmtId="0" fontId="4" fillId="5" borderId="7" xfId="1" applyNumberFormat="1" applyFont="1" applyFill="1" applyBorder="1" applyAlignment="1" applyProtection="1">
      <alignment horizontal="center" vertical="center"/>
      <protection locked="0"/>
    </xf>
    <xf numFmtId="0" fontId="4" fillId="7" borderId="24" xfId="0" applyFont="1" applyFill="1" applyBorder="1" applyAlignment="1" applyProtection="1">
      <alignment horizontal="center"/>
    </xf>
    <xf numFmtId="0" fontId="4" fillId="7" borderId="1" xfId="0" applyFont="1" applyFill="1" applyBorder="1" applyAlignment="1" applyProtection="1">
      <alignment horizontal="center"/>
    </xf>
    <xf numFmtId="0" fontId="4" fillId="7" borderId="29" xfId="0" applyFont="1" applyFill="1" applyBorder="1" applyAlignment="1" applyProtection="1">
      <alignment horizontal="center"/>
    </xf>
    <xf numFmtId="0" fontId="3" fillId="6" borderId="24" xfId="0" applyFont="1" applyFill="1" applyBorder="1" applyAlignment="1" applyProtection="1">
      <alignment horizontal="justify" vertical="center" wrapText="1"/>
    </xf>
    <xf numFmtId="0" fontId="4" fillId="0" borderId="33" xfId="0" applyFont="1" applyBorder="1" applyAlignment="1" applyProtection="1">
      <alignment horizontal="left" vertical="center" indent="1"/>
    </xf>
    <xf numFmtId="0" fontId="4" fillId="0" borderId="34" xfId="0" applyFont="1" applyBorder="1" applyAlignment="1" applyProtection="1">
      <alignment horizontal="left" vertical="center" indent="1"/>
    </xf>
    <xf numFmtId="0" fontId="4" fillId="0" borderId="35" xfId="0" applyFont="1" applyBorder="1" applyAlignment="1" applyProtection="1">
      <alignment horizontal="left" vertical="center" indent="1"/>
    </xf>
    <xf numFmtId="0" fontId="3" fillId="6" borderId="59" xfId="0" applyFont="1" applyFill="1" applyBorder="1" applyAlignment="1" applyProtection="1">
      <alignment horizontal="justify" vertical="center" wrapText="1"/>
    </xf>
    <xf numFmtId="0" fontId="3" fillId="6" borderId="106" xfId="0" applyFont="1" applyFill="1" applyBorder="1" applyAlignment="1" applyProtection="1">
      <alignment horizontal="justify" vertical="center" wrapText="1"/>
    </xf>
    <xf numFmtId="0" fontId="3" fillId="6" borderId="108" xfId="0" applyFont="1" applyFill="1" applyBorder="1" applyAlignment="1" applyProtection="1">
      <alignment horizontal="justify" vertical="center" wrapText="1"/>
    </xf>
    <xf numFmtId="0" fontId="3" fillId="9" borderId="35" xfId="0" applyFont="1" applyFill="1" applyBorder="1" applyAlignment="1" applyProtection="1">
      <alignment horizontal="left" vertical="center" wrapText="1" indent="1"/>
    </xf>
    <xf numFmtId="0" fontId="4" fillId="6"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xf>
    <xf numFmtId="0" fontId="4" fillId="9" borderId="2" xfId="0" applyFont="1" applyFill="1" applyBorder="1" applyAlignment="1" applyProtection="1">
      <alignment horizontal="left" vertical="center" wrapText="1" indent="1"/>
    </xf>
    <xf numFmtId="0" fontId="4" fillId="9" borderId="3" xfId="0" applyFont="1" applyFill="1" applyBorder="1" applyAlignment="1" applyProtection="1">
      <alignment horizontal="left" vertical="center" wrapText="1" indent="1"/>
    </xf>
    <xf numFmtId="0" fontId="4" fillId="9" borderId="4" xfId="0" applyFont="1" applyFill="1" applyBorder="1" applyAlignment="1" applyProtection="1">
      <alignment horizontal="left" vertical="center" wrapText="1" indent="1"/>
    </xf>
    <xf numFmtId="10" fontId="4" fillId="9" borderId="11" xfId="0" applyNumberFormat="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15" borderId="112" xfId="0" applyFont="1" applyFill="1" applyBorder="1" applyAlignment="1" applyProtection="1">
      <alignment horizontal="left" vertical="center" wrapText="1" indent="1"/>
    </xf>
    <xf numFmtId="0" fontId="4" fillId="15" borderId="113" xfId="0" applyFont="1" applyFill="1" applyBorder="1" applyAlignment="1" applyProtection="1">
      <alignment horizontal="left" vertical="center" wrapText="1" indent="1"/>
    </xf>
    <xf numFmtId="0" fontId="4" fillId="14" borderId="112" xfId="0" applyFont="1" applyFill="1" applyBorder="1" applyAlignment="1" applyProtection="1">
      <alignment horizontal="left" vertical="center" wrapText="1" indent="1"/>
    </xf>
    <xf numFmtId="0" fontId="4" fillId="14" borderId="109" xfId="0" applyFont="1" applyFill="1" applyBorder="1" applyAlignment="1" applyProtection="1">
      <alignment horizontal="left" vertical="center" wrapText="1" indent="1"/>
    </xf>
    <xf numFmtId="0" fontId="4" fillId="14" borderId="113"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wrapText="1"/>
    </xf>
    <xf numFmtId="10" fontId="4" fillId="9" borderId="5" xfId="0" applyNumberFormat="1"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5" borderId="23" xfId="0" applyFont="1" applyFill="1" applyBorder="1" applyAlignment="1" applyProtection="1">
      <alignment horizontal="left" vertical="center" wrapText="1" indent="1"/>
    </xf>
    <xf numFmtId="0" fontId="4" fillId="15" borderId="28" xfId="0" applyFont="1" applyFill="1" applyBorder="1" applyAlignment="1" applyProtection="1">
      <alignment horizontal="left" vertical="center" wrapText="1" indent="1"/>
    </xf>
    <xf numFmtId="0" fontId="4" fillId="15" borderId="84" xfId="0" applyFont="1" applyFill="1" applyBorder="1" applyAlignment="1" applyProtection="1">
      <alignment horizontal="left" vertical="center" wrapText="1" indent="1"/>
    </xf>
    <xf numFmtId="0" fontId="4" fillId="0" borderId="5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9" fontId="4" fillId="0" borderId="62" xfId="1" applyFont="1" applyBorder="1" applyAlignment="1" applyProtection="1">
      <alignment horizontal="center" vertical="center"/>
    </xf>
    <xf numFmtId="9" fontId="4" fillId="0" borderId="100" xfId="1" applyFont="1" applyBorder="1" applyAlignment="1" applyProtection="1">
      <alignment horizontal="center" vertical="center"/>
    </xf>
    <xf numFmtId="9" fontId="4" fillId="0" borderId="64" xfId="1"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8" xfId="0" applyFont="1" applyBorder="1" applyAlignment="1" applyProtection="1">
      <alignment horizontal="center" vertical="center" wrapText="1"/>
      <protection locked="0"/>
    </xf>
    <xf numFmtId="0" fontId="4" fillId="9" borderId="10"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4" fillId="9" borderId="9" xfId="0" applyFont="1" applyFill="1" applyBorder="1" applyAlignment="1" applyProtection="1">
      <alignment horizontal="left" vertical="center" wrapText="1" indent="1"/>
    </xf>
    <xf numFmtId="10" fontId="4" fillId="9" borderId="11" xfId="1" applyNumberFormat="1" applyFont="1" applyFill="1" applyBorder="1" applyAlignment="1" applyProtection="1">
      <alignment horizontal="center" vertical="center" wrapText="1"/>
    </xf>
    <xf numFmtId="0" fontId="4" fillId="9" borderId="13" xfId="1" applyNumberFormat="1" applyFont="1" applyFill="1" applyBorder="1" applyAlignment="1" applyProtection="1">
      <alignment horizontal="center" vertical="center" wrapText="1"/>
    </xf>
    <xf numFmtId="0" fontId="4" fillId="9" borderId="4" xfId="1" applyNumberFormat="1" applyFont="1" applyFill="1" applyBorder="1" applyAlignment="1" applyProtection="1">
      <alignment horizontal="center" vertical="center" wrapText="1"/>
    </xf>
    <xf numFmtId="0" fontId="4" fillId="14" borderId="33" xfId="0" applyFont="1" applyFill="1" applyBorder="1" applyAlignment="1" applyProtection="1">
      <alignment horizontal="left" vertical="center" wrapText="1" indent="1"/>
    </xf>
    <xf numFmtId="0" fontId="4" fillId="14" borderId="34" xfId="0" applyFont="1" applyFill="1" applyBorder="1" applyAlignment="1" applyProtection="1">
      <alignment horizontal="left" vertical="center" wrapText="1" indent="1"/>
    </xf>
    <xf numFmtId="0" fontId="4" fillId="14" borderId="35" xfId="0" applyFont="1" applyFill="1" applyBorder="1" applyAlignment="1" applyProtection="1">
      <alignment horizontal="left" vertical="center" wrapText="1" indent="1"/>
    </xf>
    <xf numFmtId="0" fontId="4" fillId="9" borderId="3" xfId="0" applyFont="1" applyFill="1" applyBorder="1" applyAlignment="1" applyProtection="1">
      <alignment horizontal="center" vertical="center" wrapText="1"/>
    </xf>
    <xf numFmtId="10" fontId="4" fillId="9" borderId="11" xfId="0" applyNumberFormat="1" applyFont="1" applyFill="1" applyBorder="1" applyAlignment="1" applyProtection="1">
      <alignment horizontal="center" vertical="center"/>
    </xf>
    <xf numFmtId="0" fontId="4" fillId="9" borderId="1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14" borderId="23" xfId="0" applyFont="1" applyFill="1" applyBorder="1" applyAlignment="1" applyProtection="1">
      <alignment horizontal="left" vertical="center" wrapText="1" indent="1"/>
    </xf>
    <xf numFmtId="0" fontId="4" fillId="14" borderId="26" xfId="0" applyFont="1" applyFill="1" applyBorder="1" applyAlignment="1" applyProtection="1">
      <alignment horizontal="left" vertical="center" wrapText="1" indent="1"/>
    </xf>
    <xf numFmtId="0" fontId="4" fillId="14" borderId="28" xfId="0" applyFont="1" applyFill="1" applyBorder="1" applyAlignment="1" applyProtection="1">
      <alignment horizontal="left" vertical="center" wrapText="1" indent="1"/>
    </xf>
    <xf numFmtId="0" fontId="4" fillId="15" borderId="26" xfId="0" applyFont="1" applyFill="1" applyBorder="1" applyAlignment="1" applyProtection="1">
      <alignment horizontal="left" vertical="center" wrapText="1" indent="1"/>
    </xf>
    <xf numFmtId="0" fontId="4" fillId="0" borderId="44" xfId="0" applyFont="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xf>
    <xf numFmtId="0" fontId="6"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4" fillId="6" borderId="1" xfId="0" applyFont="1" applyFill="1" applyBorder="1" applyAlignment="1" applyProtection="1">
      <alignment horizontal="center" vertical="center"/>
    </xf>
    <xf numFmtId="0" fontId="4" fillId="0" borderId="1" xfId="0" applyFont="1" applyBorder="1" applyAlignment="1" applyProtection="1">
      <alignment horizontal="left"/>
    </xf>
    <xf numFmtId="0" fontId="4" fillId="0" borderId="1" xfId="0" applyFont="1" applyBorder="1" applyAlignment="1" applyProtection="1">
      <alignment horizontal="left" vertical="center"/>
    </xf>
    <xf numFmtId="0" fontId="4" fillId="9" borderId="13"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6" borderId="1" xfId="0" applyFont="1" applyFill="1" applyBorder="1" applyAlignment="1" applyProtection="1">
      <alignment horizontal="center" wrapText="1"/>
    </xf>
    <xf numFmtId="0" fontId="4" fillId="9" borderId="5" xfId="0" applyFont="1" applyFill="1" applyBorder="1" applyAlignment="1" applyProtection="1">
      <alignment horizontal="center" vertical="center"/>
    </xf>
    <xf numFmtId="0" fontId="4" fillId="9" borderId="2" xfId="0" applyFont="1" applyFill="1" applyBorder="1" applyAlignment="1" applyProtection="1">
      <alignment horizontal="center" vertical="center"/>
    </xf>
    <xf numFmtId="0" fontId="4" fillId="0" borderId="43" xfId="0" applyFont="1" applyBorder="1" applyAlignment="1" applyProtection="1">
      <alignment horizontal="center" vertical="center" wrapText="1"/>
      <protection locked="0"/>
    </xf>
    <xf numFmtId="9" fontId="4" fillId="0" borderId="59" xfId="1" applyFont="1" applyBorder="1" applyAlignment="1" applyProtection="1">
      <alignment horizontal="center" vertical="center"/>
    </xf>
    <xf numFmtId="9" fontId="4" fillId="0" borderId="108" xfId="1" applyFont="1" applyBorder="1" applyAlignment="1" applyProtection="1">
      <alignment horizontal="center" vertical="center"/>
    </xf>
    <xf numFmtId="0" fontId="4" fillId="5" borderId="44" xfId="0" applyFont="1" applyFill="1" applyBorder="1" applyAlignment="1" applyProtection="1">
      <alignment horizontal="center" vertical="center" wrapText="1"/>
    </xf>
    <xf numFmtId="9" fontId="4" fillId="0" borderId="127" xfId="1" applyFont="1" applyBorder="1" applyAlignment="1" applyProtection="1">
      <alignment horizontal="center" vertical="center"/>
    </xf>
    <xf numFmtId="0" fontId="10" fillId="0" borderId="8" xfId="3" applyFont="1" applyBorder="1" applyAlignment="1" applyProtection="1">
      <alignment horizontal="justify" vertical="top" wrapText="1"/>
    </xf>
    <xf numFmtId="0" fontId="10" fillId="0" borderId="14" xfId="3" applyFont="1" applyBorder="1" applyAlignment="1" applyProtection="1">
      <alignment horizontal="justify" vertical="top" wrapText="1"/>
    </xf>
    <xf numFmtId="0" fontId="10" fillId="0" borderId="9" xfId="3" applyFont="1" applyBorder="1" applyAlignment="1" applyProtection="1">
      <alignment horizontal="justify" vertical="top" wrapText="1"/>
    </xf>
    <xf numFmtId="0" fontId="4" fillId="5" borderId="95" xfId="0" applyFont="1" applyFill="1" applyBorder="1" applyAlignment="1" applyProtection="1">
      <alignment horizontal="center" vertical="center" wrapText="1"/>
    </xf>
    <xf numFmtId="0" fontId="5" fillId="0" borderId="13" xfId="3" applyFont="1" applyBorder="1" applyAlignment="1" applyProtection="1">
      <alignment horizontal="justify" vertical="center" wrapText="1"/>
    </xf>
    <xf numFmtId="0" fontId="5" fillId="0" borderId="0" xfId="3" applyFont="1" applyBorder="1" applyAlignment="1" applyProtection="1">
      <alignment horizontal="justify" vertical="center" wrapText="1"/>
    </xf>
    <xf numFmtId="0" fontId="5" fillId="0" borderId="12" xfId="3" applyFont="1" applyBorder="1" applyAlignment="1" applyProtection="1">
      <alignment horizontal="justify" vertical="center" wrapText="1"/>
    </xf>
    <xf numFmtId="0" fontId="6" fillId="0" borderId="11" xfId="0" applyFont="1" applyBorder="1" applyAlignment="1" applyProtection="1">
      <alignment horizontal="center"/>
    </xf>
    <xf numFmtId="0" fontId="6" fillId="0" borderId="15" xfId="0" applyFont="1" applyBorder="1" applyAlignment="1" applyProtection="1">
      <alignment horizontal="center"/>
    </xf>
    <xf numFmtId="0" fontId="6" fillId="0" borderId="10" xfId="0" applyFont="1" applyBorder="1" applyAlignment="1" applyProtection="1">
      <alignment horizontal="center"/>
    </xf>
    <xf numFmtId="0" fontId="4" fillId="0" borderId="5" xfId="0" applyFont="1" applyBorder="1" applyAlignment="1" applyProtection="1">
      <alignment horizontal="left"/>
    </xf>
    <xf numFmtId="0" fontId="6" fillId="0" borderId="7" xfId="0" applyFont="1" applyBorder="1" applyAlignment="1" applyProtection="1">
      <alignment horizontal="left"/>
    </xf>
    <xf numFmtId="0" fontId="4" fillId="15" borderId="70" xfId="0" applyFont="1" applyFill="1" applyBorder="1" applyAlignment="1" applyProtection="1">
      <alignment horizontal="left" vertical="center" wrapText="1" indent="1"/>
    </xf>
    <xf numFmtId="0" fontId="4" fillId="15" borderId="73" xfId="0" applyFont="1" applyFill="1" applyBorder="1" applyAlignment="1" applyProtection="1">
      <alignment horizontal="left" vertical="center" wrapText="1" indent="1"/>
    </xf>
    <xf numFmtId="9" fontId="4" fillId="5" borderId="43" xfId="0" applyNumberFormat="1" applyFont="1" applyFill="1" applyBorder="1" applyAlignment="1" applyProtection="1">
      <alignment horizontal="center" vertical="center"/>
      <protection locked="0"/>
    </xf>
    <xf numFmtId="9" fontId="4" fillId="5" borderId="44" xfId="0" applyNumberFormat="1" applyFont="1" applyFill="1" applyBorder="1" applyAlignment="1" applyProtection="1">
      <alignment horizontal="center" vertical="center"/>
      <protection locked="0"/>
    </xf>
    <xf numFmtId="9" fontId="4" fillId="5" borderId="3" xfId="0" applyNumberFormat="1" applyFont="1" applyFill="1" applyBorder="1" applyAlignment="1" applyProtection="1">
      <alignment horizontal="center" vertical="center"/>
      <protection locked="0"/>
    </xf>
    <xf numFmtId="9" fontId="4" fillId="0" borderId="106" xfId="1" applyFont="1" applyBorder="1" applyAlignment="1" applyProtection="1">
      <alignment horizontal="center" vertical="center"/>
    </xf>
    <xf numFmtId="9" fontId="4" fillId="5" borderId="128" xfId="0" applyNumberFormat="1" applyFont="1" applyFill="1" applyBorder="1" applyAlignment="1" applyProtection="1">
      <alignment horizontal="center" vertical="center"/>
      <protection locked="0"/>
    </xf>
    <xf numFmtId="9" fontId="4" fillId="5" borderId="129" xfId="0" applyNumberFormat="1" applyFont="1" applyFill="1" applyBorder="1" applyAlignment="1" applyProtection="1">
      <alignment horizontal="center" vertical="center"/>
      <protection locked="0"/>
    </xf>
    <xf numFmtId="9" fontId="4" fillId="0" borderId="40" xfId="1" applyFont="1" applyBorder="1" applyAlignment="1" applyProtection="1">
      <alignment horizontal="center" vertical="center"/>
    </xf>
    <xf numFmtId="9" fontId="4" fillId="0" borderId="92" xfId="1" applyFont="1" applyBorder="1" applyAlignment="1" applyProtection="1">
      <alignment horizontal="center" vertical="center"/>
    </xf>
    <xf numFmtId="9" fontId="4" fillId="0" borderId="93" xfId="1" applyFont="1" applyBorder="1" applyAlignment="1" applyProtection="1">
      <alignment horizontal="center" vertical="center"/>
    </xf>
    <xf numFmtId="9" fontId="4" fillId="0" borderId="42" xfId="1" applyFont="1" applyBorder="1" applyAlignment="1" applyProtection="1">
      <alignment horizontal="center" vertical="center"/>
    </xf>
    <xf numFmtId="0" fontId="4" fillId="9" borderId="3" xfId="0"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xf>
    <xf numFmtId="0" fontId="4" fillId="13" borderId="2" xfId="0" applyFont="1" applyFill="1" applyBorder="1" applyAlignment="1" applyProtection="1">
      <alignment horizontal="justify" vertical="center" wrapText="1"/>
      <protection locked="0"/>
    </xf>
    <xf numFmtId="0" fontId="4" fillId="13" borderId="3" xfId="0" applyFont="1" applyFill="1" applyBorder="1" applyAlignment="1" applyProtection="1">
      <alignment horizontal="justify" vertical="center" wrapText="1"/>
      <protection locked="0"/>
    </xf>
    <xf numFmtId="0" fontId="4" fillId="13" borderId="4" xfId="0" applyFont="1" applyFill="1" applyBorder="1" applyAlignment="1" applyProtection="1">
      <alignment horizontal="justify" vertical="center" wrapText="1"/>
      <protection locked="0"/>
    </xf>
    <xf numFmtId="9" fontId="4" fillId="13" borderId="1" xfId="0" applyNumberFormat="1" applyFont="1" applyFill="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indent="1"/>
      <protection locked="0"/>
    </xf>
    <xf numFmtId="0" fontId="4" fillId="9" borderId="3" xfId="0" applyFont="1" applyFill="1" applyBorder="1" applyAlignment="1" applyProtection="1">
      <alignment horizontal="left" vertical="center" wrapText="1" indent="1"/>
      <protection locked="0"/>
    </xf>
    <xf numFmtId="0" fontId="4" fillId="9" borderId="4" xfId="0" applyFont="1" applyFill="1" applyBorder="1" applyAlignment="1" applyProtection="1">
      <alignment horizontal="left" vertical="center" wrapText="1" indent="1"/>
      <protection locked="0"/>
    </xf>
    <xf numFmtId="9" fontId="4" fillId="5" borderId="24" xfId="0" applyNumberFormat="1" applyFont="1" applyFill="1" applyBorder="1" applyAlignment="1" applyProtection="1">
      <alignment horizontal="center" vertical="center" wrapText="1"/>
    </xf>
    <xf numFmtId="9" fontId="4" fillId="5" borderId="29" xfId="0" applyNumberFormat="1" applyFont="1" applyFill="1" applyBorder="1" applyAlignment="1" applyProtection="1">
      <alignment horizontal="center" vertical="center"/>
    </xf>
    <xf numFmtId="9" fontId="4" fillId="5" borderId="43" xfId="0" applyNumberFormat="1" applyFont="1" applyFill="1" applyBorder="1" applyAlignment="1" applyProtection="1">
      <alignment horizontal="center" vertical="center" wrapText="1"/>
      <protection locked="0"/>
    </xf>
    <xf numFmtId="9" fontId="4" fillId="5" borderId="3" xfId="0" applyNumberFormat="1" applyFont="1" applyFill="1" applyBorder="1" applyAlignment="1" applyProtection="1">
      <alignment horizontal="center" vertical="center" wrapText="1"/>
      <protection locked="0"/>
    </xf>
    <xf numFmtId="9" fontId="4" fillId="5" borderId="44" xfId="0" applyNumberFormat="1" applyFont="1" applyFill="1" applyBorder="1" applyAlignment="1" applyProtection="1">
      <alignment horizontal="center" vertical="center" wrapText="1"/>
      <protection locked="0"/>
    </xf>
    <xf numFmtId="0" fontId="10" fillId="0" borderId="8" xfId="3" applyFont="1" applyBorder="1" applyAlignment="1" applyProtection="1">
      <alignment horizontal="justify" vertical="top"/>
    </xf>
    <xf numFmtId="0" fontId="10" fillId="0" borderId="14" xfId="3" applyFont="1" applyBorder="1" applyAlignment="1" applyProtection="1">
      <alignment horizontal="justify" vertical="top"/>
    </xf>
    <xf numFmtId="0" fontId="10" fillId="0" borderId="9" xfId="3" applyFont="1" applyBorder="1" applyAlignment="1" applyProtection="1">
      <alignment horizontal="justify" vertical="top"/>
    </xf>
    <xf numFmtId="0" fontId="10" fillId="0" borderId="13" xfId="3" applyFont="1" applyBorder="1" applyAlignment="1" applyProtection="1">
      <alignment horizontal="justify" vertical="center" wrapText="1"/>
    </xf>
    <xf numFmtId="0" fontId="10" fillId="0" borderId="0" xfId="3" applyFont="1" applyBorder="1" applyAlignment="1" applyProtection="1">
      <alignment horizontal="justify" vertical="center" wrapText="1"/>
    </xf>
    <xf numFmtId="0" fontId="10" fillId="0" borderId="12" xfId="3" applyFont="1" applyBorder="1" applyAlignment="1" applyProtection="1">
      <alignment horizontal="justify" vertical="center" wrapText="1"/>
    </xf>
    <xf numFmtId="0" fontId="10" fillId="0" borderId="13" xfId="3" applyFont="1" applyBorder="1" applyAlignment="1" applyProtection="1">
      <alignment horizontal="justify" vertical="center" wrapText="1"/>
      <protection locked="0"/>
    </xf>
    <xf numFmtId="0" fontId="10" fillId="0" borderId="0" xfId="3" applyFont="1" applyBorder="1" applyAlignment="1" applyProtection="1">
      <alignment horizontal="justify" vertical="center" wrapText="1"/>
      <protection locked="0"/>
    </xf>
    <xf numFmtId="0" fontId="10" fillId="0" borderId="12" xfId="3" applyFont="1" applyBorder="1" applyAlignment="1" applyProtection="1">
      <alignment horizontal="justify" vertical="center" wrapText="1"/>
      <protection locked="0"/>
    </xf>
    <xf numFmtId="0" fontId="5" fillId="9" borderId="1" xfId="0" applyFont="1" applyFill="1" applyBorder="1" applyAlignment="1" applyProtection="1">
      <alignment horizontal="left" vertical="center" wrapText="1" indent="1"/>
      <protection locked="0"/>
    </xf>
    <xf numFmtId="0" fontId="4" fillId="13" borderId="1" xfId="0" applyFont="1" applyFill="1" applyBorder="1" applyAlignment="1" applyProtection="1">
      <alignment horizontal="center" vertical="center" wrapText="1"/>
      <protection locked="0"/>
    </xf>
    <xf numFmtId="9" fontId="4" fillId="9" borderId="5" xfId="0" applyNumberFormat="1" applyFont="1" applyFill="1" applyBorder="1" applyAlignment="1" applyProtection="1">
      <alignment horizontal="center" vertical="center" wrapText="1"/>
    </xf>
    <xf numFmtId="9" fontId="4" fillId="9" borderId="1" xfId="0" applyNumberFormat="1"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9" borderId="1" xfId="0" applyFont="1" applyFill="1" applyBorder="1" applyAlignment="1" applyProtection="1">
      <alignment horizontal="left" vertical="center" wrapText="1" indent="1"/>
      <protection locked="0"/>
    </xf>
    <xf numFmtId="0" fontId="4" fillId="15" borderId="33" xfId="0" applyFont="1" applyFill="1" applyBorder="1" applyAlignment="1" applyProtection="1">
      <alignment horizontal="left" vertical="center" wrapText="1" indent="1"/>
    </xf>
    <xf numFmtId="0" fontId="4" fillId="15" borderId="35" xfId="0" applyFont="1" applyFill="1" applyBorder="1" applyAlignment="1" applyProtection="1">
      <alignment horizontal="left" vertical="center" wrapText="1" indent="1"/>
    </xf>
    <xf numFmtId="0" fontId="4" fillId="9" borderId="0"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9" fontId="4" fillId="5" borderId="1" xfId="0" applyNumberFormat="1" applyFont="1" applyFill="1" applyBorder="1" applyAlignment="1" applyProtection="1">
      <alignment horizontal="center" vertical="center"/>
    </xf>
    <xf numFmtId="9" fontId="4" fillId="13" borderId="2" xfId="0" applyNumberFormat="1" applyFont="1" applyFill="1" applyBorder="1" applyAlignment="1" applyProtection="1">
      <alignment horizontal="center" vertical="center" wrapText="1"/>
    </xf>
    <xf numFmtId="0" fontId="4" fillId="14" borderId="40" xfId="0" applyFont="1" applyFill="1" applyBorder="1" applyAlignment="1" applyProtection="1">
      <alignment horizontal="left" vertical="center" wrapText="1" indent="1"/>
    </xf>
    <xf numFmtId="0" fontId="4" fillId="14" borderId="41" xfId="0" applyFont="1" applyFill="1" applyBorder="1" applyAlignment="1" applyProtection="1">
      <alignment horizontal="left" vertical="center" wrapText="1" indent="1"/>
    </xf>
    <xf numFmtId="0" fontId="4" fillId="14" borderId="42" xfId="0" applyFont="1" applyFill="1" applyBorder="1" applyAlignment="1" applyProtection="1">
      <alignment horizontal="left" vertical="center" wrapText="1" indent="1"/>
    </xf>
    <xf numFmtId="9" fontId="4" fillId="5" borderId="29" xfId="0" applyNumberFormat="1"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9" fontId="4" fillId="13" borderId="1" xfId="0" applyNumberFormat="1"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protection locked="0"/>
    </xf>
    <xf numFmtId="0" fontId="4" fillId="15" borderId="34" xfId="0" applyFont="1" applyFill="1" applyBorder="1" applyAlignment="1" applyProtection="1">
      <alignment horizontal="left" vertical="center" wrapText="1" indent="1"/>
    </xf>
    <xf numFmtId="0" fontId="4" fillId="5" borderId="33" xfId="0" applyFont="1" applyFill="1" applyBorder="1" applyAlignment="1" applyProtection="1">
      <alignment horizontal="left" vertical="center" indent="1"/>
    </xf>
    <xf numFmtId="0" fontId="4" fillId="5" borderId="35" xfId="0" applyFont="1" applyFill="1" applyBorder="1" applyAlignment="1" applyProtection="1">
      <alignment horizontal="left" vertical="center" indent="1"/>
    </xf>
    <xf numFmtId="0" fontId="4" fillId="9" borderId="8" xfId="0" applyFont="1" applyFill="1" applyBorder="1" applyAlignment="1" applyProtection="1">
      <alignment horizontal="center" vertical="center"/>
    </xf>
    <xf numFmtId="0" fontId="4" fillId="9" borderId="14" xfId="0" applyFont="1" applyFill="1" applyBorder="1" applyAlignment="1" applyProtection="1">
      <alignment horizontal="center" vertical="center"/>
    </xf>
    <xf numFmtId="0" fontId="4" fillId="9" borderId="9" xfId="0"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xf>
    <xf numFmtId="0" fontId="5" fillId="9" borderId="3" xfId="0" applyFont="1" applyFill="1" applyBorder="1" applyAlignment="1" applyProtection="1">
      <alignment horizontal="left" vertical="center" wrapText="1" indent="1"/>
    </xf>
    <xf numFmtId="0" fontId="5" fillId="9" borderId="4" xfId="0" applyFont="1" applyFill="1" applyBorder="1" applyAlignment="1" applyProtection="1">
      <alignment horizontal="left" vertical="center" wrapText="1" indent="1"/>
    </xf>
    <xf numFmtId="9" fontId="4" fillId="9" borderId="5" xfId="1" applyFont="1" applyFill="1" applyBorder="1" applyAlignment="1" applyProtection="1">
      <alignment horizontal="center" vertical="center"/>
    </xf>
    <xf numFmtId="9" fontId="4" fillId="9" borderId="1" xfId="1"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protection locked="0"/>
    </xf>
    <xf numFmtId="0" fontId="5" fillId="9" borderId="3" xfId="0" applyFont="1" applyFill="1" applyBorder="1" applyAlignment="1" applyProtection="1">
      <alignment horizontal="left" vertical="center" wrapText="1" indent="1"/>
      <protection locked="0"/>
    </xf>
    <xf numFmtId="0" fontId="5" fillId="9" borderId="4" xfId="0" applyFont="1" applyFill="1" applyBorder="1" applyAlignment="1" applyProtection="1">
      <alignment horizontal="left" vertical="center" wrapText="1" indent="1"/>
      <protection locked="0"/>
    </xf>
    <xf numFmtId="9" fontId="7" fillId="16" borderId="2" xfId="1" applyFont="1" applyFill="1" applyBorder="1" applyAlignment="1" applyProtection="1">
      <alignment horizontal="center" vertical="center"/>
    </xf>
    <xf numFmtId="9" fontId="7" fillId="16" borderId="3" xfId="1" applyFont="1" applyFill="1" applyBorder="1" applyAlignment="1" applyProtection="1">
      <alignment horizontal="center" vertical="center"/>
    </xf>
    <xf numFmtId="9" fontId="4" fillId="5" borderId="83" xfId="0" applyNumberFormat="1" applyFont="1" applyFill="1" applyBorder="1" applyAlignment="1" applyProtection="1">
      <alignment horizontal="center" vertical="center"/>
    </xf>
    <xf numFmtId="9" fontId="4" fillId="5" borderId="6" xfId="0" applyNumberFormat="1" applyFont="1" applyFill="1" applyBorder="1" applyAlignment="1" applyProtection="1">
      <alignment horizontal="center" vertical="center"/>
    </xf>
    <xf numFmtId="9" fontId="4" fillId="5" borderId="124" xfId="0"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33" xfId="0" applyFont="1" applyFill="1" applyBorder="1" applyAlignment="1" applyProtection="1">
      <alignment horizontal="left" vertical="center" indent="1"/>
    </xf>
    <xf numFmtId="0" fontId="4" fillId="14" borderId="34" xfId="0" applyFont="1" applyFill="1" applyBorder="1" applyAlignment="1" applyProtection="1">
      <alignment horizontal="left" vertical="center" indent="1"/>
    </xf>
    <xf numFmtId="0" fontId="4" fillId="14" borderId="35" xfId="0" applyFont="1" applyFill="1" applyBorder="1" applyAlignment="1" applyProtection="1">
      <alignment horizontal="left" vertical="center" indent="1"/>
    </xf>
    <xf numFmtId="0" fontId="4" fillId="13" borderId="1"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0" fontId="5" fillId="14" borderId="33" xfId="0" applyFont="1" applyFill="1" applyBorder="1" applyAlignment="1" applyProtection="1">
      <alignment horizontal="left" vertical="center" wrapText="1" indent="1"/>
    </xf>
    <xf numFmtId="0" fontId="5" fillId="14" borderId="34" xfId="0" applyFont="1" applyFill="1" applyBorder="1" applyAlignment="1" applyProtection="1">
      <alignment horizontal="left" vertical="center" wrapText="1" indent="1"/>
    </xf>
    <xf numFmtId="0" fontId="5" fillId="14" borderId="35" xfId="0" applyFont="1" applyFill="1" applyBorder="1" applyAlignment="1" applyProtection="1">
      <alignment horizontal="left" vertical="center" wrapText="1" indent="1"/>
    </xf>
    <xf numFmtId="9" fontId="4" fillId="13" borderId="1" xfId="0" applyNumberFormat="1" applyFont="1" applyFill="1" applyBorder="1" applyAlignment="1" applyProtection="1">
      <alignment horizontal="center" vertical="center" wrapText="1"/>
    </xf>
    <xf numFmtId="0" fontId="5" fillId="9" borderId="1" xfId="0" applyFont="1" applyFill="1" applyBorder="1" applyAlignment="1" applyProtection="1">
      <alignment horizontal="left" vertical="center" wrapText="1" indent="1"/>
    </xf>
    <xf numFmtId="0" fontId="4" fillId="13" borderId="1" xfId="0" applyFont="1" applyFill="1" applyBorder="1" applyAlignment="1" applyProtection="1">
      <alignment horizontal="center" wrapText="1"/>
    </xf>
    <xf numFmtId="0" fontId="4" fillId="13" borderId="3" xfId="0" applyFont="1" applyFill="1" applyBorder="1" applyAlignment="1" applyProtection="1">
      <alignment horizontal="justify"/>
      <protection locked="0"/>
    </xf>
    <xf numFmtId="0" fontId="4" fillId="13" borderId="4" xfId="0" applyFont="1" applyFill="1" applyBorder="1" applyAlignment="1" applyProtection="1">
      <alignment horizontal="justify"/>
      <protection locked="0"/>
    </xf>
    <xf numFmtId="0" fontId="4" fillId="13" borderId="1" xfId="0" applyFont="1" applyFill="1" applyBorder="1" applyProtection="1">
      <protection locked="0"/>
    </xf>
    <xf numFmtId="0" fontId="12" fillId="0" borderId="8" xfId="3" applyFont="1" applyBorder="1" applyAlignment="1" applyProtection="1">
      <alignment horizontal="justify" vertical="top"/>
    </xf>
    <xf numFmtId="0" fontId="12" fillId="0" borderId="14" xfId="3" applyFont="1" applyBorder="1" applyAlignment="1" applyProtection="1">
      <alignment horizontal="justify" vertical="top"/>
    </xf>
    <xf numFmtId="0" fontId="12" fillId="0" borderId="9" xfId="3" applyFont="1" applyBorder="1" applyAlignment="1" applyProtection="1">
      <alignment horizontal="justify" vertical="top"/>
    </xf>
    <xf numFmtId="0" fontId="12" fillId="0" borderId="13" xfId="3" applyFont="1" applyBorder="1" applyAlignment="1" applyProtection="1">
      <alignment horizontal="justify" vertical="center" wrapText="1"/>
    </xf>
    <xf numFmtId="0" fontId="12" fillId="0" borderId="0" xfId="3" applyFont="1" applyBorder="1" applyAlignment="1" applyProtection="1">
      <alignment horizontal="justify" vertical="center" wrapText="1"/>
    </xf>
    <xf numFmtId="0" fontId="12" fillId="0" borderId="12" xfId="3" applyFont="1" applyBorder="1" applyAlignment="1" applyProtection="1">
      <alignment horizontal="justify" vertical="center" wrapText="1"/>
    </xf>
    <xf numFmtId="9" fontId="4" fillId="0" borderId="1" xfId="1" applyFont="1" applyBorder="1" applyAlignment="1" applyProtection="1">
      <alignment horizontal="center" vertical="center" wrapText="1"/>
    </xf>
    <xf numFmtId="9" fontId="4" fillId="0" borderId="2" xfId="1"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wrapText="1"/>
    </xf>
    <xf numFmtId="9" fontId="4" fillId="0" borderId="27" xfId="1" applyFont="1" applyBorder="1" applyAlignment="1" applyProtection="1">
      <alignment horizontal="center" vertical="center" wrapText="1"/>
    </xf>
    <xf numFmtId="9" fontId="4" fillId="0" borderId="30" xfId="1" applyFont="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9" fontId="4" fillId="5" borderId="25" xfId="1" applyFont="1" applyFill="1" applyBorder="1" applyAlignment="1" applyProtection="1">
      <alignment horizontal="center" vertical="center" wrapText="1"/>
    </xf>
    <xf numFmtId="9" fontId="4" fillId="5" borderId="27" xfId="1" applyFont="1" applyFill="1" applyBorder="1" applyAlignment="1" applyProtection="1">
      <alignment horizontal="center" vertical="center" wrapText="1"/>
    </xf>
    <xf numFmtId="9" fontId="4" fillId="5" borderId="30" xfId="1"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9"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xf>
    <xf numFmtId="0" fontId="4" fillId="30" borderId="23" xfId="0" applyFont="1" applyFill="1" applyBorder="1" applyAlignment="1" applyProtection="1">
      <alignment horizontal="left" vertical="center" wrapText="1" indent="1"/>
    </xf>
    <xf numFmtId="0" fontId="4" fillId="30" borderId="26" xfId="0" applyFont="1" applyFill="1" applyBorder="1" applyAlignment="1" applyProtection="1">
      <alignment horizontal="left" vertical="center" wrapText="1" indent="1"/>
    </xf>
    <xf numFmtId="0" fontId="4" fillId="30" borderId="28"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xf>
    <xf numFmtId="0" fontId="4" fillId="0" borderId="4"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1"/>
    </xf>
    <xf numFmtId="0" fontId="4" fillId="5" borderId="3" xfId="0" applyFont="1" applyFill="1" applyBorder="1" applyAlignment="1" applyProtection="1">
      <alignment horizontal="center" vertical="center" wrapText="1"/>
    </xf>
    <xf numFmtId="9" fontId="4" fillId="0" borderId="45" xfId="1" applyFont="1" applyBorder="1" applyAlignment="1" applyProtection="1">
      <alignment horizontal="center" vertical="center" wrapText="1"/>
    </xf>
    <xf numFmtId="9" fontId="4" fillId="0" borderId="4" xfId="0" applyNumberFormat="1" applyFont="1" applyBorder="1" applyAlignment="1" applyProtection="1">
      <alignment horizontal="center" vertical="center" wrapText="1"/>
    </xf>
    <xf numFmtId="9" fontId="4" fillId="0" borderId="4" xfId="1" applyFont="1" applyBorder="1" applyAlignment="1" applyProtection="1">
      <alignment horizontal="center" vertical="center" wrapText="1"/>
    </xf>
    <xf numFmtId="9" fontId="4" fillId="0" borderId="48" xfId="1" applyFont="1" applyBorder="1" applyAlignment="1" applyProtection="1">
      <alignment horizontal="center" vertical="center" wrapText="1"/>
    </xf>
    <xf numFmtId="9" fontId="4" fillId="0" borderId="50" xfId="1" applyFont="1" applyBorder="1" applyAlignment="1" applyProtection="1">
      <alignment horizontal="center" vertical="center" wrapText="1"/>
    </xf>
    <xf numFmtId="9" fontId="4" fillId="0" borderId="47" xfId="0" applyNumberFormat="1"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3" fillId="9" borderId="1" xfId="0" applyFont="1" applyFill="1" applyBorder="1" applyAlignment="1" applyProtection="1">
      <alignment horizontal="left" vertical="center" wrapText="1" indent="1"/>
    </xf>
    <xf numFmtId="0" fontId="4" fillId="30" borderId="33" xfId="0" applyFont="1" applyFill="1" applyBorder="1" applyAlignment="1" applyProtection="1">
      <alignment horizontal="left" vertical="center" wrapText="1" indent="1"/>
    </xf>
    <xf numFmtId="0" fontId="4" fillId="30" borderId="34" xfId="0" applyFont="1" applyFill="1" applyBorder="1" applyAlignment="1" applyProtection="1">
      <alignment horizontal="left" vertical="center" wrapText="1" indent="1"/>
    </xf>
    <xf numFmtId="0" fontId="4" fillId="30" borderId="35"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xf>
    <xf numFmtId="0" fontId="4" fillId="0" borderId="3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9" fontId="4" fillId="0" borderId="2" xfId="0" applyNumberFormat="1" applyFont="1" applyBorder="1" applyAlignment="1" applyProtection="1">
      <alignment horizontal="center" vertical="center" wrapText="1"/>
    </xf>
    <xf numFmtId="0" fontId="4" fillId="9" borderId="1" xfId="0"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4" fillId="30" borderId="46" xfId="0" applyFont="1" applyFill="1" applyBorder="1" applyAlignment="1" applyProtection="1">
      <alignment horizontal="left" vertical="center" wrapText="1" indent="1"/>
    </xf>
    <xf numFmtId="0" fontId="4" fillId="0" borderId="1" xfId="0" applyFont="1" applyBorder="1" applyAlignment="1">
      <alignment horizontal="left"/>
    </xf>
    <xf numFmtId="0" fontId="6" fillId="0" borderId="1" xfId="0" applyFont="1" applyBorder="1" applyAlignment="1">
      <alignment horizontal="center"/>
    </xf>
    <xf numFmtId="0" fontId="4" fillId="0" borderId="1" xfId="0" applyFont="1" applyBorder="1" applyAlignment="1">
      <alignment horizontal="center"/>
    </xf>
    <xf numFmtId="9" fontId="4" fillId="0" borderId="25" xfId="1" applyFont="1" applyBorder="1" applyAlignment="1">
      <alignment horizontal="center" vertical="center"/>
    </xf>
    <xf numFmtId="9" fontId="4" fillId="0" borderId="27" xfId="1" applyFont="1" applyBorder="1" applyAlignment="1">
      <alignment horizontal="center" vertical="center"/>
    </xf>
    <xf numFmtId="9" fontId="4" fillId="0" borderId="30" xfId="1" applyFont="1" applyBorder="1" applyAlignment="1">
      <alignment horizontal="center" vertical="center"/>
    </xf>
    <xf numFmtId="0" fontId="4" fillId="15" borderId="33" xfId="0" applyFont="1" applyFill="1" applyBorder="1" applyAlignment="1">
      <alignment horizontal="left" vertical="center" wrapText="1" indent="1"/>
    </xf>
    <xf numFmtId="0" fontId="4" fillId="15" borderId="35" xfId="0" applyFont="1" applyFill="1" applyBorder="1" applyAlignment="1">
      <alignment horizontal="left" vertical="center" wrapText="1"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14" borderId="23" xfId="0" applyFont="1" applyFill="1" applyBorder="1" applyAlignment="1">
      <alignment horizontal="left" vertical="center" wrapText="1" indent="1"/>
    </xf>
    <xf numFmtId="0" fontId="4" fillId="14" borderId="26" xfId="0" applyFont="1" applyFill="1" applyBorder="1" applyAlignment="1">
      <alignment horizontal="left" vertical="center" wrapText="1" indent="1"/>
    </xf>
    <xf numFmtId="0" fontId="4" fillId="14" borderId="28" xfId="0" applyFont="1" applyFill="1" applyBorder="1" applyAlignment="1">
      <alignment horizontal="left" vertical="center" wrapText="1" inden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xf>
    <xf numFmtId="9" fontId="4" fillId="9" borderId="6" xfId="0" applyNumberFormat="1" applyFont="1" applyFill="1" applyBorder="1" applyAlignment="1">
      <alignment horizontal="center" vertical="center"/>
    </xf>
    <xf numFmtId="9" fontId="4" fillId="9" borderId="7" xfId="0" applyNumberFormat="1" applyFont="1" applyFill="1" applyBorder="1" applyAlignment="1">
      <alignment horizontal="center" vertical="center"/>
    </xf>
    <xf numFmtId="0" fontId="4" fillId="0" borderId="3" xfId="0" applyFont="1" applyBorder="1" applyAlignment="1">
      <alignment horizontal="center" vertical="center" wrapText="1"/>
    </xf>
    <xf numFmtId="10" fontId="4" fillId="0" borderId="43" xfId="0" applyNumberFormat="1" applyFont="1" applyBorder="1" applyAlignment="1" applyProtection="1">
      <alignment horizontal="center" vertical="center"/>
      <protection locked="0"/>
    </xf>
    <xf numFmtId="10" fontId="4" fillId="0" borderId="44" xfId="0" applyNumberFormat="1" applyFont="1" applyBorder="1" applyAlignment="1" applyProtection="1">
      <alignment horizontal="center" vertical="center"/>
      <protection locked="0"/>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6" fillId="2" borderId="1" xfId="0" applyFont="1" applyFill="1" applyBorder="1" applyAlignment="1">
      <alignment horizontal="center"/>
    </xf>
    <xf numFmtId="0" fontId="4" fillId="2" borderId="1" xfId="0" applyFont="1" applyFill="1" applyBorder="1" applyAlignment="1">
      <alignment horizont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9" fontId="4" fillId="0" borderId="43" xfId="0" applyNumberFormat="1" applyFont="1" applyBorder="1" applyAlignment="1">
      <alignment horizontal="center" vertical="center"/>
    </xf>
    <xf numFmtId="9" fontId="4" fillId="0" borderId="44" xfId="0" applyNumberFormat="1" applyFont="1" applyBorder="1" applyAlignment="1">
      <alignment horizontal="center" vertical="center"/>
    </xf>
    <xf numFmtId="0" fontId="4" fillId="9" borderId="3" xfId="0" applyFont="1" applyFill="1" applyBorder="1" applyAlignment="1">
      <alignment horizontal="center" vertical="center" wrapText="1"/>
    </xf>
    <xf numFmtId="0" fontId="4" fillId="30" borderId="23" xfId="0" applyFont="1" applyFill="1" applyBorder="1" applyAlignment="1">
      <alignment horizontal="left" vertical="center" wrapText="1" indent="1"/>
    </xf>
    <xf numFmtId="0" fontId="4" fillId="30" borderId="26" xfId="0" applyFont="1" applyFill="1" applyBorder="1" applyAlignment="1">
      <alignment horizontal="left" vertical="center" wrapText="1" indent="1"/>
    </xf>
    <xf numFmtId="0" fontId="4" fillId="30" borderId="28" xfId="0" applyFont="1" applyFill="1" applyBorder="1" applyAlignment="1">
      <alignment horizontal="left" vertical="center" wrapText="1" indent="1"/>
    </xf>
    <xf numFmtId="0" fontId="4" fillId="9" borderId="1" xfId="0" applyFont="1" applyFill="1" applyBorder="1" applyAlignment="1">
      <alignment horizontal="center" vertical="center"/>
    </xf>
    <xf numFmtId="0" fontId="4" fillId="9" borderId="3" xfId="0" applyFont="1" applyFill="1" applyBorder="1" applyAlignment="1">
      <alignment horizontal="center" wrapText="1"/>
    </xf>
    <xf numFmtId="9" fontId="4" fillId="9" borderId="5" xfId="0" applyNumberFormat="1" applyFont="1" applyFill="1" applyBorder="1" applyAlignment="1">
      <alignment horizontal="center" vertical="center"/>
    </xf>
    <xf numFmtId="9" fontId="4" fillId="9" borderId="1" xfId="0" applyNumberFormat="1" applyFont="1" applyFill="1" applyBorder="1" applyAlignment="1">
      <alignment horizontal="center" vertical="center"/>
    </xf>
    <xf numFmtId="0" fontId="4" fillId="15" borderId="23" xfId="0" applyFont="1" applyFill="1" applyBorder="1" applyAlignment="1">
      <alignment horizontal="left" vertical="center" wrapText="1" indent="1"/>
    </xf>
    <xf numFmtId="0" fontId="4" fillId="15" borderId="26" xfId="0" applyFont="1" applyFill="1" applyBorder="1" applyAlignment="1">
      <alignment horizontal="left" vertical="center" wrapText="1" indent="1"/>
    </xf>
    <xf numFmtId="0" fontId="4" fillId="15" borderId="28" xfId="0" applyFont="1" applyFill="1" applyBorder="1" applyAlignment="1">
      <alignment horizontal="left" vertical="center" wrapText="1" indent="1"/>
    </xf>
    <xf numFmtId="0" fontId="4" fillId="0" borderId="3" xfId="0" applyFont="1" applyBorder="1" applyAlignment="1">
      <alignment horizontal="center" vertical="center"/>
    </xf>
    <xf numFmtId="0" fontId="6" fillId="2"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9" borderId="1" xfId="0" applyFont="1" applyFill="1" applyBorder="1" applyAlignment="1">
      <alignment horizontal="center" vertical="center" wrapText="1"/>
    </xf>
    <xf numFmtId="9" fontId="4" fillId="9" borderId="5"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2" xfId="0" applyFont="1" applyFill="1" applyBorder="1" applyAlignment="1">
      <alignment horizontal="left" vertical="center" wrapText="1" indent="1"/>
    </xf>
    <xf numFmtId="0" fontId="4" fillId="9" borderId="3"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6" borderId="1" xfId="0" applyFont="1" applyFill="1" applyBorder="1" applyAlignment="1">
      <alignment horizontal="center" vertical="center" wrapText="1"/>
    </xf>
    <xf numFmtId="0" fontId="4" fillId="31" borderId="33" xfId="0" applyFont="1" applyFill="1" applyBorder="1" applyAlignment="1">
      <alignment horizontal="left" vertical="center" wrapText="1" indent="1"/>
    </xf>
    <xf numFmtId="0" fontId="4" fillId="31" borderId="35" xfId="0" applyFont="1" applyFill="1" applyBorder="1" applyAlignment="1">
      <alignment horizontal="left" vertical="center" wrapText="1" indent="1"/>
    </xf>
    <xf numFmtId="0" fontId="4" fillId="14" borderId="33" xfId="0" applyFont="1" applyFill="1" applyBorder="1" applyAlignment="1">
      <alignment horizontal="left" vertical="center" wrapText="1" indent="1"/>
    </xf>
    <xf numFmtId="0" fontId="4" fillId="14" borderId="34" xfId="0" applyFont="1" applyFill="1" applyBorder="1" applyAlignment="1">
      <alignment horizontal="left" vertical="center" wrapText="1" indent="1"/>
    </xf>
    <xf numFmtId="0" fontId="4" fillId="14" borderId="35" xfId="0" applyFont="1" applyFill="1" applyBorder="1" applyAlignment="1">
      <alignment horizontal="left" vertical="center" wrapText="1" indent="1"/>
    </xf>
    <xf numFmtId="9" fontId="4" fillId="9" borderId="11" xfId="1" applyFont="1" applyFill="1" applyBorder="1" applyAlignment="1">
      <alignment horizontal="center" vertical="center"/>
    </xf>
    <xf numFmtId="9" fontId="4" fillId="9" borderId="13" xfId="1" applyFont="1" applyFill="1" applyBorder="1" applyAlignment="1">
      <alignment horizontal="center" vertical="center"/>
    </xf>
    <xf numFmtId="9" fontId="4" fillId="9" borderId="4" xfId="1" applyFont="1" applyFill="1" applyBorder="1" applyAlignment="1">
      <alignment horizontal="center" vertical="center"/>
    </xf>
    <xf numFmtId="0" fontId="4" fillId="15" borderId="34" xfId="0" applyFont="1" applyFill="1" applyBorder="1" applyAlignment="1">
      <alignment horizontal="left" vertical="center" wrapText="1" inden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9" fillId="0" borderId="8" xfId="3" applyBorder="1" applyAlignment="1" applyProtection="1">
      <alignment horizontal="justify" vertical="top"/>
    </xf>
    <xf numFmtId="0" fontId="9" fillId="0" borderId="13" xfId="3" applyBorder="1" applyAlignment="1" applyProtection="1">
      <alignment horizontal="justify" vertic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6" fillId="2" borderId="1" xfId="0" applyFont="1" applyFill="1" applyBorder="1" applyAlignment="1">
      <alignment horizontal="center" vertical="center" wrapText="1"/>
    </xf>
    <xf numFmtId="10" fontId="4" fillId="0" borderId="57" xfId="1" applyNumberFormat="1" applyFont="1" applyBorder="1" applyAlignment="1">
      <alignment horizontal="center" vertical="center"/>
    </xf>
    <xf numFmtId="10" fontId="4" fillId="0" borderId="67" xfId="1" applyNumberFormat="1" applyFont="1" applyBorder="1" applyAlignment="1">
      <alignment horizontal="center" vertical="center"/>
    </xf>
    <xf numFmtId="0" fontId="4" fillId="0" borderId="5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9" fontId="4" fillId="0" borderId="52" xfId="1" applyFont="1" applyBorder="1" applyAlignment="1">
      <alignment horizontal="center" vertical="center"/>
    </xf>
    <xf numFmtId="9" fontId="4" fillId="0" borderId="67" xfId="1" applyFont="1" applyBorder="1" applyAlignment="1">
      <alignment horizontal="center" vertical="center"/>
    </xf>
    <xf numFmtId="9" fontId="4" fillId="0" borderId="57" xfId="1" applyFont="1" applyBorder="1" applyAlignment="1">
      <alignment horizontal="center" vertical="center"/>
    </xf>
    <xf numFmtId="0" fontId="4" fillId="0" borderId="44" xfId="0" applyFont="1" applyBorder="1" applyAlignment="1" applyProtection="1">
      <alignment horizontal="center" vertical="center"/>
      <protection locked="0"/>
    </xf>
    <xf numFmtId="166" fontId="4" fillId="0" borderId="57" xfId="1" applyNumberFormat="1" applyFont="1" applyBorder="1" applyAlignment="1">
      <alignment horizontal="center" vertical="center"/>
    </xf>
    <xf numFmtId="166" fontId="4" fillId="0" borderId="67" xfId="1" applyNumberFormat="1" applyFont="1" applyBorder="1" applyAlignment="1">
      <alignment horizontal="center" vertical="center"/>
    </xf>
    <xf numFmtId="166" fontId="4" fillId="0" borderId="51" xfId="1" applyNumberFormat="1" applyFont="1" applyBorder="1" applyAlignment="1">
      <alignment horizontal="center" vertical="center"/>
    </xf>
    <xf numFmtId="166" fontId="4" fillId="0" borderId="52" xfId="1" applyNumberFormat="1" applyFont="1" applyBorder="1" applyAlignment="1">
      <alignment horizontal="center" vertical="center"/>
    </xf>
    <xf numFmtId="0" fontId="4" fillId="0" borderId="13" xfId="0" applyFont="1" applyBorder="1" applyAlignment="1" applyProtection="1">
      <alignment horizontal="center" vertical="center"/>
      <protection locked="0"/>
    </xf>
    <xf numFmtId="166" fontId="4" fillId="0" borderId="0" xfId="1" applyNumberFormat="1" applyFont="1" applyBorder="1" applyAlignment="1">
      <alignment horizontal="center" vertical="center"/>
    </xf>
    <xf numFmtId="0" fontId="4" fillId="9" borderId="4" xfId="0" applyFont="1" applyFill="1" applyBorder="1" applyAlignment="1">
      <alignment horizontal="center" vertical="center" wrapText="1"/>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0" fillId="9" borderId="3" xfId="0" applyFont="1" applyFill="1" applyBorder="1" applyAlignment="1">
      <alignment horizontal="center" vertical="center"/>
    </xf>
    <xf numFmtId="0" fontId="0" fillId="9" borderId="3" xfId="0" applyFont="1" applyFill="1" applyBorder="1" applyAlignment="1">
      <alignment horizontal="center" vertical="center" wrapText="1"/>
    </xf>
    <xf numFmtId="0" fontId="4" fillId="9" borderId="1" xfId="0" applyFont="1" applyFill="1" applyBorder="1" applyAlignment="1">
      <alignment horizontal="left" vertical="center" indent="1"/>
    </xf>
    <xf numFmtId="0" fontId="5" fillId="9" borderId="1" xfId="0" applyFont="1" applyFill="1" applyBorder="1" applyAlignment="1">
      <alignment horizontal="left" vertical="center" wrapText="1" indent="1"/>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82" xfId="1" applyFont="1" applyFill="1" applyBorder="1" applyAlignment="1">
      <alignment horizontal="center" vertical="center"/>
    </xf>
    <xf numFmtId="0" fontId="4" fillId="9" borderId="1" xfId="0" applyFont="1" applyFill="1" applyBorder="1" applyAlignment="1">
      <alignment horizontal="left" vertical="center" wrapText="1" indent="1"/>
    </xf>
    <xf numFmtId="0" fontId="4" fillId="15" borderId="33" xfId="0" applyFont="1" applyFill="1" applyBorder="1" applyAlignment="1">
      <alignment horizontal="left" vertical="center" indent="1"/>
    </xf>
    <xf numFmtId="0" fontId="4" fillId="15" borderId="35" xfId="0" applyFont="1" applyFill="1" applyBorder="1" applyAlignment="1">
      <alignment horizontal="left" vertical="center" indent="1"/>
    </xf>
    <xf numFmtId="0" fontId="4" fillId="15" borderId="4"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9" fontId="4" fillId="0" borderId="4" xfId="1" applyFont="1" applyBorder="1" applyAlignment="1">
      <alignment horizontal="center" vertical="center"/>
    </xf>
    <xf numFmtId="9" fontId="4" fillId="0" borderId="1" xfId="1" applyFont="1" applyBorder="1" applyAlignment="1">
      <alignment horizontal="center" vertical="center"/>
    </xf>
    <xf numFmtId="9" fontId="4" fillId="0" borderId="2" xfId="1" applyFont="1" applyBorder="1" applyAlignment="1">
      <alignment horizontal="center" vertical="center"/>
    </xf>
    <xf numFmtId="0" fontId="4" fillId="5" borderId="2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37" xfId="0" applyFont="1" applyFill="1" applyBorder="1" applyAlignment="1">
      <alignment horizontal="center" vertical="center"/>
    </xf>
    <xf numFmtId="0" fontId="4" fillId="31" borderId="23" xfId="0" applyFont="1" applyFill="1" applyBorder="1" applyAlignment="1">
      <alignment horizontal="left" vertical="center" wrapText="1" indent="1"/>
    </xf>
    <xf numFmtId="0" fontId="4" fillId="31" borderId="26" xfId="0" applyFont="1" applyFill="1" applyBorder="1" applyAlignment="1">
      <alignment horizontal="left" vertical="center" indent="1"/>
    </xf>
    <xf numFmtId="0" fontId="4" fillId="31" borderId="28" xfId="0" applyFont="1" applyFill="1" applyBorder="1" applyAlignment="1">
      <alignment horizontal="left" vertical="center" indent="1"/>
    </xf>
    <xf numFmtId="0" fontId="4" fillId="31" borderId="26" xfId="0" applyFont="1" applyFill="1" applyBorder="1" applyAlignment="1">
      <alignment horizontal="left" vertical="center" wrapText="1" indent="1"/>
    </xf>
    <xf numFmtId="0" fontId="4" fillId="31" borderId="28" xfId="0" applyFont="1" applyFill="1" applyBorder="1" applyAlignment="1">
      <alignment horizontal="left" vertical="center" wrapText="1" inden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4"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29" xfId="0" applyNumberFormat="1" applyFont="1" applyBorder="1" applyAlignment="1">
      <alignment horizontal="center" vertical="center"/>
    </xf>
    <xf numFmtId="9" fontId="4" fillId="0" borderId="25" xfId="1" applyFont="1" applyBorder="1" applyAlignment="1">
      <alignment horizontal="center" vertical="center" wrapText="1"/>
    </xf>
    <xf numFmtId="9" fontId="4" fillId="0" borderId="27" xfId="1" applyFont="1" applyBorder="1" applyAlignment="1">
      <alignment horizontal="center" vertical="center" wrapText="1"/>
    </xf>
    <xf numFmtId="9" fontId="4" fillId="0" borderId="30" xfId="1" applyFont="1" applyBorder="1" applyAlignment="1">
      <alignment horizontal="center" vertical="center" wrapText="1"/>
    </xf>
    <xf numFmtId="9" fontId="4" fillId="0" borderId="24" xfId="0" applyNumberFormat="1" applyFont="1" applyBorder="1" applyAlignment="1">
      <alignment horizontal="center" vertical="center"/>
    </xf>
    <xf numFmtId="0" fontId="4" fillId="9" borderId="5" xfId="0" applyFont="1" applyFill="1" applyBorder="1" applyAlignment="1">
      <alignment horizontal="center" vertical="center"/>
    </xf>
    <xf numFmtId="0" fontId="0"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4" xfId="0" applyFont="1" applyFill="1" applyBorder="1" applyAlignment="1">
      <alignment horizontal="center" vertical="center"/>
    </xf>
    <xf numFmtId="0" fontId="4" fillId="15" borderId="23" xfId="0" applyFont="1" applyFill="1" applyBorder="1" applyAlignment="1">
      <alignment horizontal="left" wrapText="1" indent="1"/>
    </xf>
    <xf numFmtId="0" fontId="4" fillId="15" borderId="28" xfId="0" applyFont="1" applyFill="1" applyBorder="1" applyAlignment="1">
      <alignment horizontal="left" wrapText="1" indent="1"/>
    </xf>
    <xf numFmtId="9" fontId="4" fillId="0" borderId="3" xfId="0" applyNumberFormat="1" applyFont="1" applyBorder="1" applyAlignment="1">
      <alignment horizontal="center" vertical="center"/>
    </xf>
    <xf numFmtId="0" fontId="4" fillId="0" borderId="23"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8" xfId="0" applyFont="1" applyBorder="1" applyAlignment="1">
      <alignment horizontal="left" vertical="center" wrapText="1" indent="1"/>
    </xf>
    <xf numFmtId="9" fontId="23" fillId="5" borderId="79" xfId="1" applyFont="1" applyFill="1" applyBorder="1" applyAlignment="1">
      <alignment horizontal="center" vertical="center"/>
    </xf>
    <xf numFmtId="9" fontId="23" fillId="5" borderId="94" xfId="1" applyFont="1" applyFill="1" applyBorder="1" applyAlignment="1">
      <alignment horizontal="center" vertical="center"/>
    </xf>
    <xf numFmtId="9" fontId="4" fillId="5" borderId="65" xfId="0" applyNumberFormat="1" applyFont="1" applyFill="1" applyBorder="1" applyAlignment="1" applyProtection="1">
      <alignment horizontal="center" vertical="center" wrapText="1"/>
      <protection locked="0"/>
    </xf>
    <xf numFmtId="9" fontId="4" fillId="5" borderId="66" xfId="0" applyNumberFormat="1" applyFont="1" applyFill="1" applyBorder="1" applyAlignment="1" applyProtection="1">
      <alignment horizontal="center" vertical="center" wrapText="1"/>
      <protection locked="0"/>
    </xf>
    <xf numFmtId="9" fontId="23" fillId="5" borderId="80" xfId="1" applyFont="1" applyFill="1" applyBorder="1" applyAlignment="1">
      <alignment horizontal="center" vertical="center"/>
    </xf>
    <xf numFmtId="9" fontId="5" fillId="14" borderId="70" xfId="1" applyFont="1" applyFill="1" applyBorder="1" applyAlignment="1">
      <alignment horizontal="center" vertical="center"/>
    </xf>
    <xf numFmtId="9" fontId="5" fillId="14" borderId="76" xfId="1" applyFont="1" applyFill="1" applyBorder="1" applyAlignment="1">
      <alignment horizontal="center" vertical="center"/>
    </xf>
    <xf numFmtId="9" fontId="5" fillId="14" borderId="42" xfId="1" applyFont="1" applyFill="1" applyBorder="1" applyAlignment="1">
      <alignment horizontal="center" vertical="center"/>
    </xf>
    <xf numFmtId="0" fontId="5" fillId="14" borderId="73" xfId="0" applyFont="1" applyFill="1" applyBorder="1" applyAlignment="1">
      <alignment horizontal="center" vertical="center" wrapText="1"/>
    </xf>
    <xf numFmtId="0" fontId="5" fillId="14" borderId="67" xfId="0" applyFont="1" applyFill="1" applyBorder="1" applyAlignment="1">
      <alignment horizontal="center" vertical="center" wrapText="1"/>
    </xf>
    <xf numFmtId="9" fontId="5" fillId="15" borderId="40" xfId="1" applyFont="1" applyFill="1" applyBorder="1" applyAlignment="1">
      <alignment horizontal="center" vertical="center"/>
    </xf>
    <xf numFmtId="9" fontId="5" fillId="15" borderId="42" xfId="1"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9" fontId="4" fillId="5" borderId="63" xfId="0" applyNumberFormat="1" applyFont="1" applyFill="1" applyBorder="1" applyAlignment="1" applyProtection="1">
      <alignment horizontal="center" vertical="center" wrapText="1"/>
      <protection locked="0"/>
    </xf>
    <xf numFmtId="0" fontId="5" fillId="15" borderId="38" xfId="0" applyFont="1" applyFill="1" applyBorder="1" applyAlignment="1">
      <alignment horizontal="left" vertical="center" wrapText="1" indent="1"/>
    </xf>
    <xf numFmtId="0" fontId="5" fillId="15" borderId="10" xfId="0" applyFont="1" applyFill="1" applyBorder="1" applyAlignment="1">
      <alignment horizontal="left" vertical="center" wrapText="1" indent="1"/>
    </xf>
    <xf numFmtId="0" fontId="5" fillId="14" borderId="96" xfId="0" applyFont="1" applyFill="1" applyBorder="1" applyAlignment="1">
      <alignment horizontal="left" vertical="center" wrapText="1" indent="1"/>
    </xf>
    <xf numFmtId="0" fontId="5" fillId="14" borderId="97" xfId="0" applyFont="1" applyFill="1" applyBorder="1" applyAlignment="1">
      <alignment horizontal="left" vertical="center" wrapText="1" indent="1"/>
    </xf>
    <xf numFmtId="0" fontId="5" fillId="14" borderId="99"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5" borderId="28" xfId="0" applyFont="1" applyFill="1" applyBorder="1" applyAlignment="1">
      <alignment horizontal="left" vertical="center" wrapText="1" indent="1"/>
    </xf>
    <xf numFmtId="0" fontId="5" fillId="9" borderId="4"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1" xfId="0" applyFont="1" applyFill="1" applyBorder="1" applyAlignment="1">
      <alignment horizontal="left" vertical="center" indent="1"/>
    </xf>
    <xf numFmtId="9" fontId="5" fillId="9" borderId="5" xfId="0" applyNumberFormat="1" applyFont="1" applyFill="1" applyBorder="1" applyAlignment="1">
      <alignment horizontal="center" vertical="center"/>
    </xf>
    <xf numFmtId="0" fontId="5" fillId="9" borderId="5" xfId="0" applyFont="1" applyFill="1" applyBorder="1" applyAlignment="1">
      <alignment horizontal="center" vertical="center"/>
    </xf>
    <xf numFmtId="0" fontId="5" fillId="9" borderId="1" xfId="0" applyFont="1" applyFill="1" applyBorder="1" applyAlignment="1">
      <alignment horizontal="center" vertical="center"/>
    </xf>
    <xf numFmtId="9" fontId="5" fillId="15" borderId="33" xfId="1" applyFont="1" applyFill="1" applyBorder="1" applyAlignment="1">
      <alignment horizontal="center" vertical="center"/>
    </xf>
    <xf numFmtId="9" fontId="5" fillId="15" borderId="35" xfId="1" applyFont="1" applyFill="1" applyBorder="1" applyAlignment="1">
      <alignment horizontal="center" vertical="center"/>
    </xf>
    <xf numFmtId="9" fontId="5" fillId="14" borderId="40" xfId="1" applyFont="1" applyFill="1" applyBorder="1" applyAlignment="1">
      <alignment horizontal="center" vertical="center"/>
    </xf>
    <xf numFmtId="9" fontId="5" fillId="14" borderId="41" xfId="1" applyFont="1" applyFill="1" applyBorder="1" applyAlignment="1">
      <alignment horizontal="center" vertical="center"/>
    </xf>
    <xf numFmtId="0" fontId="5" fillId="14" borderId="69" xfId="0" applyFont="1" applyFill="1" applyBorder="1" applyAlignment="1">
      <alignment horizontal="center" vertical="center" wrapText="1"/>
    </xf>
    <xf numFmtId="0" fontId="4" fillId="5" borderId="13" xfId="0" applyFont="1" applyFill="1" applyBorder="1" applyAlignment="1">
      <alignment horizontal="center" vertical="center" wrapText="1"/>
    </xf>
    <xf numFmtId="9" fontId="5" fillId="30" borderId="40" xfId="1" applyFont="1" applyFill="1" applyBorder="1" applyAlignment="1">
      <alignment horizontal="center" vertical="center"/>
    </xf>
    <xf numFmtId="9" fontId="5" fillId="30" borderId="41" xfId="1" applyFont="1" applyFill="1" applyBorder="1" applyAlignment="1">
      <alignment horizontal="center" vertical="center"/>
    </xf>
    <xf numFmtId="9" fontId="5" fillId="30" borderId="42" xfId="1" applyFont="1" applyFill="1" applyBorder="1" applyAlignment="1">
      <alignment horizontal="center" vertical="center"/>
    </xf>
    <xf numFmtId="0" fontId="5" fillId="30" borderId="68" xfId="0" applyFont="1" applyFill="1" applyBorder="1" applyAlignment="1">
      <alignment horizontal="center" vertical="center" wrapText="1"/>
    </xf>
    <xf numFmtId="0" fontId="5" fillId="30" borderId="69" xfId="0" applyFont="1" applyFill="1" applyBorder="1" applyAlignment="1">
      <alignment horizontal="center" vertical="center" wrapTex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14" borderId="38"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39" xfId="0" applyFont="1" applyFill="1" applyBorder="1" applyAlignment="1">
      <alignment horizontal="left" vertical="center" wrapText="1" indent="1"/>
    </xf>
    <xf numFmtId="9" fontId="5" fillId="15" borderId="62" xfId="1" applyNumberFormat="1" applyFont="1" applyFill="1" applyBorder="1" applyAlignment="1">
      <alignment horizontal="center" vertical="center"/>
    </xf>
    <xf numFmtId="9" fontId="5" fillId="15" borderId="100" xfId="1" applyNumberFormat="1" applyFont="1" applyFill="1" applyBorder="1" applyAlignment="1">
      <alignment horizontal="center" vertical="center"/>
    </xf>
    <xf numFmtId="9" fontId="5" fillId="31" borderId="62" xfId="1" applyFont="1" applyFill="1" applyBorder="1" applyAlignment="1">
      <alignment horizontal="center" vertical="center"/>
    </xf>
    <xf numFmtId="9" fontId="5" fillId="31" borderId="100" xfId="1" applyFont="1" applyFill="1" applyBorder="1" applyAlignment="1">
      <alignment horizontal="center" vertical="center"/>
    </xf>
    <xf numFmtId="9" fontId="5" fillId="31" borderId="64" xfId="1" applyFont="1" applyFill="1" applyBorder="1" applyAlignment="1">
      <alignment horizontal="center" vertical="center"/>
    </xf>
    <xf numFmtId="0" fontId="5" fillId="31" borderId="38" xfId="0" applyFont="1" applyFill="1" applyBorder="1" applyAlignment="1">
      <alignment horizontal="left" vertical="center" wrapText="1" indent="1"/>
    </xf>
    <xf numFmtId="0" fontId="5" fillId="31" borderId="39" xfId="0" applyFont="1" applyFill="1" applyBorder="1" applyAlignment="1">
      <alignment horizontal="left" vertical="center" wrapText="1" indent="1"/>
    </xf>
    <xf numFmtId="9" fontId="5" fillId="14" borderId="62" xfId="1" applyFont="1" applyFill="1" applyBorder="1" applyAlignment="1">
      <alignment horizontal="center" vertical="center" wrapText="1"/>
    </xf>
    <xf numFmtId="9" fontId="5" fillId="14" borderId="64" xfId="1" applyFont="1" applyFill="1" applyBorder="1" applyAlignment="1">
      <alignment horizontal="center" vertical="center" wrapText="1"/>
    </xf>
    <xf numFmtId="9" fontId="5" fillId="14" borderId="100" xfId="1" applyFont="1" applyFill="1" applyBorder="1" applyAlignment="1">
      <alignment horizontal="center" vertical="center" wrapText="1"/>
    </xf>
    <xf numFmtId="0" fontId="5" fillId="14" borderId="68" xfId="0" applyFont="1" applyFill="1" applyBorder="1" applyAlignment="1">
      <alignment horizontal="center" vertical="center" wrapText="1"/>
    </xf>
    <xf numFmtId="0" fontId="4" fillId="5" borderId="43"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9" fontId="23" fillId="5" borderId="40" xfId="1" applyFont="1" applyFill="1" applyBorder="1" applyAlignment="1">
      <alignment horizontal="center" vertical="center"/>
    </xf>
    <xf numFmtId="9" fontId="23" fillId="5" borderId="41" xfId="1" applyFont="1" applyFill="1" applyBorder="1" applyAlignment="1">
      <alignment horizontal="center" vertical="center"/>
    </xf>
    <xf numFmtId="9" fontId="23" fillId="5" borderId="42" xfId="1" applyFont="1" applyFill="1" applyBorder="1" applyAlignment="1">
      <alignment horizontal="center" vertical="center"/>
    </xf>
    <xf numFmtId="0" fontId="4" fillId="5" borderId="0" xfId="0" applyFont="1" applyFill="1" applyBorder="1" applyAlignment="1">
      <alignment horizontal="center" vertical="center" wrapText="1"/>
    </xf>
    <xf numFmtId="9" fontId="5" fillId="15" borderId="62" xfId="1" applyFont="1" applyFill="1" applyBorder="1" applyAlignment="1">
      <alignment horizontal="center" vertical="center" wrapText="1"/>
    </xf>
    <xf numFmtId="9" fontId="5" fillId="15" borderId="64" xfId="1" applyFont="1" applyFill="1" applyBorder="1" applyAlignment="1">
      <alignment horizontal="center" vertical="center" wrapText="1"/>
    </xf>
    <xf numFmtId="9" fontId="5" fillId="15" borderId="100" xfId="1" applyFont="1" applyFill="1" applyBorder="1" applyAlignment="1">
      <alignment horizontal="center" vertical="center" wrapText="1"/>
    </xf>
    <xf numFmtId="0" fontId="5" fillId="30" borderId="38"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30" borderId="39"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9" fontId="5" fillId="30" borderId="62" xfId="1" applyFont="1" applyFill="1" applyBorder="1" applyAlignment="1">
      <alignment horizontal="center" vertical="center" wrapText="1"/>
    </xf>
    <xf numFmtId="9" fontId="5" fillId="30" borderId="64" xfId="1" applyFont="1" applyFill="1" applyBorder="1" applyAlignment="1">
      <alignment horizontal="center" vertical="center" wrapText="1"/>
    </xf>
    <xf numFmtId="9" fontId="5" fillId="30" borderId="100" xfId="1" applyFont="1" applyFill="1" applyBorder="1" applyAlignment="1">
      <alignment horizontal="center" vertical="center" wrapText="1"/>
    </xf>
    <xf numFmtId="0" fontId="5" fillId="15" borderId="7" xfId="0" applyFont="1" applyFill="1" applyBorder="1" applyAlignment="1">
      <alignment horizontal="left" vertical="center" wrapText="1" indent="1"/>
    </xf>
    <xf numFmtId="0" fontId="5" fillId="15" borderId="39" xfId="0" applyFont="1" applyFill="1" applyBorder="1" applyAlignment="1">
      <alignment horizontal="left" vertical="center" wrapText="1" indent="1"/>
    </xf>
    <xf numFmtId="9" fontId="4" fillId="5" borderId="40" xfId="1" applyFont="1" applyFill="1" applyBorder="1" applyAlignment="1">
      <alignment horizontal="center" vertical="center"/>
    </xf>
    <xf numFmtId="9" fontId="4" fillId="5" borderId="41" xfId="1" applyFont="1" applyFill="1" applyBorder="1" applyAlignment="1">
      <alignment horizontal="center" vertical="center"/>
    </xf>
    <xf numFmtId="9" fontId="4" fillId="5" borderId="42" xfId="1" applyFont="1" applyFill="1" applyBorder="1" applyAlignment="1">
      <alignment horizontal="center" vertical="center"/>
    </xf>
    <xf numFmtId="0" fontId="24" fillId="14" borderId="68" xfId="0" applyFont="1" applyFill="1" applyBorder="1" applyAlignment="1">
      <alignment horizontal="center" vertical="center" wrapText="1"/>
    </xf>
    <xf numFmtId="0" fontId="24" fillId="14" borderId="69" xfId="0" applyFont="1" applyFill="1" applyBorder="1" applyAlignment="1">
      <alignment horizontal="center" vertical="center" wrapText="1"/>
    </xf>
    <xf numFmtId="9" fontId="5" fillId="14" borderId="64" xfId="1" applyFont="1" applyFill="1" applyBorder="1" applyAlignment="1">
      <alignment horizontal="center" vertical="center"/>
    </xf>
    <xf numFmtId="9" fontId="5" fillId="14" borderId="100" xfId="1" applyFont="1" applyFill="1" applyBorder="1" applyAlignment="1">
      <alignment horizontal="center" vertical="center"/>
    </xf>
    <xf numFmtId="9" fontId="5" fillId="30" borderId="62" xfId="1" applyFont="1" applyFill="1" applyBorder="1" applyAlignment="1">
      <alignment horizontal="center" vertical="center"/>
    </xf>
    <xf numFmtId="9" fontId="5" fillId="30" borderId="64" xfId="1" applyFont="1" applyFill="1" applyBorder="1" applyAlignment="1">
      <alignment horizontal="center" vertical="center"/>
    </xf>
    <xf numFmtId="0" fontId="24" fillId="30" borderId="70" xfId="0" applyFont="1" applyFill="1" applyBorder="1" applyAlignment="1">
      <alignment horizontal="center" vertical="center" wrapText="1"/>
    </xf>
    <xf numFmtId="0" fontId="24" fillId="30" borderId="57" xfId="0" applyFont="1" applyFill="1" applyBorder="1" applyAlignment="1">
      <alignment horizontal="center" vertical="center" wrapText="1"/>
    </xf>
    <xf numFmtId="9" fontId="5" fillId="14" borderId="62" xfId="1" applyNumberFormat="1" applyFont="1" applyFill="1" applyBorder="1" applyAlignment="1">
      <alignment horizontal="center" vertical="center"/>
    </xf>
    <xf numFmtId="9" fontId="5" fillId="14" borderId="64" xfId="1" applyNumberFormat="1" applyFont="1" applyFill="1" applyBorder="1" applyAlignment="1">
      <alignment horizontal="center" vertical="center"/>
    </xf>
    <xf numFmtId="9" fontId="5" fillId="14" borderId="100" xfId="1" applyNumberFormat="1" applyFont="1" applyFill="1" applyBorder="1" applyAlignment="1">
      <alignment horizontal="center" vertical="center"/>
    </xf>
    <xf numFmtId="166" fontId="5" fillId="30" borderId="62" xfId="1" applyNumberFormat="1" applyFont="1" applyFill="1" applyBorder="1" applyAlignment="1">
      <alignment horizontal="center" vertical="center"/>
    </xf>
    <xf numFmtId="166" fontId="5" fillId="30" borderId="64" xfId="1" applyNumberFormat="1" applyFont="1" applyFill="1" applyBorder="1" applyAlignment="1">
      <alignment horizontal="center" vertical="center"/>
    </xf>
    <xf numFmtId="166" fontId="5" fillId="30" borderId="100" xfId="1" applyNumberFormat="1" applyFont="1" applyFill="1" applyBorder="1" applyAlignment="1">
      <alignment horizontal="center" vertical="center"/>
    </xf>
    <xf numFmtId="0" fontId="24" fillId="30" borderId="68" xfId="0" applyFont="1" applyFill="1" applyBorder="1" applyAlignment="1">
      <alignment horizontal="center" vertical="center" wrapText="1"/>
    </xf>
    <xf numFmtId="0" fontId="24" fillId="30" borderId="69"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1" xfId="0" applyFont="1" applyFill="1" applyBorder="1" applyAlignment="1">
      <alignment horizontal="center" vertical="center" wrapText="1"/>
    </xf>
    <xf numFmtId="166" fontId="5" fillId="14" borderId="62" xfId="1" applyNumberFormat="1" applyFont="1" applyFill="1" applyBorder="1" applyAlignment="1">
      <alignment horizontal="center" vertical="center"/>
    </xf>
    <xf numFmtId="166" fontId="5" fillId="14" borderId="64" xfId="1" applyNumberFormat="1" applyFont="1" applyFill="1" applyBorder="1" applyAlignment="1">
      <alignment horizontal="center" vertical="center"/>
    </xf>
    <xf numFmtId="166" fontId="5" fillId="14" borderId="100" xfId="1" applyNumberFormat="1" applyFont="1" applyFill="1" applyBorder="1" applyAlignment="1">
      <alignment horizontal="center" vertical="center"/>
    </xf>
    <xf numFmtId="9" fontId="5" fillId="31" borderId="40" xfId="1" applyFont="1" applyFill="1" applyBorder="1" applyAlignment="1">
      <alignment horizontal="center" vertical="center"/>
    </xf>
    <xf numFmtId="9" fontId="5" fillId="31" borderId="42" xfId="1" applyFont="1" applyFill="1" applyBorder="1" applyAlignment="1">
      <alignment horizontal="center" vertical="center"/>
    </xf>
    <xf numFmtId="9" fontId="5" fillId="15" borderId="41" xfId="1" applyFont="1" applyFill="1" applyBorder="1" applyAlignment="1">
      <alignment horizontal="center" vertical="center"/>
    </xf>
    <xf numFmtId="9" fontId="5" fillId="31" borderId="41" xfId="1" applyFont="1" applyFill="1" applyBorder="1" applyAlignment="1">
      <alignment horizontal="center" vertical="center"/>
    </xf>
    <xf numFmtId="166" fontId="5" fillId="15" borderId="62" xfId="1" applyNumberFormat="1" applyFont="1" applyFill="1" applyBorder="1" applyAlignment="1">
      <alignment horizontal="center" vertical="center"/>
    </xf>
    <xf numFmtId="166" fontId="5" fillId="15" borderId="64" xfId="1" applyNumberFormat="1" applyFont="1" applyFill="1" applyBorder="1" applyAlignment="1">
      <alignment horizontal="center" vertical="center"/>
    </xf>
    <xf numFmtId="166" fontId="5" fillId="15" borderId="100" xfId="1" applyNumberFormat="1" applyFont="1" applyFill="1" applyBorder="1" applyAlignment="1">
      <alignment horizontal="center" vertical="center"/>
    </xf>
    <xf numFmtId="166" fontId="5" fillId="31" borderId="57" xfId="1" applyNumberFormat="1" applyFont="1" applyFill="1" applyBorder="1" applyAlignment="1">
      <alignment horizontal="center" vertical="center"/>
    </xf>
    <xf numFmtId="166" fontId="5" fillId="31" borderId="0" xfId="1" applyNumberFormat="1" applyFont="1" applyFill="1" applyBorder="1" applyAlignment="1">
      <alignment horizontal="center" vertical="center"/>
    </xf>
    <xf numFmtId="166" fontId="5" fillId="31" borderId="67" xfId="1" applyNumberFormat="1" applyFont="1" applyFill="1" applyBorder="1" applyAlignment="1">
      <alignment horizontal="center" vertical="center"/>
    </xf>
    <xf numFmtId="9" fontId="4" fillId="5" borderId="79" xfId="1" applyFont="1" applyFill="1" applyBorder="1" applyAlignment="1">
      <alignment horizontal="center" vertical="center"/>
    </xf>
    <xf numFmtId="9" fontId="4" fillId="5" borderId="80" xfId="1" applyFont="1" applyFill="1" applyBorder="1" applyAlignment="1">
      <alignment horizontal="center" vertical="center"/>
    </xf>
    <xf numFmtId="166" fontId="5" fillId="30" borderId="67" xfId="1" applyNumberFormat="1" applyFont="1" applyFill="1" applyBorder="1" applyAlignment="1">
      <alignment horizontal="center" vertical="center"/>
    </xf>
    <xf numFmtId="9" fontId="5" fillId="15" borderId="57" xfId="1" applyNumberFormat="1" applyFont="1" applyFill="1" applyBorder="1" applyAlignment="1">
      <alignment horizontal="center" vertical="center"/>
    </xf>
    <xf numFmtId="9" fontId="5" fillId="15" borderId="0" xfId="1" applyNumberFormat="1" applyFont="1" applyFill="1" applyBorder="1" applyAlignment="1">
      <alignment horizontal="center" vertical="center"/>
    </xf>
    <xf numFmtId="9" fontId="5" fillId="15" borderId="67" xfId="1" applyNumberFormat="1" applyFont="1" applyFill="1" applyBorder="1" applyAlignment="1">
      <alignment horizontal="center" vertical="center"/>
    </xf>
    <xf numFmtId="9" fontId="11" fillId="30" borderId="40" xfId="1" applyFont="1" applyFill="1" applyBorder="1" applyAlignment="1">
      <alignment horizontal="center" vertical="center" wrapText="1"/>
    </xf>
    <xf numFmtId="9" fontId="11" fillId="30" borderId="41" xfId="1" applyFont="1" applyFill="1" applyBorder="1" applyAlignment="1">
      <alignment horizontal="center" vertical="center" wrapText="1"/>
    </xf>
    <xf numFmtId="9" fontId="11" fillId="30" borderId="42" xfId="1" applyFont="1" applyFill="1" applyBorder="1" applyAlignment="1">
      <alignment horizontal="center" vertical="center" wrapText="1"/>
    </xf>
    <xf numFmtId="9" fontId="11" fillId="14" borderId="40" xfId="1" applyFont="1" applyFill="1" applyBorder="1" applyAlignment="1">
      <alignment horizontal="center" vertical="center" wrapText="1"/>
    </xf>
    <xf numFmtId="9" fontId="11" fillId="14" borderId="41" xfId="1" applyFont="1" applyFill="1" applyBorder="1" applyAlignment="1">
      <alignment horizontal="center" vertical="center" wrapText="1"/>
    </xf>
    <xf numFmtId="0" fontId="24" fillId="14" borderId="70" xfId="0" applyFont="1" applyFill="1" applyBorder="1" applyAlignment="1">
      <alignment horizontal="center" vertical="center" wrapText="1"/>
    </xf>
    <xf numFmtId="0" fontId="24" fillId="14" borderId="57" xfId="0" applyFont="1" applyFill="1" applyBorder="1" applyAlignment="1">
      <alignment horizontal="center" vertical="center" wrapText="1"/>
    </xf>
    <xf numFmtId="166" fontId="11" fillId="14" borderId="58" xfId="1" applyNumberFormat="1" applyFont="1" applyFill="1" applyBorder="1" applyAlignment="1">
      <alignment horizontal="center" vertical="center" wrapText="1"/>
    </xf>
    <xf numFmtId="166" fontId="11" fillId="14" borderId="86" xfId="1" applyNumberFormat="1" applyFont="1" applyFill="1" applyBorder="1" applyAlignment="1">
      <alignment horizontal="center" vertical="center" wrapText="1"/>
    </xf>
    <xf numFmtId="166" fontId="11" fillId="30" borderId="41" xfId="1" applyNumberFormat="1" applyFont="1" applyFill="1" applyBorder="1" applyAlignment="1">
      <alignment horizontal="center" vertical="center" wrapText="1"/>
    </xf>
    <xf numFmtId="166" fontId="11" fillId="30" borderId="42" xfId="1" applyNumberFormat="1" applyFont="1" applyFill="1" applyBorder="1" applyAlignment="1">
      <alignment horizontal="center" vertical="center" wrapText="1"/>
    </xf>
    <xf numFmtId="9" fontId="11" fillId="14" borderId="42" xfId="1" applyFont="1" applyFill="1" applyBorder="1" applyAlignment="1">
      <alignment horizontal="center" vertical="center" wrapText="1"/>
    </xf>
    <xf numFmtId="0" fontId="5" fillId="14" borderId="9"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24" fillId="9" borderId="68" xfId="0" applyFont="1" applyFill="1" applyBorder="1" applyAlignment="1">
      <alignment horizontal="center" vertical="center" wrapText="1"/>
    </xf>
    <xf numFmtId="0" fontId="24" fillId="9" borderId="69" xfId="0" applyFont="1" applyFill="1" applyBorder="1" applyAlignment="1">
      <alignment horizontal="center" vertical="center" wrapText="1"/>
    </xf>
    <xf numFmtId="0" fontId="24" fillId="9" borderId="111" xfId="0" applyFont="1" applyFill="1" applyBorder="1" applyAlignment="1">
      <alignment horizontal="center" vertical="center" wrapText="1"/>
    </xf>
    <xf numFmtId="0" fontId="11" fillId="9" borderId="1" xfId="0" applyFont="1" applyFill="1" applyBorder="1" applyAlignment="1">
      <alignment horizontal="left" vertical="center" wrapText="1" indent="1"/>
    </xf>
    <xf numFmtId="9" fontId="11" fillId="9" borderId="2" xfId="0" applyNumberFormat="1" applyFont="1" applyFill="1" applyBorder="1" applyAlignment="1">
      <alignment horizontal="center" vertical="center" wrapText="1"/>
    </xf>
    <xf numFmtId="9" fontId="11" fillId="9" borderId="3"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9" fontId="11" fillId="15" borderId="40" xfId="1" applyFont="1" applyFill="1" applyBorder="1" applyAlignment="1">
      <alignment horizontal="center" vertical="center" wrapText="1"/>
    </xf>
    <xf numFmtId="9" fontId="11" fillId="15" borderId="42" xfId="1" applyFont="1" applyFill="1" applyBorder="1" applyAlignment="1">
      <alignment horizontal="center" vertical="center" wrapText="1"/>
    </xf>
    <xf numFmtId="9" fontId="11" fillId="31" borderId="40" xfId="1" applyFont="1" applyFill="1" applyBorder="1" applyAlignment="1">
      <alignment horizontal="center" vertical="center" wrapText="1"/>
    </xf>
    <xf numFmtId="9" fontId="11" fillId="31" borderId="42" xfId="1" applyFont="1" applyFill="1" applyBorder="1" applyAlignment="1">
      <alignment horizontal="center" vertical="center" wrapText="1"/>
    </xf>
    <xf numFmtId="9" fontId="11" fillId="15" borderId="41" xfId="1" applyFont="1" applyFill="1" applyBorder="1" applyAlignment="1">
      <alignment horizontal="center" vertical="center" wrapText="1"/>
    </xf>
    <xf numFmtId="0" fontId="5" fillId="31" borderId="10" xfId="0" applyFont="1" applyFill="1" applyBorder="1" applyAlignment="1">
      <alignment horizontal="left" vertical="center" wrapText="1" indent="1"/>
    </xf>
    <xf numFmtId="0" fontId="24" fillId="9" borderId="95" xfId="0" applyFont="1" applyFill="1" applyBorder="1" applyAlignment="1">
      <alignment horizontal="center" vertical="center"/>
    </xf>
    <xf numFmtId="0" fontId="24" fillId="9" borderId="63" xfId="0" applyFont="1" applyFill="1" applyBorder="1" applyAlignment="1">
      <alignment horizontal="center" vertical="center"/>
    </xf>
    <xf numFmtId="0" fontId="24" fillId="9" borderId="90" xfId="0" applyFont="1" applyFill="1" applyBorder="1" applyAlignment="1">
      <alignment horizontal="center" vertical="center"/>
    </xf>
    <xf numFmtId="0" fontId="4" fillId="5" borderId="3"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9" fontId="23" fillId="5" borderId="40" xfId="1" applyNumberFormat="1" applyFont="1" applyFill="1" applyBorder="1" applyAlignment="1">
      <alignment horizontal="center" vertical="center"/>
    </xf>
    <xf numFmtId="9" fontId="23" fillId="5" borderId="41" xfId="1" applyNumberFormat="1" applyFont="1" applyFill="1" applyBorder="1" applyAlignment="1">
      <alignment horizontal="center" vertical="center"/>
    </xf>
    <xf numFmtId="9" fontId="23" fillId="5" borderId="42" xfId="1" applyNumberFormat="1" applyFont="1" applyFill="1" applyBorder="1" applyAlignment="1">
      <alignment horizontal="center" vertical="center"/>
    </xf>
    <xf numFmtId="9" fontId="23" fillId="5" borderId="79" xfId="1" applyFont="1" applyFill="1" applyBorder="1" applyAlignment="1">
      <alignment horizontal="center" vertical="center" wrapText="1"/>
    </xf>
    <xf numFmtId="9" fontId="23" fillId="5" borderId="80" xfId="1" applyFont="1" applyFill="1" applyBorder="1" applyAlignment="1">
      <alignment horizontal="center" vertical="center" wrapText="1"/>
    </xf>
    <xf numFmtId="0" fontId="4" fillId="5" borderId="65" xfId="0" applyFont="1" applyFill="1" applyBorder="1" applyAlignment="1" applyProtection="1">
      <alignment horizontal="center" vertical="center" wrapText="1"/>
      <protection locked="0"/>
    </xf>
    <xf numFmtId="0" fontId="4" fillId="5" borderId="21" xfId="0" applyFont="1" applyFill="1" applyBorder="1" applyAlignment="1" applyProtection="1">
      <alignment horizontal="center" vertical="center" wrapText="1"/>
      <protection locked="0"/>
    </xf>
    <xf numFmtId="0" fontId="4" fillId="5" borderId="66" xfId="0" applyFont="1" applyFill="1" applyBorder="1" applyAlignment="1" applyProtection="1">
      <alignment horizontal="center" vertical="center" wrapText="1"/>
      <protection locked="0"/>
    </xf>
    <xf numFmtId="9" fontId="23" fillId="5" borderId="91" xfId="1" applyFont="1" applyFill="1" applyBorder="1" applyAlignment="1">
      <alignment horizontal="center" vertical="center"/>
    </xf>
    <xf numFmtId="0" fontId="5" fillId="15" borderId="77" xfId="0" applyFont="1" applyFill="1" applyBorder="1" applyAlignment="1">
      <alignment horizontal="left" vertical="center" wrapText="1" indent="1"/>
    </xf>
    <xf numFmtId="0" fontId="5" fillId="15" borderId="61" xfId="0" applyFont="1" applyFill="1" applyBorder="1" applyAlignment="1">
      <alignment horizontal="left" vertical="center" wrapText="1" indent="1"/>
    </xf>
    <xf numFmtId="0" fontId="5" fillId="15" borderId="78" xfId="0" applyFont="1" applyFill="1" applyBorder="1" applyAlignment="1">
      <alignment horizontal="left" vertical="center" wrapText="1" indent="1"/>
    </xf>
    <xf numFmtId="0" fontId="24" fillId="9" borderId="3"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6" fillId="0" borderId="8" xfId="0" applyFont="1" applyBorder="1" applyAlignment="1">
      <alignment horizontal="justify" vertical="center"/>
    </xf>
    <xf numFmtId="0" fontId="6" fillId="0" borderId="14" xfId="0" applyFont="1" applyBorder="1" applyAlignment="1">
      <alignment horizontal="justify" vertical="center"/>
    </xf>
    <xf numFmtId="0" fontId="6" fillId="0" borderId="9" xfId="0" applyFont="1" applyBorder="1" applyAlignment="1">
      <alignment horizontal="justify" vertical="center"/>
    </xf>
    <xf numFmtId="0" fontId="6" fillId="0" borderId="13" xfId="0" applyFont="1" applyBorder="1" applyAlignment="1">
      <alignment horizontal="justify" vertical="center"/>
    </xf>
    <xf numFmtId="0" fontId="6" fillId="0" borderId="0" xfId="0" applyFont="1" applyBorder="1" applyAlignment="1">
      <alignment horizontal="justify" vertical="center"/>
    </xf>
    <xf numFmtId="0" fontId="6" fillId="0" borderId="12" xfId="0" applyFont="1" applyBorder="1" applyAlignment="1">
      <alignment horizontal="justify" vertical="center"/>
    </xf>
    <xf numFmtId="0" fontId="12" fillId="0" borderId="13" xfId="3" applyFont="1" applyBorder="1" applyAlignment="1" applyProtection="1">
      <alignment horizontal="justify" vertical="top"/>
    </xf>
    <xf numFmtId="0" fontId="12" fillId="0" borderId="0" xfId="3" applyFont="1" applyBorder="1" applyAlignment="1" applyProtection="1">
      <alignment horizontal="justify" vertical="top"/>
    </xf>
    <xf numFmtId="0" fontId="12" fillId="0" borderId="12" xfId="3" applyFont="1" applyBorder="1" applyAlignment="1" applyProtection="1">
      <alignment horizontal="justify" vertical="top"/>
    </xf>
    <xf numFmtId="0" fontId="11" fillId="5" borderId="1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14" borderId="134" xfId="0" applyFont="1" applyFill="1" applyBorder="1" applyAlignment="1">
      <alignment horizontal="center" vertical="center" wrapText="1"/>
    </xf>
    <xf numFmtId="0" fontId="5" fillId="14" borderId="135" xfId="0" applyFont="1" applyFill="1" applyBorder="1" applyAlignment="1">
      <alignment horizontal="center" vertical="center" wrapText="1"/>
    </xf>
    <xf numFmtId="0" fontId="5" fillId="14" borderId="54" xfId="0" applyFont="1" applyFill="1" applyBorder="1" applyAlignment="1">
      <alignment horizontal="center" vertical="center" wrapText="1"/>
    </xf>
    <xf numFmtId="0" fontId="5" fillId="14" borderId="136"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58" xfId="0" applyFont="1" applyFill="1" applyBorder="1" applyAlignment="1">
      <alignment horizontal="center" vertical="center"/>
    </xf>
    <xf numFmtId="0" fontId="4" fillId="5" borderId="49" xfId="0" applyFont="1" applyFill="1" applyBorder="1" applyAlignment="1">
      <alignment horizontal="center" vertical="center"/>
    </xf>
    <xf numFmtId="0" fontId="5" fillId="31" borderId="23" xfId="0" applyFont="1" applyFill="1" applyBorder="1" applyAlignment="1">
      <alignment horizontal="left" vertical="center" wrapText="1" indent="1"/>
    </xf>
    <xf numFmtId="0" fontId="5" fillId="31" borderId="26" xfId="0" applyFont="1" applyFill="1" applyBorder="1" applyAlignment="1">
      <alignment horizontal="left" vertical="center" wrapText="1" indent="1"/>
    </xf>
    <xf numFmtId="0" fontId="5" fillId="31" borderId="28" xfId="0" applyFont="1" applyFill="1" applyBorder="1" applyAlignment="1">
      <alignment horizontal="left" vertical="center" wrapText="1" indent="1"/>
    </xf>
    <xf numFmtId="0" fontId="5" fillId="5" borderId="81" xfId="0" applyFont="1" applyFill="1" applyBorder="1" applyAlignment="1">
      <alignment horizontal="left" vertical="center" indent="1"/>
    </xf>
    <xf numFmtId="0" fontId="5" fillId="5" borderId="85" xfId="0" applyFont="1" applyFill="1" applyBorder="1" applyAlignment="1">
      <alignment horizontal="left" vertical="center" indent="1"/>
    </xf>
    <xf numFmtId="0" fontId="5" fillId="5" borderId="82" xfId="0" applyFont="1" applyFill="1" applyBorder="1" applyAlignment="1">
      <alignment horizontal="left" vertical="center" indent="1"/>
    </xf>
    <xf numFmtId="0" fontId="5" fillId="31" borderId="7" xfId="0" applyFont="1" applyFill="1" applyBorder="1" applyAlignment="1">
      <alignment horizontal="left" vertical="center" wrapText="1" indent="1"/>
    </xf>
    <xf numFmtId="0" fontId="5" fillId="5" borderId="40" xfId="0" applyFont="1" applyFill="1" applyBorder="1" applyAlignment="1">
      <alignment horizontal="left" vertical="center" indent="1"/>
    </xf>
    <xf numFmtId="0" fontId="5" fillId="5" borderId="41" xfId="0" applyFont="1" applyFill="1" applyBorder="1" applyAlignment="1">
      <alignment horizontal="left" vertical="center" indent="1"/>
    </xf>
    <xf numFmtId="0" fontId="5" fillId="15" borderId="9" xfId="0" applyFont="1" applyFill="1" applyBorder="1" applyAlignment="1">
      <alignment horizontal="left" vertical="center" wrapText="1" indent="1"/>
    </xf>
    <xf numFmtId="0" fontId="4" fillId="0" borderId="23" xfId="0" applyFont="1" applyBorder="1" applyAlignment="1">
      <alignment horizontal="left" vertical="top" wrapText="1" indent="1"/>
    </xf>
    <xf numFmtId="0" fontId="4" fillId="0" borderId="26" xfId="0" applyFont="1" applyBorder="1" applyAlignment="1">
      <alignment horizontal="left" vertical="top" wrapText="1" indent="1"/>
    </xf>
    <xf numFmtId="0" fontId="4" fillId="0" borderId="28" xfId="0" applyFont="1" applyBorder="1" applyAlignment="1">
      <alignment horizontal="left" vertical="top" wrapText="1" indent="1"/>
    </xf>
    <xf numFmtId="0" fontId="4" fillId="0" borderId="24" xfId="0" applyFont="1" applyFill="1" applyBorder="1" applyAlignment="1">
      <alignment horizontal="center" vertical="center" wrapText="1"/>
    </xf>
    <xf numFmtId="0" fontId="4" fillId="0" borderId="29" xfId="0" applyFont="1" applyFill="1" applyBorder="1" applyAlignment="1">
      <alignment horizontal="center" vertical="center" wrapText="1"/>
    </xf>
    <xf numFmtId="9" fontId="4" fillId="0" borderId="45" xfId="1" applyFont="1" applyBorder="1" applyAlignment="1">
      <alignment horizontal="center" vertical="center"/>
    </xf>
    <xf numFmtId="0" fontId="4" fillId="14" borderId="46" xfId="0" applyFont="1" applyFill="1" applyBorder="1" applyAlignment="1">
      <alignment horizontal="left" vertical="center" wrapText="1" indent="1"/>
    </xf>
    <xf numFmtId="10" fontId="4" fillId="9" borderId="5" xfId="0" applyNumberFormat="1" applyFont="1" applyFill="1" applyBorder="1" applyAlignment="1">
      <alignment horizontal="center" vertical="center"/>
    </xf>
    <xf numFmtId="10" fontId="4" fillId="9" borderId="1" xfId="0" applyNumberFormat="1" applyFont="1" applyFill="1" applyBorder="1" applyAlignment="1">
      <alignment horizontal="center" vertical="center"/>
    </xf>
    <xf numFmtId="0" fontId="4" fillId="15" borderId="40" xfId="0" applyFont="1" applyFill="1" applyBorder="1" applyAlignment="1">
      <alignment horizontal="left" vertical="center" wrapText="1" indent="1"/>
    </xf>
    <xf numFmtId="0" fontId="4" fillId="15" borderId="42" xfId="0" applyFont="1" applyFill="1" applyBorder="1" applyAlignment="1">
      <alignment horizontal="left" vertical="center" wrapText="1" indent="1"/>
    </xf>
    <xf numFmtId="0" fontId="0" fillId="9" borderId="4" xfId="0" applyFont="1" applyFill="1" applyBorder="1" applyAlignment="1">
      <alignment horizontal="center"/>
    </xf>
    <xf numFmtId="9" fontId="4" fillId="0" borderId="71" xfId="1" applyFont="1" applyBorder="1" applyAlignment="1">
      <alignment horizontal="center" vertical="center"/>
    </xf>
    <xf numFmtId="9" fontId="4" fillId="0" borderId="72" xfId="1" applyFont="1" applyBorder="1" applyAlignment="1">
      <alignment horizontal="center" vertical="center"/>
    </xf>
    <xf numFmtId="9" fontId="4" fillId="0" borderId="74" xfId="1" applyFont="1" applyBorder="1" applyAlignment="1">
      <alignment horizontal="center" vertical="center"/>
    </xf>
    <xf numFmtId="0" fontId="4" fillId="32" borderId="23" xfId="0" applyFont="1" applyFill="1" applyBorder="1" applyAlignment="1">
      <alignment horizontal="left" vertical="center" wrapText="1" indent="1"/>
    </xf>
    <xf numFmtId="0" fontId="4" fillId="32" borderId="26" xfId="0" applyFont="1" applyFill="1" applyBorder="1" applyAlignment="1">
      <alignment horizontal="left" vertical="center" wrapText="1" indent="1"/>
    </xf>
    <xf numFmtId="0" fontId="4" fillId="32" borderId="28" xfId="0" applyFont="1" applyFill="1" applyBorder="1" applyAlignment="1">
      <alignment horizontal="left" vertical="center" wrapText="1" indent="1"/>
    </xf>
    <xf numFmtId="9" fontId="4" fillId="0" borderId="60" xfId="1" applyFont="1" applyBorder="1" applyAlignment="1">
      <alignment horizontal="center" vertical="center"/>
    </xf>
    <xf numFmtId="0" fontId="4" fillId="0" borderId="4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14" borderId="23" xfId="0" applyFont="1" applyFill="1" applyBorder="1" applyAlignment="1">
      <alignment horizontal="left" vertical="center" indent="1"/>
    </xf>
    <xf numFmtId="0" fontId="4" fillId="14" borderId="26" xfId="0" applyFont="1" applyFill="1" applyBorder="1" applyAlignment="1">
      <alignment horizontal="left" vertical="center" indent="1"/>
    </xf>
    <xf numFmtId="0" fontId="4" fillId="14" borderId="28" xfId="0" applyFont="1" applyFill="1" applyBorder="1" applyAlignment="1">
      <alignment horizontal="left" vertical="center" indent="1"/>
    </xf>
    <xf numFmtId="0" fontId="4" fillId="5" borderId="2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2" xfId="0" applyFont="1" applyBorder="1" applyAlignment="1">
      <alignment horizontal="center" vertical="center"/>
    </xf>
    <xf numFmtId="0" fontId="0" fillId="9" borderId="33" xfId="0" applyFont="1" applyFill="1" applyBorder="1" applyAlignment="1">
      <alignment horizontal="center" vertical="center" wrapText="1"/>
    </xf>
    <xf numFmtId="0" fontId="0" fillId="9" borderId="43" xfId="0" applyFont="1" applyFill="1" applyBorder="1" applyAlignment="1">
      <alignment horizontal="center" vertical="center" wrapText="1"/>
    </xf>
    <xf numFmtId="9" fontId="4" fillId="5" borderId="25" xfId="1" applyFont="1" applyFill="1" applyBorder="1" applyAlignment="1">
      <alignment horizontal="center" vertical="center"/>
    </xf>
    <xf numFmtId="9" fontId="4" fillId="5" borderId="27" xfId="1" applyFont="1" applyFill="1" applyBorder="1" applyAlignment="1">
      <alignment horizontal="center" vertical="center"/>
    </xf>
    <xf numFmtId="9" fontId="4" fillId="5" borderId="30" xfId="1" applyFont="1" applyFill="1" applyBorder="1" applyAlignment="1">
      <alignment horizontal="center" vertical="center"/>
    </xf>
    <xf numFmtId="9" fontId="28" fillId="16" borderId="40" xfId="0" applyNumberFormat="1" applyFont="1" applyFill="1" applyBorder="1" applyAlignment="1">
      <alignment horizontal="center" vertical="center"/>
    </xf>
    <xf numFmtId="9" fontId="28" fillId="16" borderId="42" xfId="0" applyNumberFormat="1" applyFont="1" applyFill="1" applyBorder="1" applyAlignment="1">
      <alignment horizontal="center" vertical="center"/>
    </xf>
    <xf numFmtId="0" fontId="27" fillId="6" borderId="8" xfId="0" applyFont="1" applyFill="1" applyBorder="1" applyAlignment="1">
      <alignment horizontal="center" vertical="center"/>
    </xf>
    <xf numFmtId="0" fontId="27" fillId="6" borderId="14"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38"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0" fillId="9" borderId="3" xfId="0" applyFont="1" applyFill="1" applyBorder="1" applyAlignment="1">
      <alignment horizontal="center" wrapText="1"/>
    </xf>
    <xf numFmtId="0" fontId="5" fillId="14" borderId="84" xfId="0" applyFont="1" applyFill="1" applyBorder="1" applyAlignment="1">
      <alignment horizontal="left" vertical="center" wrapText="1" indent="1"/>
    </xf>
    <xf numFmtId="0" fontId="5" fillId="14" borderId="26" xfId="0" applyFont="1" applyFill="1" applyBorder="1" applyAlignment="1">
      <alignment horizontal="left" vertical="center" wrapText="1" indent="1"/>
    </xf>
    <xf numFmtId="0" fontId="5" fillId="14" borderId="28" xfId="0" applyFont="1" applyFill="1" applyBorder="1" applyAlignment="1">
      <alignment horizontal="left" vertical="center" wrapText="1" indent="1"/>
    </xf>
    <xf numFmtId="0" fontId="4" fillId="0" borderId="4" xfId="0" applyFont="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7" xfId="0" applyFont="1" applyFill="1" applyBorder="1" applyAlignment="1">
      <alignment horizontal="center" vertical="center"/>
    </xf>
    <xf numFmtId="0" fontId="16" fillId="16" borderId="5"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5" xfId="0" applyFont="1" applyFill="1" applyBorder="1" applyAlignment="1">
      <alignment horizontal="center" vertical="center"/>
    </xf>
    <xf numFmtId="0" fontId="4" fillId="16" borderId="10" xfId="0" applyFont="1" applyFill="1" applyBorder="1" applyAlignment="1">
      <alignment horizontal="center" vertical="center"/>
    </xf>
    <xf numFmtId="0" fontId="4" fillId="18" borderId="5" xfId="0" applyFont="1" applyFill="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3" borderId="1" xfId="0" applyFont="1" applyFill="1" applyBorder="1" applyAlignment="1">
      <alignment horizontal="center" vertical="center"/>
    </xf>
    <xf numFmtId="0" fontId="4" fillId="9" borderId="2" xfId="0" applyFont="1" applyFill="1" applyBorder="1" applyAlignment="1">
      <alignment horizontal="justify" vertical="center" wrapText="1"/>
    </xf>
    <xf numFmtId="0" fontId="4" fillId="9" borderId="3" xfId="0" applyFont="1" applyFill="1" applyBorder="1" applyAlignment="1">
      <alignment horizontal="justify" vertical="center" wrapText="1"/>
    </xf>
    <xf numFmtId="0" fontId="4" fillId="9" borderId="4" xfId="0" applyFont="1" applyFill="1" applyBorder="1" applyAlignment="1">
      <alignment horizontal="justify" vertical="center" wrapTex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5" borderId="23" xfId="2" applyFont="1" applyFill="1" applyBorder="1" applyAlignment="1">
      <alignment horizontal="left" vertical="center" wrapText="1" indent="1"/>
    </xf>
    <xf numFmtId="0" fontId="4" fillId="5" borderId="26" xfId="2" applyFont="1" applyFill="1" applyBorder="1" applyAlignment="1">
      <alignment horizontal="left" vertical="center" wrapText="1" indent="1"/>
    </xf>
    <xf numFmtId="0" fontId="4" fillId="5" borderId="28" xfId="2" applyFont="1" applyFill="1" applyBorder="1" applyAlignment="1">
      <alignment horizontal="left" vertical="center" wrapText="1" indent="1"/>
    </xf>
    <xf numFmtId="0" fontId="4" fillId="15" borderId="24"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0" borderId="112"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113" xfId="0" applyFont="1" applyBorder="1" applyAlignment="1">
      <alignment horizontal="left" vertical="center" wrapText="1" indent="1"/>
    </xf>
    <xf numFmtId="0" fontId="4" fillId="0" borderId="39" xfId="0" applyFont="1" applyBorder="1" applyAlignment="1">
      <alignment horizontal="left" vertical="center" wrapText="1" indent="1"/>
    </xf>
    <xf numFmtId="9" fontId="4" fillId="0" borderId="43" xfId="1" applyFont="1" applyBorder="1" applyAlignment="1">
      <alignment horizontal="center" vertical="center"/>
    </xf>
    <xf numFmtId="9" fontId="4" fillId="0" borderId="44" xfId="1" applyFont="1" applyBorder="1" applyAlignment="1">
      <alignment horizontal="center" vertical="center"/>
    </xf>
    <xf numFmtId="0" fontId="4" fillId="13" borderId="88" xfId="0" applyFont="1" applyFill="1" applyBorder="1" applyAlignment="1">
      <alignment horizontal="center" vertical="center"/>
    </xf>
    <xf numFmtId="0" fontId="4" fillId="18" borderId="8"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0" borderId="109" xfId="0" applyFont="1" applyBorder="1" applyAlignment="1">
      <alignment horizontal="left" vertical="center" wrapText="1" indent="1"/>
    </xf>
    <xf numFmtId="0" fontId="4" fillId="18" borderId="1" xfId="0" applyFont="1" applyFill="1" applyBorder="1" applyAlignment="1">
      <alignment horizontal="center" vertical="center"/>
    </xf>
    <xf numFmtId="0" fontId="4" fillId="18" borderId="3" xfId="0" applyFont="1" applyFill="1" applyBorder="1" applyAlignment="1">
      <alignment horizontal="center" vertical="center"/>
    </xf>
    <xf numFmtId="0" fontId="4" fillId="0" borderId="38" xfId="0" applyFont="1" applyBorder="1" applyAlignment="1">
      <alignment horizontal="center"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4" fillId="5" borderId="130" xfId="2" applyFont="1" applyFill="1" applyBorder="1" applyAlignment="1">
      <alignment horizontal="center" vertical="center" wrapText="1"/>
    </xf>
    <xf numFmtId="0" fontId="4" fillId="5" borderId="131" xfId="2" applyFont="1" applyFill="1" applyBorder="1" applyAlignment="1">
      <alignment horizontal="center" vertical="center" wrapText="1"/>
    </xf>
    <xf numFmtId="0" fontId="4" fillId="0" borderId="51" xfId="0" applyFont="1" applyBorder="1" applyAlignment="1">
      <alignment horizontal="center" vertical="center" wrapText="1"/>
    </xf>
    <xf numFmtId="0" fontId="4" fillId="5" borderId="8" xfId="2" applyFont="1" applyFill="1" applyBorder="1" applyAlignment="1">
      <alignment horizontal="left" vertical="center" wrapText="1" indent="1"/>
    </xf>
    <xf numFmtId="0" fontId="4" fillId="5" borderId="5" xfId="2" applyFont="1" applyFill="1" applyBorder="1" applyAlignment="1">
      <alignment horizontal="left" vertical="center" wrapText="1" indent="1"/>
    </xf>
    <xf numFmtId="0" fontId="4" fillId="0" borderId="23" xfId="0" applyFont="1" applyBorder="1" applyAlignment="1">
      <alignment horizontal="left" vertical="center" indent="1"/>
    </xf>
    <xf numFmtId="0" fontId="4" fillId="0" borderId="28" xfId="0" applyFont="1" applyBorder="1" applyAlignment="1">
      <alignment horizontal="left" vertical="center"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13" borderId="68" xfId="0" applyFont="1" applyFill="1" applyBorder="1" applyAlignment="1">
      <alignment horizontal="center" vertical="center"/>
    </xf>
    <xf numFmtId="0" fontId="4" fillId="13" borderId="69" xfId="0" applyFont="1" applyFill="1" applyBorder="1" applyAlignment="1">
      <alignment horizontal="center" vertical="center"/>
    </xf>
    <xf numFmtId="0" fontId="4" fillId="13" borderId="110" xfId="0" applyFont="1" applyFill="1" applyBorder="1" applyAlignment="1">
      <alignment horizontal="center" vertical="center"/>
    </xf>
    <xf numFmtId="0" fontId="4" fillId="18" borderId="89" xfId="0" applyFont="1" applyFill="1" applyBorder="1" applyAlignment="1">
      <alignment horizontal="center" vertical="center"/>
    </xf>
    <xf numFmtId="0" fontId="4" fillId="18" borderId="110" xfId="0" applyFont="1" applyFill="1" applyBorder="1" applyAlignment="1">
      <alignment horizontal="center" vertical="center"/>
    </xf>
    <xf numFmtId="0" fontId="4" fillId="18" borderId="36" xfId="0" applyFont="1" applyFill="1" applyBorder="1" applyAlignment="1">
      <alignment horizontal="center" vertical="center"/>
    </xf>
    <xf numFmtId="0" fontId="4" fillId="18" borderId="38" xfId="0" applyFont="1" applyFill="1" applyBorder="1" applyAlignment="1">
      <alignment horizontal="center" vertical="center"/>
    </xf>
    <xf numFmtId="0" fontId="16" fillId="16" borderId="68" xfId="0" applyFont="1" applyFill="1" applyBorder="1" applyAlignment="1">
      <alignment horizontal="center" vertical="center"/>
    </xf>
    <xf numFmtId="0" fontId="16" fillId="16" borderId="69" xfId="0" applyFont="1" applyFill="1" applyBorder="1" applyAlignment="1">
      <alignment horizontal="center" vertical="center"/>
    </xf>
    <xf numFmtId="0" fontId="16" fillId="16" borderId="111" xfId="0" applyFont="1" applyFill="1" applyBorder="1" applyAlignment="1">
      <alignment horizontal="center" vertical="center"/>
    </xf>
    <xf numFmtId="0" fontId="4" fillId="18" borderId="4" xfId="0" applyFont="1" applyFill="1" applyBorder="1" applyAlignment="1">
      <alignment horizontal="center" vertical="center"/>
    </xf>
    <xf numFmtId="0" fontId="4" fillId="9" borderId="11" xfId="0" applyFont="1" applyFill="1" applyBorder="1" applyAlignment="1">
      <alignment horizontal="justify" vertical="center" wrapText="1"/>
    </xf>
    <xf numFmtId="0" fontId="4" fillId="9" borderId="13" xfId="0" applyFont="1" applyFill="1" applyBorder="1" applyAlignment="1">
      <alignment horizontal="justify" vertical="center" wrapText="1"/>
    </xf>
    <xf numFmtId="0" fontId="4" fillId="18" borderId="1"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5" borderId="11" xfId="2" applyFont="1" applyFill="1" applyBorder="1" applyAlignment="1">
      <alignment horizontal="left" vertical="center" wrapText="1" indent="1"/>
    </xf>
    <xf numFmtId="9" fontId="4" fillId="0" borderId="59" xfId="1" applyFont="1" applyBorder="1" applyAlignment="1">
      <alignment horizontal="center" vertical="center"/>
    </xf>
    <xf numFmtId="9" fontId="4" fillId="0" borderId="108" xfId="1" applyFont="1" applyBorder="1" applyAlignment="1">
      <alignment horizontal="center" vertical="center"/>
    </xf>
    <xf numFmtId="0" fontId="4" fillId="18" borderId="1" xfId="2" applyFont="1" applyFill="1" applyBorder="1" applyAlignment="1">
      <alignment horizontal="center" vertical="center" wrapText="1"/>
    </xf>
    <xf numFmtId="0" fontId="4" fillId="5" borderId="13" xfId="2" applyFont="1" applyFill="1" applyBorder="1" applyAlignment="1">
      <alignment horizontal="left" vertical="center" wrapText="1" indent="1"/>
    </xf>
    <xf numFmtId="0" fontId="4" fillId="9" borderId="87" xfId="0" applyFont="1" applyFill="1" applyBorder="1" applyAlignment="1">
      <alignment horizontal="center" vertical="center"/>
    </xf>
    <xf numFmtId="0" fontId="4" fillId="9" borderId="88" xfId="0" applyFont="1" applyFill="1" applyBorder="1" applyAlignment="1">
      <alignment horizontal="center" vertical="center"/>
    </xf>
    <xf numFmtId="0" fontId="4" fillId="14" borderId="33" xfId="2" applyFont="1" applyFill="1" applyBorder="1" applyAlignment="1">
      <alignment horizontal="left" vertical="center" wrapText="1" indent="1"/>
    </xf>
    <xf numFmtId="0" fontId="4" fillId="14" borderId="34" xfId="2" applyFont="1" applyFill="1" applyBorder="1" applyAlignment="1">
      <alignment horizontal="left" vertical="center" wrapText="1" indent="1"/>
    </xf>
    <xf numFmtId="0" fontId="4" fillId="14" borderId="35" xfId="2" applyFont="1" applyFill="1" applyBorder="1" applyAlignment="1">
      <alignment horizontal="left" vertical="center" wrapText="1" indent="1"/>
    </xf>
    <xf numFmtId="0" fontId="4" fillId="0" borderId="68" xfId="0" applyFont="1" applyBorder="1" applyAlignment="1">
      <alignment horizontal="left" vertical="center" wrapText="1" indent="1"/>
    </xf>
    <xf numFmtId="0" fontId="4" fillId="0" borderId="110"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31" borderId="24" xfId="0" applyFont="1" applyFill="1" applyBorder="1" applyAlignment="1">
      <alignment horizontal="left" vertical="center" wrapText="1" indent="1"/>
    </xf>
    <xf numFmtId="0" fontId="4" fillId="31" borderId="2" xfId="0" applyFont="1" applyFill="1" applyBorder="1" applyAlignment="1">
      <alignment horizontal="left" vertical="center" wrapText="1" indent="1"/>
    </xf>
    <xf numFmtId="0" fontId="4" fillId="0" borderId="3" xfId="0" applyFont="1" applyBorder="1" applyAlignment="1" applyProtection="1">
      <alignment horizontal="center" vertical="center"/>
      <protection locked="0"/>
    </xf>
    <xf numFmtId="9" fontId="4" fillId="0" borderId="106" xfId="1"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5" borderId="89" xfId="2" applyFont="1" applyFill="1" applyBorder="1" applyAlignment="1">
      <alignment horizontal="left" vertical="center" wrapText="1" indent="1"/>
    </xf>
    <xf numFmtId="0" fontId="4" fillId="5" borderId="110" xfId="2" applyFont="1" applyFill="1" applyBorder="1" applyAlignment="1">
      <alignment horizontal="left" vertical="center" wrapText="1" indent="1"/>
    </xf>
    <xf numFmtId="0" fontId="4" fillId="9" borderId="8" xfId="0" applyFont="1" applyFill="1" applyBorder="1" applyAlignment="1">
      <alignment horizontal="justify" vertical="center" wrapTex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31" borderId="29" xfId="0" applyFont="1" applyFill="1" applyBorder="1" applyAlignment="1">
      <alignment horizontal="left" vertical="center" wrapText="1" indent="1"/>
    </xf>
    <xf numFmtId="0" fontId="4" fillId="0" borderId="43"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4" xfId="1" applyNumberFormat="1" applyFont="1" applyBorder="1" applyAlignment="1">
      <alignment horizontal="center" vertical="center"/>
    </xf>
    <xf numFmtId="0" fontId="4" fillId="31" borderId="1" xfId="0" applyFont="1" applyFill="1" applyBorder="1" applyAlignment="1">
      <alignment horizontal="left" vertical="center" wrapText="1" indent="1"/>
    </xf>
    <xf numFmtId="0" fontId="4" fillId="5" borderId="33" xfId="2" applyFont="1" applyFill="1" applyBorder="1" applyAlignment="1">
      <alignment horizontal="left" vertical="center" wrapText="1" indent="1"/>
    </xf>
    <xf numFmtId="0" fontId="4" fillId="5" borderId="35" xfId="2" applyFont="1" applyFill="1" applyBorder="1" applyAlignment="1">
      <alignment horizontal="left" vertical="center" wrapText="1" indent="1"/>
    </xf>
    <xf numFmtId="0" fontId="4" fillId="15" borderId="43" xfId="0" applyFont="1" applyFill="1" applyBorder="1" applyAlignment="1">
      <alignment horizontal="left" vertical="center" wrapText="1" indent="1"/>
    </xf>
    <xf numFmtId="0" fontId="4" fillId="15" borderId="44" xfId="0" applyFont="1" applyFill="1" applyBorder="1" applyAlignment="1">
      <alignment horizontal="left" vertical="center" wrapText="1" indent="1"/>
    </xf>
    <xf numFmtId="0" fontId="4" fillId="18" borderId="1" xfId="0" applyFont="1" applyFill="1" applyBorder="1" applyAlignment="1">
      <alignment horizontal="left" vertical="center" indent="1"/>
    </xf>
    <xf numFmtId="0" fontId="4" fillId="18" borderId="3" xfId="0" applyFont="1" applyFill="1" applyBorder="1" applyAlignment="1">
      <alignment horizontal="left" vertical="center" indent="1"/>
    </xf>
    <xf numFmtId="0" fontId="4" fillId="18" borderId="5" xfId="0" applyFont="1" applyFill="1" applyBorder="1" applyAlignment="1">
      <alignment horizontal="left" vertical="center" indent="1"/>
    </xf>
    <xf numFmtId="0" fontId="4" fillId="5" borderId="34" xfId="2" applyFont="1" applyFill="1" applyBorder="1" applyAlignment="1">
      <alignment horizontal="left" vertical="center" wrapText="1" indent="1"/>
    </xf>
    <xf numFmtId="0" fontId="4" fillId="30" borderId="24" xfId="0" applyFont="1" applyFill="1" applyBorder="1" applyAlignment="1">
      <alignment horizontal="left" vertical="top" wrapText="1" indent="1"/>
    </xf>
    <xf numFmtId="0" fontId="4" fillId="30" borderId="1" xfId="0" applyFont="1" applyFill="1" applyBorder="1" applyAlignment="1">
      <alignment horizontal="left" vertical="top" wrapText="1" indent="1"/>
    </xf>
    <xf numFmtId="0" fontId="4" fillId="30" borderId="29" xfId="0" applyFont="1" applyFill="1" applyBorder="1" applyAlignment="1">
      <alignment horizontal="left" vertical="top" wrapText="1" indent="1"/>
    </xf>
    <xf numFmtId="0" fontId="4" fillId="18" borderId="5" xfId="0" applyFont="1" applyFill="1" applyBorder="1" applyAlignment="1">
      <alignment horizontal="left" vertical="center" wrapText="1" indent="1"/>
    </xf>
    <xf numFmtId="9" fontId="4" fillId="5" borderId="59" xfId="1" applyFont="1" applyFill="1" applyBorder="1" applyAlignment="1">
      <alignment horizontal="center" vertical="center"/>
    </xf>
    <xf numFmtId="9" fontId="4" fillId="5" borderId="108" xfId="1" applyFont="1" applyFill="1" applyBorder="1" applyAlignment="1">
      <alignment horizontal="center" vertical="center"/>
    </xf>
    <xf numFmtId="0" fontId="4" fillId="5" borderId="70" xfId="2" applyFont="1" applyFill="1" applyBorder="1" applyAlignment="1">
      <alignment horizontal="center" vertical="center" wrapText="1"/>
    </xf>
    <xf numFmtId="0" fontId="0" fillId="0" borderId="57" xfId="0" applyBorder="1"/>
    <xf numFmtId="0" fontId="0" fillId="0" borderId="76" xfId="0" applyBorder="1"/>
    <xf numFmtId="0" fontId="0" fillId="0" borderId="0" xfId="0" applyBorder="1"/>
    <xf numFmtId="0" fontId="0" fillId="0" borderId="12" xfId="0" applyBorder="1"/>
    <xf numFmtId="0" fontId="0" fillId="0" borderId="73" xfId="0" applyBorder="1"/>
    <xf numFmtId="0" fontId="0" fillId="0" borderId="32" xfId="0" applyBorder="1"/>
    <xf numFmtId="0" fontId="4" fillId="5" borderId="112" xfId="2" applyFont="1" applyFill="1" applyBorder="1" applyAlignment="1">
      <alignment horizontal="left" vertical="center" wrapText="1" indent="1"/>
    </xf>
    <xf numFmtId="0" fontId="4" fillId="5" borderId="109" xfId="2" applyFont="1" applyFill="1" applyBorder="1" applyAlignment="1">
      <alignment horizontal="left" vertical="center" wrapText="1" indent="1"/>
    </xf>
    <xf numFmtId="0" fontId="4" fillId="5" borderId="113" xfId="2" applyFont="1" applyFill="1" applyBorder="1" applyAlignment="1">
      <alignment horizontal="left" vertical="center" wrapText="1" indent="1"/>
    </xf>
    <xf numFmtId="0" fontId="4" fillId="0" borderId="24" xfId="0" applyFont="1" applyBorder="1" applyAlignment="1">
      <alignment horizontal="center" wrapText="1"/>
    </xf>
    <xf numFmtId="0" fontId="4" fillId="0" borderId="1" xfId="0" applyFont="1" applyBorder="1" applyAlignment="1">
      <alignment horizontal="center" wrapText="1"/>
    </xf>
    <xf numFmtId="0" fontId="4" fillId="0" borderId="29" xfId="0" applyFont="1" applyBorder="1" applyAlignment="1">
      <alignment horizontal="center" wrapText="1"/>
    </xf>
    <xf numFmtId="2" fontId="4" fillId="0" borderId="24"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29" xfId="0" applyNumberFormat="1" applyFont="1" applyBorder="1" applyAlignment="1">
      <alignment horizontal="center" vertical="center"/>
    </xf>
    <xf numFmtId="166" fontId="4" fillId="0" borderId="25" xfId="1" applyNumberFormat="1" applyFont="1" applyBorder="1" applyAlignment="1">
      <alignment horizontal="center" vertical="center"/>
    </xf>
    <xf numFmtId="166" fontId="4" fillId="0" borderId="27" xfId="1" applyNumberFormat="1" applyFont="1" applyBorder="1" applyAlignment="1">
      <alignment horizontal="center" vertical="center"/>
    </xf>
    <xf numFmtId="166" fontId="4" fillId="0" borderId="30" xfId="1" applyNumberFormat="1" applyFont="1" applyBorder="1" applyAlignment="1">
      <alignment horizontal="center" vertical="center"/>
    </xf>
    <xf numFmtId="0" fontId="16" fillId="6" borderId="1" xfId="0" applyFont="1" applyFill="1" applyBorder="1" applyAlignment="1">
      <alignment horizontal="center" vertical="center"/>
    </xf>
    <xf numFmtId="0" fontId="4" fillId="18" borderId="11" xfId="0" applyFont="1" applyFill="1" applyBorder="1" applyAlignment="1">
      <alignment horizontal="justify" vertical="center" wrapText="1"/>
    </xf>
    <xf numFmtId="0" fontId="4" fillId="18" borderId="13" xfId="0" applyFont="1" applyFill="1" applyBorder="1" applyAlignment="1">
      <alignment horizontal="justify" vertical="center" wrapText="1"/>
    </xf>
    <xf numFmtId="0" fontId="4" fillId="18" borderId="8" xfId="0" applyFont="1" applyFill="1" applyBorder="1" applyAlignment="1">
      <alignment horizontal="justify" vertical="center" wrapText="1"/>
    </xf>
    <xf numFmtId="10" fontId="4" fillId="0" borderId="25" xfId="1" applyNumberFormat="1" applyFont="1" applyBorder="1" applyAlignment="1">
      <alignment horizontal="center" vertical="center"/>
    </xf>
    <xf numFmtId="10" fontId="4" fillId="0" borderId="27" xfId="1" applyNumberFormat="1" applyFont="1" applyBorder="1" applyAlignment="1">
      <alignment horizontal="center" vertical="center"/>
    </xf>
    <xf numFmtId="10" fontId="4" fillId="0" borderId="30" xfId="1" applyNumberFormat="1" applyFont="1" applyBorder="1" applyAlignment="1">
      <alignment horizontal="center" vertical="center"/>
    </xf>
    <xf numFmtId="0" fontId="4" fillId="5" borderId="81" xfId="2" applyFont="1" applyFill="1" applyBorder="1" applyAlignment="1">
      <alignment horizontal="left" vertical="center" wrapText="1" indent="1"/>
    </xf>
    <xf numFmtId="0" fontId="4" fillId="5" borderId="85" xfId="2" applyFont="1" applyFill="1" applyBorder="1" applyAlignment="1">
      <alignment horizontal="left" vertical="center" wrapText="1" indent="1"/>
    </xf>
    <xf numFmtId="0" fontId="4" fillId="5" borderId="82" xfId="2" applyFont="1" applyFill="1" applyBorder="1" applyAlignment="1">
      <alignment horizontal="left" vertical="center" wrapText="1" indent="1"/>
    </xf>
    <xf numFmtId="0" fontId="4" fillId="18" borderId="2" xfId="0" applyFont="1" applyFill="1" applyBorder="1" applyAlignment="1">
      <alignment horizontal="center" vertical="center"/>
    </xf>
    <xf numFmtId="0" fontId="4" fillId="18" borderId="3" xfId="0" applyFont="1" applyFill="1" applyBorder="1" applyAlignment="1">
      <alignment horizontal="justify" vertical="center" wrapText="1"/>
    </xf>
    <xf numFmtId="0" fontId="4" fillId="18" borderId="4"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pplyProtection="1">
      <alignment horizontal="center" wrapText="1"/>
      <protection locked="0"/>
    </xf>
    <xf numFmtId="0" fontId="4" fillId="15" borderId="70" xfId="0" applyFont="1" applyFill="1" applyBorder="1" applyAlignment="1">
      <alignment horizontal="left" vertical="center" wrapText="1" indent="1"/>
    </xf>
    <xf numFmtId="0" fontId="4" fillId="15" borderId="31" xfId="0" applyFont="1" applyFill="1" applyBorder="1" applyAlignment="1">
      <alignment horizontal="left" vertical="center" wrapText="1" indent="1"/>
    </xf>
    <xf numFmtId="0" fontId="4" fillId="15" borderId="73" xfId="0" applyFont="1" applyFill="1" applyBorder="1" applyAlignment="1">
      <alignment horizontal="left" vertical="center" wrapText="1" indent="1"/>
    </xf>
    <xf numFmtId="0" fontId="4" fillId="15" borderId="32" xfId="0" applyFont="1" applyFill="1" applyBorder="1" applyAlignment="1">
      <alignment horizontal="left" vertical="center" wrapText="1" indent="1"/>
    </xf>
    <xf numFmtId="0" fontId="16" fillId="16" borderId="5" xfId="0" applyFont="1" applyFill="1" applyBorder="1" applyAlignment="1">
      <alignment horizontal="center"/>
    </xf>
    <xf numFmtId="0" fontId="4" fillId="16" borderId="6" xfId="0" applyFont="1" applyFill="1" applyBorder="1" applyAlignment="1">
      <alignment horizontal="center"/>
    </xf>
    <xf numFmtId="0" fontId="4" fillId="16" borderId="15" xfId="0" applyFont="1" applyFill="1" applyBorder="1" applyAlignment="1">
      <alignment horizontal="center"/>
    </xf>
    <xf numFmtId="0" fontId="4" fillId="16" borderId="7" xfId="0" applyFont="1" applyFill="1" applyBorder="1" applyAlignment="1">
      <alignment horizontal="center"/>
    </xf>
    <xf numFmtId="0" fontId="4" fillId="0" borderId="95" xfId="0" applyFont="1" applyBorder="1" applyAlignment="1">
      <alignment horizontal="center" vertical="center" wrapText="1"/>
    </xf>
    <xf numFmtId="0" fontId="4" fillId="0" borderId="95" xfId="0" applyFont="1" applyBorder="1" applyAlignment="1">
      <alignment horizontal="center" vertical="center"/>
    </xf>
    <xf numFmtId="0" fontId="4" fillId="0" borderId="104" xfId="0" applyFont="1" applyBorder="1" applyAlignment="1">
      <alignment horizontal="center" vertical="center"/>
    </xf>
    <xf numFmtId="9" fontId="4" fillId="0" borderId="101" xfId="1" applyFont="1" applyBorder="1" applyAlignment="1">
      <alignment horizontal="center" vertical="center"/>
    </xf>
    <xf numFmtId="0" fontId="4" fillId="29" borderId="23" xfId="0" applyFont="1" applyFill="1" applyBorder="1" applyAlignment="1">
      <alignment horizontal="left" vertical="center" wrapText="1" indent="1"/>
    </xf>
    <xf numFmtId="0" fontId="4" fillId="29" borderId="26" xfId="0" applyFont="1" applyFill="1" applyBorder="1" applyAlignment="1">
      <alignment horizontal="left" vertical="center" wrapText="1" indent="1"/>
    </xf>
    <xf numFmtId="0" fontId="4" fillId="29" borderId="28" xfId="0" applyFont="1" applyFill="1" applyBorder="1" applyAlignment="1">
      <alignment horizontal="left" vertical="center" wrapText="1" indent="1"/>
    </xf>
    <xf numFmtId="0" fontId="4" fillId="0" borderId="7" xfId="0" applyFont="1" applyBorder="1" applyAlignment="1">
      <alignment horizontal="center" vertical="center" wrapText="1"/>
    </xf>
    <xf numFmtId="0" fontId="4" fillId="29" borderId="33" xfId="0" applyFont="1" applyFill="1" applyBorder="1" applyAlignment="1">
      <alignment horizontal="center" vertical="center" wrapText="1"/>
    </xf>
    <xf numFmtId="0" fontId="4" fillId="29" borderId="34" xfId="0" applyFont="1" applyFill="1" applyBorder="1" applyAlignment="1">
      <alignment horizontal="center" vertical="center" wrapText="1"/>
    </xf>
    <xf numFmtId="0" fontId="4" fillId="29" borderId="3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8" borderId="11" xfId="2" applyFont="1" applyFill="1" applyBorder="1" applyAlignment="1">
      <alignment horizontal="center" vertical="center" wrapText="1"/>
    </xf>
    <xf numFmtId="0" fontId="4" fillId="18" borderId="13" xfId="2" applyFont="1" applyFill="1" applyBorder="1" applyAlignment="1">
      <alignment horizontal="center" vertical="center" wrapText="1"/>
    </xf>
    <xf numFmtId="0" fontId="4" fillId="18" borderId="8" xfId="2" applyFont="1" applyFill="1" applyBorder="1" applyAlignment="1">
      <alignment horizontal="center" vertical="center" wrapText="1"/>
    </xf>
    <xf numFmtId="0" fontId="4" fillId="0" borderId="137" xfId="0" applyFont="1" applyBorder="1" applyAlignment="1">
      <alignment horizontal="center" vertical="center" wrapText="1"/>
    </xf>
    <xf numFmtId="0" fontId="4" fillId="0" borderId="101" xfId="0" applyFont="1" applyBorder="1" applyAlignment="1">
      <alignment horizontal="center" vertical="center" wrapText="1"/>
    </xf>
    <xf numFmtId="0" fontId="4" fillId="5" borderId="5" xfId="2" applyFont="1" applyFill="1" applyBorder="1" applyAlignment="1">
      <alignment horizontal="center" vertical="center" wrapText="1"/>
    </xf>
    <xf numFmtId="0" fontId="4" fillId="15" borderId="65" xfId="2" applyFont="1" applyFill="1" applyBorder="1" applyAlignment="1">
      <alignment horizontal="center" vertical="center" wrapText="1"/>
    </xf>
    <xf numFmtId="0" fontId="4" fillId="15" borderId="66" xfId="2" applyFont="1" applyFill="1" applyBorder="1" applyAlignment="1">
      <alignment horizontal="center" vertical="center" wrapText="1"/>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5" fillId="0" borderId="117" xfId="3" applyFont="1" applyBorder="1" applyAlignment="1" applyProtection="1">
      <alignment horizontal="left" vertical="center" wrapText="1"/>
    </xf>
    <xf numFmtId="0" fontId="5" fillId="0" borderId="15" xfId="3" applyFont="1" applyBorder="1" applyAlignment="1" applyProtection="1">
      <alignment horizontal="left" vertical="center" wrapText="1"/>
    </xf>
    <xf numFmtId="0" fontId="5" fillId="0" borderId="118" xfId="3" applyFont="1" applyBorder="1" applyAlignment="1" applyProtection="1">
      <alignment horizontal="left" vertical="center" wrapText="1"/>
    </xf>
    <xf numFmtId="0" fontId="5" fillId="0" borderId="104" xfId="3" applyFont="1" applyBorder="1" applyAlignment="1" applyProtection="1">
      <alignment horizontal="justify" vertical="center" wrapText="1"/>
    </xf>
    <xf numFmtId="0" fontId="5" fillId="0" borderId="119" xfId="3" applyFont="1" applyBorder="1" applyAlignment="1" applyProtection="1">
      <alignment horizontal="justify" vertical="center" wrapText="1"/>
    </xf>
    <xf numFmtId="0" fontId="9" fillId="0" borderId="104" xfId="3" applyBorder="1" applyAlignment="1" applyProtection="1">
      <alignment horizontal="left" vertical="center" wrapText="1"/>
    </xf>
    <xf numFmtId="0" fontId="12" fillId="0" borderId="0" xfId="3" applyFont="1" applyBorder="1" applyAlignment="1" applyProtection="1">
      <alignment horizontal="left" vertical="center" wrapText="1"/>
    </xf>
    <xf numFmtId="0" fontId="12" fillId="0" borderId="119" xfId="3" applyFont="1" applyBorder="1" applyAlignment="1" applyProtection="1">
      <alignment horizontal="left" vertical="center" wrapText="1"/>
    </xf>
    <xf numFmtId="0" fontId="16" fillId="13" borderId="5" xfId="0" applyFont="1" applyFill="1" applyBorder="1" applyAlignment="1">
      <alignment horizontal="center" vertical="center"/>
    </xf>
    <xf numFmtId="0" fontId="0" fillId="13" borderId="6" xfId="0" applyFont="1" applyFill="1" applyBorder="1" applyAlignment="1">
      <alignment horizontal="center" vertical="center"/>
    </xf>
    <xf numFmtId="0" fontId="0" fillId="13" borderId="15" xfId="0" applyFont="1" applyFill="1" applyBorder="1" applyAlignment="1">
      <alignment horizontal="center" vertical="center"/>
    </xf>
    <xf numFmtId="0" fontId="0" fillId="13" borderId="10" xfId="0" applyFont="1" applyFill="1" applyBorder="1" applyAlignment="1">
      <alignment horizontal="center" vertical="center"/>
    </xf>
    <xf numFmtId="0" fontId="9" fillId="0" borderId="120" xfId="3" applyBorder="1" applyAlignment="1" applyProtection="1">
      <alignment horizontal="left"/>
    </xf>
    <xf numFmtId="0" fontId="10" fillId="0" borderId="22" xfId="3" applyFont="1" applyBorder="1" applyAlignment="1" applyProtection="1">
      <alignment horizontal="left"/>
    </xf>
    <xf numFmtId="0" fontId="10" fillId="0" borderId="121" xfId="3" applyFont="1" applyBorder="1" applyAlignment="1" applyProtection="1">
      <alignment horizontal="left"/>
    </xf>
    <xf numFmtId="0" fontId="6" fillId="0" borderId="21" xfId="0" applyFont="1" applyBorder="1" applyAlignment="1">
      <alignment horizontal="center"/>
    </xf>
    <xf numFmtId="0" fontId="4" fillId="0" borderId="21" xfId="0" applyFont="1" applyBorder="1" applyAlignment="1">
      <alignment horizontal="left"/>
    </xf>
    <xf numFmtId="0" fontId="4" fillId="0" borderId="21" xfId="0" applyFont="1" applyBorder="1" applyAlignment="1">
      <alignment horizontal="left" wrapText="1"/>
    </xf>
    <xf numFmtId="0" fontId="6" fillId="0" borderId="114" xfId="0" applyFont="1" applyBorder="1" applyAlignment="1">
      <alignment horizontal="center"/>
    </xf>
    <xf numFmtId="0" fontId="6" fillId="0" borderId="115" xfId="0" applyFont="1" applyBorder="1" applyAlignment="1">
      <alignment horizontal="center"/>
    </xf>
    <xf numFmtId="0" fontId="6" fillId="0" borderId="116" xfId="0" applyFont="1" applyBorder="1" applyAlignment="1">
      <alignment horizontal="center"/>
    </xf>
    <xf numFmtId="0" fontId="4" fillId="9" borderId="24" xfId="0" applyFont="1" applyFill="1" applyBorder="1" applyAlignment="1">
      <alignment horizontal="left" vertical="center" wrapText="1" indent="1"/>
    </xf>
    <xf numFmtId="0" fontId="4" fillId="9" borderId="29" xfId="0" applyFont="1" applyFill="1" applyBorder="1" applyAlignment="1">
      <alignment horizontal="left" vertical="center" wrapText="1" indent="1"/>
    </xf>
    <xf numFmtId="9" fontId="4" fillId="9" borderId="24" xfId="0" applyNumberFormat="1" applyFont="1" applyFill="1" applyBorder="1" applyAlignment="1">
      <alignment horizontal="center" vertical="center" wrapText="1"/>
    </xf>
    <xf numFmtId="9" fontId="4" fillId="9" borderId="29" xfId="0" applyNumberFormat="1"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46" xfId="0" applyFont="1" applyFill="1" applyBorder="1" applyAlignment="1">
      <alignment horizontal="center" vertical="center" wrapText="1"/>
    </xf>
    <xf numFmtId="9" fontId="4" fillId="9" borderId="24" xfId="1" applyFont="1" applyFill="1" applyBorder="1" applyAlignment="1">
      <alignment horizontal="center" vertical="center" wrapText="1"/>
    </xf>
    <xf numFmtId="9" fontId="4" fillId="9" borderId="2" xfId="1" applyFont="1" applyFill="1" applyBorder="1" applyAlignment="1">
      <alignment horizontal="center" vertical="center" wrapText="1"/>
    </xf>
    <xf numFmtId="0" fontId="27" fillId="6" borderId="87" xfId="0" applyFont="1" applyFill="1" applyBorder="1" applyAlignment="1">
      <alignment horizontal="center" vertical="center"/>
    </xf>
    <xf numFmtId="0" fontId="27" fillId="6" borderId="88" xfId="0" applyFont="1" applyFill="1" applyBorder="1" applyAlignment="1">
      <alignment horizontal="center" vertical="center"/>
    </xf>
    <xf numFmtId="0" fontId="4" fillId="9" borderId="28" xfId="0" applyFont="1" applyFill="1" applyBorder="1" applyAlignment="1">
      <alignment horizontal="center" vertical="center" wrapText="1"/>
    </xf>
    <xf numFmtId="9" fontId="4" fillId="16" borderId="43" xfId="0" applyNumberFormat="1" applyFont="1" applyFill="1" applyBorder="1" applyAlignment="1">
      <alignment horizontal="center" vertical="center"/>
    </xf>
    <xf numFmtId="9" fontId="4" fillId="16" borderId="44"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0" fontId="5" fillId="5" borderId="2" xfId="0" applyFont="1" applyFill="1" applyBorder="1" applyAlignment="1">
      <alignment horizontal="center" vertical="center" wrapText="1"/>
    </xf>
    <xf numFmtId="9" fontId="4" fillId="16" borderId="3" xfId="0" applyNumberFormat="1"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9" fontId="7" fillId="16" borderId="43" xfId="0" applyNumberFormat="1" applyFont="1" applyFill="1" applyBorder="1" applyAlignment="1">
      <alignment horizontal="center" vertical="center"/>
    </xf>
    <xf numFmtId="9" fontId="7" fillId="16" borderId="4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10" fontId="4" fillId="9" borderId="24" xfId="0" applyNumberFormat="1" applyFont="1" applyFill="1" applyBorder="1" applyAlignment="1">
      <alignment horizontal="center" vertical="center" wrapText="1"/>
    </xf>
    <xf numFmtId="0" fontId="4" fillId="9" borderId="29" xfId="0" applyFont="1" applyFill="1" applyBorder="1" applyAlignment="1">
      <alignment horizontal="center" vertical="center" wrapText="1"/>
    </xf>
    <xf numFmtId="0" fontId="6" fillId="2" borderId="1" xfId="0" applyFont="1" applyFill="1" applyBorder="1" applyAlignment="1">
      <alignment horizontal="left" indent="1"/>
    </xf>
    <xf numFmtId="0" fontId="4" fillId="6" borderId="87" xfId="0" applyFont="1" applyFill="1" applyBorder="1" applyAlignment="1">
      <alignment horizontal="center" vertical="center"/>
    </xf>
    <xf numFmtId="0" fontId="4" fillId="6" borderId="88" xfId="0" applyFont="1" applyFill="1" applyBorder="1" applyAlignment="1">
      <alignment horizontal="center" vertical="center"/>
    </xf>
    <xf numFmtId="0" fontId="4" fillId="6" borderId="107"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3" xfId="0" applyFont="1" applyFill="1" applyBorder="1" applyAlignment="1">
      <alignment horizontal="center" vertical="center"/>
    </xf>
    <xf numFmtId="0" fontId="4" fillId="9" borderId="28" xfId="0" applyFont="1" applyFill="1" applyBorder="1" applyAlignment="1">
      <alignment horizontal="center" vertical="center"/>
    </xf>
    <xf numFmtId="0" fontId="5" fillId="9" borderId="24" xfId="0" applyFont="1" applyFill="1" applyBorder="1" applyAlignment="1">
      <alignment horizontal="left" vertical="center" indent="1"/>
    </xf>
    <xf numFmtId="0" fontId="5" fillId="9" borderId="29" xfId="0" applyFont="1" applyFill="1" applyBorder="1" applyAlignment="1">
      <alignment horizontal="left" vertical="center" indent="1"/>
    </xf>
    <xf numFmtId="9" fontId="4" fillId="9" borderId="24" xfId="0" applyNumberFormat="1" applyFont="1" applyFill="1" applyBorder="1" applyAlignment="1">
      <alignment horizontal="center" vertical="center"/>
    </xf>
    <xf numFmtId="0" fontId="4" fillId="9" borderId="29" xfId="0" applyFont="1" applyFill="1" applyBorder="1" applyAlignment="1">
      <alignment horizontal="center" vertical="center"/>
    </xf>
    <xf numFmtId="10" fontId="4" fillId="9" borderId="29" xfId="0" applyNumberFormat="1" applyFont="1" applyFill="1" applyBorder="1" applyAlignment="1">
      <alignment horizontal="center" vertical="center" wrapText="1"/>
    </xf>
    <xf numFmtId="9" fontId="4" fillId="9" borderId="29" xfId="1" applyFont="1" applyFill="1" applyBorder="1" applyAlignment="1">
      <alignment horizontal="center" vertical="center" wrapText="1"/>
    </xf>
    <xf numFmtId="0" fontId="4" fillId="9" borderId="26" xfId="0" applyFont="1" applyFill="1" applyBorder="1" applyAlignment="1">
      <alignment horizontal="center" vertical="center"/>
    </xf>
    <xf numFmtId="2" fontId="4" fillId="9" borderId="24" xfId="1" applyNumberFormat="1" applyFont="1" applyFill="1" applyBorder="1" applyAlignment="1">
      <alignment horizontal="center" vertical="center" wrapText="1"/>
    </xf>
    <xf numFmtId="2" fontId="4" fillId="9" borderId="29" xfId="1" applyNumberFormat="1" applyFont="1" applyFill="1" applyBorder="1" applyAlignment="1">
      <alignment horizontal="center" vertical="center" wrapText="1"/>
    </xf>
    <xf numFmtId="9" fontId="4" fillId="9" borderId="43" xfId="1" applyFont="1" applyFill="1" applyBorder="1" applyAlignment="1">
      <alignment horizontal="center" vertical="center"/>
    </xf>
    <xf numFmtId="9" fontId="4" fillId="9" borderId="3" xfId="1" applyFont="1" applyFill="1" applyBorder="1" applyAlignment="1">
      <alignment horizontal="center" vertical="center"/>
    </xf>
    <xf numFmtId="9" fontId="4" fillId="9" borderId="44" xfId="1" applyFont="1" applyFill="1" applyBorder="1" applyAlignment="1">
      <alignment horizontal="center" vertical="center"/>
    </xf>
    <xf numFmtId="0" fontId="4" fillId="9" borderId="24" xfId="1" applyNumberFormat="1" applyFont="1" applyFill="1" applyBorder="1" applyAlignment="1">
      <alignment horizontal="center" vertical="center" wrapText="1"/>
    </xf>
    <xf numFmtId="0" fontId="4" fillId="9" borderId="29" xfId="1" applyNumberFormat="1" applyFont="1" applyFill="1" applyBorder="1" applyAlignment="1">
      <alignment horizontal="center" vertical="center" wrapText="1"/>
    </xf>
    <xf numFmtId="0" fontId="4" fillId="0" borderId="1" xfId="0" applyFont="1" applyBorder="1" applyAlignment="1">
      <alignment horizontal="left" vertical="center" wrapText="1" indent="1"/>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9" fontId="4" fillId="9" borderId="24" xfId="1" applyFont="1" applyFill="1" applyBorder="1" applyAlignment="1">
      <alignment horizontal="center" vertical="center"/>
    </xf>
    <xf numFmtId="9" fontId="4" fillId="9" borderId="1" xfId="1" applyFont="1" applyFill="1" applyBorder="1" applyAlignment="1">
      <alignment horizontal="center" vertical="center"/>
    </xf>
    <xf numFmtId="9" fontId="4" fillId="9" borderId="29" xfId="1" applyFont="1" applyFill="1" applyBorder="1" applyAlignment="1">
      <alignment horizontal="center" vertical="center"/>
    </xf>
    <xf numFmtId="9" fontId="4" fillId="9" borderId="43" xfId="1" applyFont="1" applyFill="1" applyBorder="1" applyAlignment="1">
      <alignment horizontal="center" vertical="center" wrapText="1"/>
    </xf>
    <xf numFmtId="9" fontId="4" fillId="9" borderId="3" xfId="1" applyFont="1" applyFill="1" applyBorder="1" applyAlignment="1">
      <alignment horizontal="center" vertical="center" wrapText="1"/>
    </xf>
    <xf numFmtId="9" fontId="4" fillId="9" borderId="44" xfId="1" applyFont="1" applyFill="1" applyBorder="1" applyAlignment="1">
      <alignment horizontal="center" vertical="center" wrapText="1"/>
    </xf>
    <xf numFmtId="9" fontId="7" fillId="16" borderId="3" xfId="0" applyNumberFormat="1" applyFont="1" applyFill="1" applyBorder="1" applyAlignment="1">
      <alignment horizontal="center" vertical="center"/>
    </xf>
    <xf numFmtId="0" fontId="4" fillId="9" borderId="43" xfId="0" applyFont="1" applyFill="1" applyBorder="1" applyAlignment="1">
      <alignment horizontal="center" vertical="center" wrapText="1"/>
    </xf>
    <xf numFmtId="0" fontId="4" fillId="9" borderId="44" xfId="0" applyFont="1" applyFill="1" applyBorder="1" applyAlignment="1">
      <alignment horizontal="center" vertical="center" wrapText="1"/>
    </xf>
    <xf numFmtId="9" fontId="4" fillId="9" borderId="43" xfId="1" applyFont="1" applyFill="1" applyBorder="1" applyAlignment="1">
      <alignment horizontal="left" vertical="center" wrapText="1" indent="1"/>
    </xf>
    <xf numFmtId="9" fontId="4" fillId="9" borderId="44" xfId="1" applyFont="1" applyFill="1" applyBorder="1" applyAlignment="1">
      <alignment horizontal="left" vertical="center" wrapText="1" indent="1"/>
    </xf>
    <xf numFmtId="0" fontId="4" fillId="0" borderId="59" xfId="0" applyFont="1" applyBorder="1" applyAlignment="1" applyProtection="1">
      <alignment horizontal="center" wrapText="1"/>
      <protection locked="0"/>
    </xf>
    <xf numFmtId="0" fontId="4" fillId="0" borderId="60" xfId="0" applyFont="1" applyBorder="1" applyAlignment="1" applyProtection="1">
      <alignment horizontal="center" wrapText="1"/>
      <protection locked="0"/>
    </xf>
    <xf numFmtId="0" fontId="4" fillId="6" borderId="68" xfId="0" applyFont="1" applyFill="1" applyBorder="1" applyAlignment="1">
      <alignment horizontal="center" vertical="center"/>
    </xf>
    <xf numFmtId="0" fontId="4" fillId="6" borderId="69" xfId="0" applyFont="1" applyFill="1" applyBorder="1" applyAlignment="1">
      <alignment horizontal="center" vertical="center"/>
    </xf>
    <xf numFmtId="0" fontId="4" fillId="6" borderId="111" xfId="0" applyFont="1" applyFill="1" applyBorder="1" applyAlignment="1">
      <alignment horizontal="center" vertical="center"/>
    </xf>
    <xf numFmtId="9" fontId="4" fillId="9" borderId="1" xfId="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2" fillId="0" borderId="0" xfId="0" applyFont="1" applyBorder="1" applyAlignment="1">
      <alignment horizontal="center"/>
    </xf>
    <xf numFmtId="0" fontId="16" fillId="0" borderId="0" xfId="0" applyFont="1" applyBorder="1" applyAlignment="1">
      <alignment horizontal="center" vertical="center" wrapText="1"/>
    </xf>
    <xf numFmtId="0" fontId="16" fillId="0" borderId="0" xfId="0" applyFont="1" applyBorder="1" applyAlignment="1">
      <alignment horizontal="center"/>
    </xf>
    <xf numFmtId="0" fontId="16" fillId="0" borderId="0" xfId="0" applyFont="1" applyBorder="1" applyAlignment="1">
      <alignment horizontal="center" vertical="center"/>
    </xf>
    <xf numFmtId="0" fontId="2" fillId="2" borderId="11" xfId="0" applyFont="1" applyFill="1" applyBorder="1" applyAlignment="1">
      <alignment horizontal="center" wrapText="1"/>
    </xf>
    <xf numFmtId="0" fontId="2" fillId="2" borderId="15" xfId="0" applyFont="1" applyFill="1" applyBorder="1" applyAlignment="1">
      <alignment horizontal="center" wrapText="1"/>
    </xf>
    <xf numFmtId="0" fontId="2" fillId="2" borderId="10" xfId="0" applyFont="1" applyFill="1" applyBorder="1" applyAlignment="1">
      <alignment horizontal="center" wrapText="1"/>
    </xf>
    <xf numFmtId="0" fontId="2" fillId="2" borderId="8" xfId="0" applyFont="1" applyFill="1" applyBorder="1" applyAlignment="1">
      <alignment horizontal="center" wrapText="1"/>
    </xf>
    <xf numFmtId="0" fontId="2" fillId="2" borderId="14" xfId="0" applyFont="1" applyFill="1" applyBorder="1" applyAlignment="1">
      <alignment horizontal="center" wrapText="1"/>
    </xf>
    <xf numFmtId="0" fontId="2" fillId="2" borderId="9" xfId="0" applyFont="1" applyFill="1" applyBorder="1" applyAlignment="1">
      <alignment horizont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164" fontId="3" fillId="4" borderId="1" xfId="0" applyNumberFormat="1" applyFont="1" applyFill="1" applyBorder="1" applyAlignment="1" applyProtection="1">
      <alignment horizontal="center" wrapText="1"/>
      <protection locked="0" hidden="1"/>
    </xf>
    <xf numFmtId="0" fontId="3" fillId="4" borderId="2" xfId="0" applyFont="1" applyFill="1" applyBorder="1" applyAlignment="1" applyProtection="1">
      <alignment horizontal="center" wrapText="1"/>
      <protection locked="0" hidden="1"/>
    </xf>
    <xf numFmtId="0" fontId="3" fillId="4" borderId="3" xfId="0" applyFont="1" applyFill="1" applyBorder="1" applyAlignment="1" applyProtection="1">
      <alignment horizontal="center" wrapText="1"/>
      <protection locked="0" hidden="1"/>
    </xf>
    <xf numFmtId="0" fontId="3" fillId="4" borderId="4" xfId="0" applyFont="1" applyFill="1" applyBorder="1" applyAlignment="1" applyProtection="1">
      <alignment horizontal="center" wrapText="1"/>
      <protection locked="0" hidden="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justify" wrapText="1"/>
    </xf>
    <xf numFmtId="0" fontId="3" fillId="4" borderId="1" xfId="0" applyFont="1" applyFill="1" applyBorder="1" applyAlignment="1" applyProtection="1">
      <alignment horizontal="center" vertical="center" wrapText="1"/>
      <protection locked="0" hidden="1"/>
    </xf>
  </cellXfs>
  <cellStyles count="5">
    <cellStyle name="Hipervínculo" xfId="3" builtinId="8"/>
    <cellStyle name="Millares" xfId="4" builtinId="3"/>
    <cellStyle name="Normal" xfId="0" builtinId="0"/>
    <cellStyle name="Normal 2" xfId="2"/>
    <cellStyle name="Porcentaje" xfId="1" builtinId="5"/>
  </cellStyles>
  <dxfs count="119">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s>
  <tableStyles count="0" defaultTableStyle="TableStyleMedium9" defaultPivotStyle="PivotStyleLight16"/>
  <colors>
    <mruColors>
      <color rgb="FFFF3300"/>
      <color rgb="FFB5FD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hyperlink" Target="#'C&#225;lculo IEDI -IGM-IGA-IGFC'!A1"/><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s>
</file>

<file path=xl/drawings/_rels/drawing10.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1.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2.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3.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2.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3" Type="http://schemas.openxmlformats.org/officeDocument/2006/relationships/image" Target="../media/image24.png"/><Relationship Id="rId21" Type="http://schemas.openxmlformats.org/officeDocument/2006/relationships/image" Target="../media/image42.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5" Type="http://schemas.openxmlformats.org/officeDocument/2006/relationships/image" Target="../media/image36.png"/><Relationship Id="rId10" Type="http://schemas.openxmlformats.org/officeDocument/2006/relationships/image" Target="../media/image31.png"/><Relationship Id="rId19" Type="http://schemas.openxmlformats.org/officeDocument/2006/relationships/image" Target="../media/image40.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hyperlink" Target="#'C&#225;lculo IEDI -IGM-IGA-IGFC'!A1"/></Relationships>
</file>

<file path=xl/drawings/_rels/drawing3.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 Type="http://schemas.openxmlformats.org/officeDocument/2006/relationships/image" Target="../media/image44.png"/><Relationship Id="rId16" Type="http://schemas.openxmlformats.org/officeDocument/2006/relationships/image" Target="../media/image58.png"/><Relationship Id="rId20" Type="http://schemas.openxmlformats.org/officeDocument/2006/relationships/hyperlink" Target="#'C&#225;lculo IEDI -IGM-IGA-IGFC'!A1"/><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5" Type="http://schemas.openxmlformats.org/officeDocument/2006/relationships/image" Target="../media/image47.png"/><Relationship Id="rId15" Type="http://schemas.openxmlformats.org/officeDocument/2006/relationships/image" Target="../media/image57.png"/><Relationship Id="rId10" Type="http://schemas.openxmlformats.org/officeDocument/2006/relationships/image" Target="../media/image52.png"/><Relationship Id="rId19" Type="http://schemas.openxmlformats.org/officeDocument/2006/relationships/image" Target="../media/image61.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png"/></Relationships>
</file>

<file path=xl/drawings/_rels/drawing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7.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8.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9.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drawing1.xml><?xml version="1.0" encoding="utf-8"?>
<xdr:wsDr xmlns:xdr="http://schemas.openxmlformats.org/drawingml/2006/spreadsheetDrawing" xmlns:a="http://schemas.openxmlformats.org/drawingml/2006/main">
  <xdr:twoCellAnchor>
    <xdr:from>
      <xdr:col>6</xdr:col>
      <xdr:colOff>1000125</xdr:colOff>
      <xdr:row>5</xdr:row>
      <xdr:rowOff>600075</xdr:rowOff>
    </xdr:from>
    <xdr:to>
      <xdr:col>6</xdr:col>
      <xdr:colOff>2695575</xdr:colOff>
      <xdr:row>6</xdr:row>
      <xdr:rowOff>133350</xdr:rowOff>
    </xdr:to>
    <xdr:pic>
      <xdr:nvPicPr>
        <xdr:cNvPr id="1025"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3068300" y="1676400"/>
          <a:ext cx="1695450" cy="314325"/>
        </a:xfrm>
        <a:prstGeom prst="rect">
          <a:avLst/>
        </a:prstGeom>
        <a:noFill/>
      </xdr:spPr>
    </xdr:pic>
    <xdr:clientData/>
  </xdr:twoCellAnchor>
  <xdr:twoCellAnchor>
    <xdr:from>
      <xdr:col>6</xdr:col>
      <xdr:colOff>1133475</xdr:colOff>
      <xdr:row>7</xdr:row>
      <xdr:rowOff>415636</xdr:rowOff>
    </xdr:from>
    <xdr:to>
      <xdr:col>6</xdr:col>
      <xdr:colOff>2743200</xdr:colOff>
      <xdr:row>8</xdr:row>
      <xdr:rowOff>76200</xdr:rowOff>
    </xdr:to>
    <xdr:pic>
      <xdr:nvPicPr>
        <xdr:cNvPr id="1026" name="Picture 2"/>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3160952" y="3446318"/>
          <a:ext cx="1609725" cy="292677"/>
        </a:xfrm>
        <a:prstGeom prst="rect">
          <a:avLst/>
        </a:prstGeom>
        <a:noFill/>
      </xdr:spPr>
    </xdr:pic>
    <xdr:clientData/>
  </xdr:twoCellAnchor>
  <xdr:twoCellAnchor>
    <xdr:from>
      <xdr:col>6</xdr:col>
      <xdr:colOff>1240632</xdr:colOff>
      <xdr:row>23</xdr:row>
      <xdr:rowOff>71437</xdr:rowOff>
    </xdr:from>
    <xdr:to>
      <xdr:col>6</xdr:col>
      <xdr:colOff>2736057</xdr:colOff>
      <xdr:row>23</xdr:row>
      <xdr:rowOff>638175</xdr:rowOff>
    </xdr:to>
    <xdr:pic>
      <xdr:nvPicPr>
        <xdr:cNvPr id="10" name="9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08820" y="10489406"/>
          <a:ext cx="1495425" cy="566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1071562</xdr:colOff>
      <xdr:row>25</xdr:row>
      <xdr:rowOff>619126</xdr:rowOff>
    </xdr:from>
    <xdr:to>
      <xdr:col>6</xdr:col>
      <xdr:colOff>2547937</xdr:colOff>
      <xdr:row>26</xdr:row>
      <xdr:rowOff>500063</xdr:rowOff>
    </xdr:to>
    <xdr:pic>
      <xdr:nvPicPr>
        <xdr:cNvPr id="12" name="11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9750" y="13585032"/>
          <a:ext cx="14763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1107281</xdr:colOff>
      <xdr:row>28</xdr:row>
      <xdr:rowOff>397669</xdr:rowOff>
    </xdr:from>
    <xdr:to>
      <xdr:col>6</xdr:col>
      <xdr:colOff>3124975</xdr:colOff>
      <xdr:row>29</xdr:row>
      <xdr:rowOff>370212</xdr:rowOff>
    </xdr:to>
    <xdr:pic>
      <xdr:nvPicPr>
        <xdr:cNvPr id="13" name="12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07698" y="12621419"/>
          <a:ext cx="2017694" cy="37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1295400</xdr:colOff>
      <xdr:row>32</xdr:row>
      <xdr:rowOff>419100</xdr:rowOff>
    </xdr:from>
    <xdr:to>
      <xdr:col>6</xdr:col>
      <xdr:colOff>2638425</xdr:colOff>
      <xdr:row>34</xdr:row>
      <xdr:rowOff>152400</xdr:rowOff>
    </xdr:to>
    <xdr:pic>
      <xdr:nvPicPr>
        <xdr:cNvPr id="14" name="13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95817" y="14367933"/>
          <a:ext cx="1343025"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1504950</xdr:colOff>
      <xdr:row>36</xdr:row>
      <xdr:rowOff>342900</xdr:rowOff>
    </xdr:from>
    <xdr:to>
      <xdr:col>6</xdr:col>
      <xdr:colOff>2647950</xdr:colOff>
      <xdr:row>37</xdr:row>
      <xdr:rowOff>171450</xdr:rowOff>
    </xdr:to>
    <xdr:pic>
      <xdr:nvPicPr>
        <xdr:cNvPr id="15" name="14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14754225"/>
          <a:ext cx="11430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38</xdr:row>
      <xdr:rowOff>409575</xdr:rowOff>
    </xdr:from>
    <xdr:to>
      <xdr:col>6</xdr:col>
      <xdr:colOff>2819400</xdr:colOff>
      <xdr:row>39</xdr:row>
      <xdr:rowOff>209550</xdr:rowOff>
    </xdr:to>
    <xdr:pic>
      <xdr:nvPicPr>
        <xdr:cNvPr id="16" name="15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5725775"/>
          <a:ext cx="15621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1085850</xdr:colOff>
      <xdr:row>40</xdr:row>
      <xdr:rowOff>219075</xdr:rowOff>
    </xdr:from>
    <xdr:to>
      <xdr:col>6</xdr:col>
      <xdr:colOff>2895600</xdr:colOff>
      <xdr:row>41</xdr:row>
      <xdr:rowOff>123825</xdr:rowOff>
    </xdr:to>
    <xdr:pic>
      <xdr:nvPicPr>
        <xdr:cNvPr id="17" name="16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4025" y="16678275"/>
          <a:ext cx="1809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42</xdr:row>
      <xdr:rowOff>180975</xdr:rowOff>
    </xdr:from>
    <xdr:to>
      <xdr:col>6</xdr:col>
      <xdr:colOff>2886075</xdr:colOff>
      <xdr:row>43</xdr:row>
      <xdr:rowOff>85725</xdr:rowOff>
    </xdr:to>
    <xdr:pic>
      <xdr:nvPicPr>
        <xdr:cNvPr id="18" name="17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7402175"/>
          <a:ext cx="16287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1123950</xdr:colOff>
      <xdr:row>44</xdr:row>
      <xdr:rowOff>190500</xdr:rowOff>
    </xdr:from>
    <xdr:to>
      <xdr:col>6</xdr:col>
      <xdr:colOff>2914650</xdr:colOff>
      <xdr:row>45</xdr:row>
      <xdr:rowOff>95250</xdr:rowOff>
    </xdr:to>
    <xdr:pic>
      <xdr:nvPicPr>
        <xdr:cNvPr id="19" name="18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92125" y="18173700"/>
          <a:ext cx="17907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1495425</xdr:colOff>
      <xdr:row>46</xdr:row>
      <xdr:rowOff>209550</xdr:rowOff>
    </xdr:from>
    <xdr:to>
      <xdr:col>6</xdr:col>
      <xdr:colOff>2933700</xdr:colOff>
      <xdr:row>47</xdr:row>
      <xdr:rowOff>114300</xdr:rowOff>
    </xdr:to>
    <xdr:pic>
      <xdr:nvPicPr>
        <xdr:cNvPr id="20" name="19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0" y="18954750"/>
          <a:ext cx="14382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1253067</xdr:colOff>
      <xdr:row>48</xdr:row>
      <xdr:rowOff>48683</xdr:rowOff>
    </xdr:from>
    <xdr:to>
      <xdr:col>6</xdr:col>
      <xdr:colOff>2919942</xdr:colOff>
      <xdr:row>48</xdr:row>
      <xdr:rowOff>420158</xdr:rowOff>
    </xdr:to>
    <xdr:pic>
      <xdr:nvPicPr>
        <xdr:cNvPr id="21" name="20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3484" y="20146433"/>
          <a:ext cx="1666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169333</xdr:colOff>
      <xdr:row>21</xdr:row>
      <xdr:rowOff>243416</xdr:rowOff>
    </xdr:from>
    <xdr:to>
      <xdr:col>6</xdr:col>
      <xdr:colOff>3312607</xdr:colOff>
      <xdr:row>21</xdr:row>
      <xdr:rowOff>380080</xdr:rowOff>
    </xdr:to>
    <xdr:pic>
      <xdr:nvPicPr>
        <xdr:cNvPr id="28" name="27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69750" y="9376833"/>
          <a:ext cx="3143274" cy="136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178594</xdr:colOff>
      <xdr:row>35</xdr:row>
      <xdr:rowOff>259556</xdr:rowOff>
    </xdr:from>
    <xdr:to>
      <xdr:col>6</xdr:col>
      <xdr:colOff>3607594</xdr:colOff>
      <xdr:row>35</xdr:row>
      <xdr:rowOff>450056</xdr:rowOff>
    </xdr:to>
    <xdr:pic>
      <xdr:nvPicPr>
        <xdr:cNvPr id="23" name="22 Imagen"/>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46782" y="13844587"/>
          <a:ext cx="3429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695325</xdr:colOff>
      <xdr:row>49</xdr:row>
      <xdr:rowOff>142875</xdr:rowOff>
    </xdr:from>
    <xdr:to>
      <xdr:col>6</xdr:col>
      <xdr:colOff>3314700</xdr:colOff>
      <xdr:row>49</xdr:row>
      <xdr:rowOff>333375</xdr:rowOff>
    </xdr:to>
    <xdr:pic>
      <xdr:nvPicPr>
        <xdr:cNvPr id="24" name="23 Imagen"/>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63500" y="20135850"/>
          <a:ext cx="2619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9</xdr:row>
      <xdr:rowOff>152400</xdr:rowOff>
    </xdr:from>
    <xdr:to>
      <xdr:col>6</xdr:col>
      <xdr:colOff>3181350</xdr:colOff>
      <xdr:row>9</xdr:row>
      <xdr:rowOff>333375</xdr:rowOff>
    </xdr:to>
    <xdr:pic>
      <xdr:nvPicPr>
        <xdr:cNvPr id="29" name="28 Imagen"/>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49200" y="4457700"/>
          <a:ext cx="25527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171450</xdr:colOff>
      <xdr:row>50</xdr:row>
      <xdr:rowOff>247650</xdr:rowOff>
    </xdr:from>
    <xdr:to>
      <xdr:col>6</xdr:col>
      <xdr:colOff>3619500</xdr:colOff>
      <xdr:row>50</xdr:row>
      <xdr:rowOff>438150</xdr:rowOff>
    </xdr:to>
    <xdr:pic>
      <xdr:nvPicPr>
        <xdr:cNvPr id="30" name="29 Imagen"/>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39625" y="20621625"/>
          <a:ext cx="3448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701386</xdr:colOff>
      <xdr:row>11</xdr:row>
      <xdr:rowOff>77932</xdr:rowOff>
    </xdr:from>
    <xdr:to>
      <xdr:col>6</xdr:col>
      <xdr:colOff>2750993</xdr:colOff>
      <xdr:row>12</xdr:row>
      <xdr:rowOff>135082</xdr:rowOff>
    </xdr:to>
    <xdr:pic>
      <xdr:nvPicPr>
        <xdr:cNvPr id="25" name="24 Imagen"/>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8863" y="5550477"/>
          <a:ext cx="2049607"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14</xdr:row>
      <xdr:rowOff>304800</xdr:rowOff>
    </xdr:from>
    <xdr:to>
      <xdr:col>6</xdr:col>
      <xdr:colOff>2533650</xdr:colOff>
      <xdr:row>15</xdr:row>
      <xdr:rowOff>219075</xdr:rowOff>
    </xdr:to>
    <xdr:pic>
      <xdr:nvPicPr>
        <xdr:cNvPr id="26" name="25 Imagen"/>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11150" y="6457950"/>
          <a:ext cx="15430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95249</xdr:colOff>
      <xdr:row>0</xdr:row>
      <xdr:rowOff>138545</xdr:rowOff>
    </xdr:from>
    <xdr:to>
      <xdr:col>1</xdr:col>
      <xdr:colOff>1502833</xdr:colOff>
      <xdr:row>4</xdr:row>
      <xdr:rowOff>10583</xdr:rowOff>
    </xdr:to>
    <xdr:sp macro="" textlink="">
      <xdr:nvSpPr>
        <xdr:cNvPr id="27" name="26 Flecha izquierda">
          <a:hlinkClick xmlns:r="http://schemas.openxmlformats.org/officeDocument/2006/relationships" r:id="rId21"/>
        </xdr:cNvPr>
        <xdr:cNvSpPr/>
      </xdr:nvSpPr>
      <xdr:spPr>
        <a:xfrm>
          <a:off x="95249" y="138545"/>
          <a:ext cx="2169584" cy="72928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twoCellAnchor>
    <xdr:from>
      <xdr:col>6</xdr:col>
      <xdr:colOff>1016000</xdr:colOff>
      <xdr:row>18</xdr:row>
      <xdr:rowOff>158750</xdr:rowOff>
    </xdr:from>
    <xdr:to>
      <xdr:col>6</xdr:col>
      <xdr:colOff>2292350</xdr:colOff>
      <xdr:row>19</xdr:row>
      <xdr:rowOff>67733</xdr:rowOff>
    </xdr:to>
    <xdr:pic>
      <xdr:nvPicPr>
        <xdr:cNvPr id="1079" name="Picture 55"/>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blip>
        <a:srcRect/>
        <a:stretch>
          <a:fillRect/>
        </a:stretch>
      </xdr:blipFill>
      <xdr:spPr bwMode="auto">
        <a:xfrm>
          <a:off x="12816417" y="7905750"/>
          <a:ext cx="1276350" cy="3429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8656</xdr:colOff>
      <xdr:row>0</xdr:row>
      <xdr:rowOff>0</xdr:rowOff>
    </xdr:from>
    <xdr:to>
      <xdr:col>1</xdr:col>
      <xdr:colOff>675407</xdr:colOff>
      <xdr:row>2</xdr:row>
      <xdr:rowOff>199159</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8656" y="0"/>
          <a:ext cx="1922319"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34636</xdr:colOff>
      <xdr:row>0</xdr:row>
      <xdr:rowOff>0</xdr:rowOff>
    </xdr:from>
    <xdr:to>
      <xdr:col>1</xdr:col>
      <xdr:colOff>779317</xdr:colOff>
      <xdr:row>2</xdr:row>
      <xdr:rowOff>207818</xdr:rowOff>
    </xdr:to>
    <xdr:sp macro="" textlink="">
      <xdr:nvSpPr>
        <xdr:cNvPr id="2" name="1 Flecha izquierda">
          <a:hlinkClick xmlns:r="http://schemas.openxmlformats.org/officeDocument/2006/relationships" r:id="rId1"/>
        </xdr:cNvPr>
        <xdr:cNvSpPr/>
      </xdr:nvSpPr>
      <xdr:spPr>
        <a:xfrm>
          <a:off x="34636" y="0"/>
          <a:ext cx="2095499" cy="68406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86591</xdr:colOff>
      <xdr:row>0</xdr:row>
      <xdr:rowOff>0</xdr:rowOff>
    </xdr:from>
    <xdr:to>
      <xdr:col>1</xdr:col>
      <xdr:colOff>701387</xdr:colOff>
      <xdr:row>2</xdr:row>
      <xdr:rowOff>138546</xdr:rowOff>
    </xdr:to>
    <xdr:sp macro="" textlink="">
      <xdr:nvSpPr>
        <xdr:cNvPr id="2" name="1 Flecha izquierda">
          <a:hlinkClick xmlns:r="http://schemas.openxmlformats.org/officeDocument/2006/relationships" r:id="rId1"/>
        </xdr:cNvPr>
        <xdr:cNvSpPr/>
      </xdr:nvSpPr>
      <xdr:spPr>
        <a:xfrm>
          <a:off x="86591" y="0"/>
          <a:ext cx="1974273"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95248</xdr:colOff>
      <xdr:row>0</xdr:row>
      <xdr:rowOff>0</xdr:rowOff>
    </xdr:from>
    <xdr:to>
      <xdr:col>1</xdr:col>
      <xdr:colOff>773905</xdr:colOff>
      <xdr:row>3</xdr:row>
      <xdr:rowOff>273843</xdr:rowOff>
    </xdr:to>
    <xdr:sp macro="" textlink="">
      <xdr:nvSpPr>
        <xdr:cNvPr id="2" name="1 Flecha izquierda">
          <a:hlinkClick xmlns:r="http://schemas.openxmlformats.org/officeDocument/2006/relationships" r:id="rId1"/>
        </xdr:cNvPr>
        <xdr:cNvSpPr/>
      </xdr:nvSpPr>
      <xdr:spPr>
        <a:xfrm>
          <a:off x="95248" y="0"/>
          <a:ext cx="1797845" cy="101203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34636</xdr:colOff>
      <xdr:row>0</xdr:row>
      <xdr:rowOff>8659</xdr:rowOff>
    </xdr:from>
    <xdr:to>
      <xdr:col>2</xdr:col>
      <xdr:colOff>320386</xdr:colOff>
      <xdr:row>2</xdr:row>
      <xdr:rowOff>225137</xdr:rowOff>
    </xdr:to>
    <xdr:sp macro="" textlink="">
      <xdr:nvSpPr>
        <xdr:cNvPr id="2" name="1 Flecha izquierda">
          <a:hlinkClick xmlns:r="http://schemas.openxmlformats.org/officeDocument/2006/relationships" r:id="rId1"/>
        </xdr:cNvPr>
        <xdr:cNvSpPr/>
      </xdr:nvSpPr>
      <xdr:spPr>
        <a:xfrm>
          <a:off x="34636" y="8659"/>
          <a:ext cx="1982932" cy="71004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103908</xdr:colOff>
      <xdr:row>0</xdr:row>
      <xdr:rowOff>0</xdr:rowOff>
    </xdr:from>
    <xdr:to>
      <xdr:col>2</xdr:col>
      <xdr:colOff>658091</xdr:colOff>
      <xdr:row>2</xdr:row>
      <xdr:rowOff>86590</xdr:rowOff>
    </xdr:to>
    <xdr:sp macro="" textlink="">
      <xdr:nvSpPr>
        <xdr:cNvPr id="4" name="3 Flecha izquierda">
          <a:hlinkClick xmlns:r="http://schemas.openxmlformats.org/officeDocument/2006/relationships" r:id="rId1"/>
        </xdr:cNvPr>
        <xdr:cNvSpPr/>
      </xdr:nvSpPr>
      <xdr:spPr>
        <a:xfrm>
          <a:off x="103908" y="0"/>
          <a:ext cx="2303319" cy="61479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47624</xdr:colOff>
      <xdr:row>0</xdr:row>
      <xdr:rowOff>38099</xdr:rowOff>
    </xdr:from>
    <xdr:to>
      <xdr:col>1</xdr:col>
      <xdr:colOff>1104899</xdr:colOff>
      <xdr:row>2</xdr:row>
      <xdr:rowOff>161925</xdr:rowOff>
    </xdr:to>
    <xdr:sp macro="" textlink="">
      <xdr:nvSpPr>
        <xdr:cNvPr id="3" name="2 Flecha izquierda">
          <a:hlinkClick xmlns:r="http://schemas.openxmlformats.org/officeDocument/2006/relationships" r:id="rId1"/>
        </xdr:cNvPr>
        <xdr:cNvSpPr/>
      </xdr:nvSpPr>
      <xdr:spPr>
        <a:xfrm>
          <a:off x="47624" y="38099"/>
          <a:ext cx="2028825" cy="69532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1866900</xdr:colOff>
      <xdr:row>23</xdr:row>
      <xdr:rowOff>142875</xdr:rowOff>
    </xdr:from>
    <xdr:to>
      <xdr:col>6</xdr:col>
      <xdr:colOff>3162300</xdr:colOff>
      <xdr:row>24</xdr:row>
      <xdr:rowOff>171450</xdr:rowOff>
    </xdr:to>
    <xdr:pic>
      <xdr:nvPicPr>
        <xdr:cNvPr id="3" name="2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592300" y="6267450"/>
          <a:ext cx="1295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1000125</xdr:colOff>
      <xdr:row>25</xdr:row>
      <xdr:rowOff>152400</xdr:rowOff>
    </xdr:from>
    <xdr:to>
      <xdr:col>6</xdr:col>
      <xdr:colOff>2933700</xdr:colOff>
      <xdr:row>25</xdr:row>
      <xdr:rowOff>342900</xdr:rowOff>
    </xdr:to>
    <xdr:pic>
      <xdr:nvPicPr>
        <xdr:cNvPr id="5" name="4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68300" y="3124200"/>
          <a:ext cx="1933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26</xdr:row>
      <xdr:rowOff>142875</xdr:rowOff>
    </xdr:from>
    <xdr:to>
      <xdr:col>6</xdr:col>
      <xdr:colOff>2486025</xdr:colOff>
      <xdr:row>28</xdr:row>
      <xdr:rowOff>171450</xdr:rowOff>
    </xdr:to>
    <xdr:pic>
      <xdr:nvPicPr>
        <xdr:cNvPr id="6" name="5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3505200"/>
          <a:ext cx="12287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1228725</xdr:colOff>
      <xdr:row>29</xdr:row>
      <xdr:rowOff>142875</xdr:rowOff>
    </xdr:from>
    <xdr:to>
      <xdr:col>6</xdr:col>
      <xdr:colOff>2476500</xdr:colOff>
      <xdr:row>31</xdr:row>
      <xdr:rowOff>171450</xdr:rowOff>
    </xdr:to>
    <xdr:pic>
      <xdr:nvPicPr>
        <xdr:cNvPr id="7" name="6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96900" y="4010025"/>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1104900</xdr:colOff>
      <xdr:row>32</xdr:row>
      <xdr:rowOff>161925</xdr:rowOff>
    </xdr:from>
    <xdr:to>
      <xdr:col>6</xdr:col>
      <xdr:colOff>2524125</xdr:colOff>
      <xdr:row>34</xdr:row>
      <xdr:rowOff>190500</xdr:rowOff>
    </xdr:to>
    <xdr:pic>
      <xdr:nvPicPr>
        <xdr:cNvPr id="8" name="7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73075" y="4533900"/>
          <a:ext cx="1419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1409700</xdr:colOff>
      <xdr:row>35</xdr:row>
      <xdr:rowOff>161925</xdr:rowOff>
    </xdr:from>
    <xdr:to>
      <xdr:col>6</xdr:col>
      <xdr:colOff>2657475</xdr:colOff>
      <xdr:row>37</xdr:row>
      <xdr:rowOff>190500</xdr:rowOff>
    </xdr:to>
    <xdr:pic>
      <xdr:nvPicPr>
        <xdr:cNvPr id="9" name="8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77875" y="5162550"/>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42</xdr:row>
      <xdr:rowOff>152400</xdr:rowOff>
    </xdr:from>
    <xdr:to>
      <xdr:col>6</xdr:col>
      <xdr:colOff>2952750</xdr:colOff>
      <xdr:row>44</xdr:row>
      <xdr:rowOff>180975</xdr:rowOff>
    </xdr:to>
    <xdr:pic>
      <xdr:nvPicPr>
        <xdr:cNvPr id="14" name="13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8775" y="6086475"/>
          <a:ext cx="19621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1152525</xdr:colOff>
      <xdr:row>45</xdr:row>
      <xdr:rowOff>190500</xdr:rowOff>
    </xdr:from>
    <xdr:to>
      <xdr:col>6</xdr:col>
      <xdr:colOff>2952750</xdr:colOff>
      <xdr:row>47</xdr:row>
      <xdr:rowOff>219075</xdr:rowOff>
    </xdr:to>
    <xdr:pic>
      <xdr:nvPicPr>
        <xdr:cNvPr id="15" name="14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20700" y="6762750"/>
          <a:ext cx="1800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1200150</xdr:colOff>
      <xdr:row>48</xdr:row>
      <xdr:rowOff>200025</xdr:rowOff>
    </xdr:from>
    <xdr:to>
      <xdr:col>6</xdr:col>
      <xdr:colOff>3048000</xdr:colOff>
      <xdr:row>50</xdr:row>
      <xdr:rowOff>228600</xdr:rowOff>
    </xdr:to>
    <xdr:pic>
      <xdr:nvPicPr>
        <xdr:cNvPr id="16" name="15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68325" y="7410450"/>
          <a:ext cx="18478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51</xdr:row>
      <xdr:rowOff>104775</xdr:rowOff>
    </xdr:from>
    <xdr:to>
      <xdr:col>6</xdr:col>
      <xdr:colOff>4686300</xdr:colOff>
      <xdr:row>51</xdr:row>
      <xdr:rowOff>295275</xdr:rowOff>
    </xdr:to>
    <xdr:pic>
      <xdr:nvPicPr>
        <xdr:cNvPr id="17" name="16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1600" y="12630150"/>
          <a:ext cx="46101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1371600</xdr:colOff>
      <xdr:row>52</xdr:row>
      <xdr:rowOff>419100</xdr:rowOff>
    </xdr:from>
    <xdr:to>
      <xdr:col>6</xdr:col>
      <xdr:colOff>3238500</xdr:colOff>
      <xdr:row>54</xdr:row>
      <xdr:rowOff>304800</xdr:rowOff>
    </xdr:to>
    <xdr:pic>
      <xdr:nvPicPr>
        <xdr:cNvPr id="18" name="17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9775" y="8629650"/>
          <a:ext cx="18669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1819275</xdr:colOff>
      <xdr:row>56</xdr:row>
      <xdr:rowOff>133350</xdr:rowOff>
    </xdr:from>
    <xdr:to>
      <xdr:col>6</xdr:col>
      <xdr:colOff>2600325</xdr:colOff>
      <xdr:row>56</xdr:row>
      <xdr:rowOff>323850</xdr:rowOff>
    </xdr:to>
    <xdr:pic>
      <xdr:nvPicPr>
        <xdr:cNvPr id="19" name="18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87450" y="9439275"/>
          <a:ext cx="781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771525</xdr:colOff>
      <xdr:row>57</xdr:row>
      <xdr:rowOff>142875</xdr:rowOff>
    </xdr:from>
    <xdr:to>
      <xdr:col>6</xdr:col>
      <xdr:colOff>3981450</xdr:colOff>
      <xdr:row>57</xdr:row>
      <xdr:rowOff>333375</xdr:rowOff>
    </xdr:to>
    <xdr:pic>
      <xdr:nvPicPr>
        <xdr:cNvPr id="20" name="19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39700" y="9848850"/>
          <a:ext cx="3209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438151</xdr:colOff>
      <xdr:row>41</xdr:row>
      <xdr:rowOff>104775</xdr:rowOff>
    </xdr:from>
    <xdr:to>
      <xdr:col>7</xdr:col>
      <xdr:colOff>66676</xdr:colOff>
      <xdr:row>42</xdr:row>
      <xdr:rowOff>0</xdr:rowOff>
    </xdr:to>
    <xdr:pic>
      <xdr:nvPicPr>
        <xdr:cNvPr id="2" name="Picture 1"/>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blip>
        <a:srcRect/>
        <a:stretch>
          <a:fillRect/>
        </a:stretch>
      </xdr:blipFill>
      <xdr:spPr bwMode="auto">
        <a:xfrm>
          <a:off x="13163551" y="10153650"/>
          <a:ext cx="4400550" cy="381000"/>
        </a:xfrm>
        <a:prstGeom prst="rect">
          <a:avLst/>
        </a:prstGeom>
        <a:noFill/>
      </xdr:spPr>
    </xdr:pic>
    <xdr:clientData/>
  </xdr:twoCellAnchor>
  <xdr:twoCellAnchor>
    <xdr:from>
      <xdr:col>6</xdr:col>
      <xdr:colOff>1447800</xdr:colOff>
      <xdr:row>38</xdr:row>
      <xdr:rowOff>200025</xdr:rowOff>
    </xdr:from>
    <xdr:to>
      <xdr:col>6</xdr:col>
      <xdr:colOff>2638425</xdr:colOff>
      <xdr:row>40</xdr:row>
      <xdr:rowOff>171450</xdr:rowOff>
    </xdr:to>
    <xdr:pic>
      <xdr:nvPicPr>
        <xdr:cNvPr id="4" name="Picture 2"/>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173200" y="9515475"/>
          <a:ext cx="1190625" cy="342900"/>
        </a:xfrm>
        <a:prstGeom prst="rect">
          <a:avLst/>
        </a:prstGeom>
        <a:noFill/>
      </xdr:spPr>
    </xdr:pic>
    <xdr:clientData/>
  </xdr:twoCellAnchor>
  <xdr:twoCellAnchor>
    <xdr:from>
      <xdr:col>6</xdr:col>
      <xdr:colOff>2069523</xdr:colOff>
      <xdr:row>20</xdr:row>
      <xdr:rowOff>66675</xdr:rowOff>
    </xdr:from>
    <xdr:to>
      <xdr:col>6</xdr:col>
      <xdr:colOff>2802948</xdr:colOff>
      <xdr:row>21</xdr:row>
      <xdr:rowOff>238125</xdr:rowOff>
    </xdr:to>
    <xdr:pic>
      <xdr:nvPicPr>
        <xdr:cNvPr id="10" name="Picture 3"/>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3274387" y="5417993"/>
          <a:ext cx="733425" cy="361950"/>
        </a:xfrm>
        <a:prstGeom prst="rect">
          <a:avLst/>
        </a:prstGeom>
        <a:noFill/>
      </xdr:spPr>
    </xdr:pic>
    <xdr:clientData/>
  </xdr:twoCellAnchor>
  <xdr:twoCellAnchor>
    <xdr:from>
      <xdr:col>6</xdr:col>
      <xdr:colOff>154997</xdr:colOff>
      <xdr:row>8</xdr:row>
      <xdr:rowOff>181842</xdr:rowOff>
    </xdr:from>
    <xdr:to>
      <xdr:col>6</xdr:col>
      <xdr:colOff>4220440</xdr:colOff>
      <xdr:row>10</xdr:row>
      <xdr:rowOff>155863</xdr:rowOff>
    </xdr:to>
    <xdr:pic>
      <xdr:nvPicPr>
        <xdr:cNvPr id="21" name="Picture 4"/>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1356397" y="2782167"/>
          <a:ext cx="4065443" cy="326446"/>
        </a:xfrm>
        <a:prstGeom prst="rect">
          <a:avLst/>
        </a:prstGeom>
        <a:noFill/>
      </xdr:spPr>
    </xdr:pic>
    <xdr:clientData/>
  </xdr:twoCellAnchor>
  <xdr:twoCellAnchor>
    <xdr:from>
      <xdr:col>6</xdr:col>
      <xdr:colOff>311728</xdr:colOff>
      <xdr:row>11</xdr:row>
      <xdr:rowOff>216477</xdr:rowOff>
    </xdr:from>
    <xdr:to>
      <xdr:col>6</xdr:col>
      <xdr:colOff>4358133</xdr:colOff>
      <xdr:row>13</xdr:row>
      <xdr:rowOff>141143</xdr:rowOff>
    </xdr:to>
    <xdr:pic>
      <xdr:nvPicPr>
        <xdr:cNvPr id="22" name="Picture 5"/>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3031933" y="2805545"/>
          <a:ext cx="4046405" cy="340303"/>
        </a:xfrm>
        <a:prstGeom prst="rect">
          <a:avLst/>
        </a:prstGeom>
        <a:noFill/>
      </xdr:spPr>
    </xdr:pic>
    <xdr:clientData/>
  </xdr:twoCellAnchor>
  <xdr:twoCellAnchor>
    <xdr:from>
      <xdr:col>6</xdr:col>
      <xdr:colOff>268431</xdr:colOff>
      <xdr:row>14</xdr:row>
      <xdr:rowOff>199103</xdr:rowOff>
    </xdr:from>
    <xdr:to>
      <xdr:col>6</xdr:col>
      <xdr:colOff>4511387</xdr:colOff>
      <xdr:row>16</xdr:row>
      <xdr:rowOff>97846</xdr:rowOff>
    </xdr:to>
    <xdr:pic>
      <xdr:nvPicPr>
        <xdr:cNvPr id="1030" name="Picture 6"/>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2988636" y="3515535"/>
          <a:ext cx="4242956" cy="357675"/>
        </a:xfrm>
        <a:prstGeom prst="rect">
          <a:avLst/>
        </a:prstGeom>
        <a:noFill/>
      </xdr:spPr>
    </xdr:pic>
    <xdr:clientData/>
  </xdr:twoCellAnchor>
  <xdr:twoCellAnchor>
    <xdr:from>
      <xdr:col>6</xdr:col>
      <xdr:colOff>277091</xdr:colOff>
      <xdr:row>17</xdr:row>
      <xdr:rowOff>168144</xdr:rowOff>
    </xdr:from>
    <xdr:to>
      <xdr:col>6</xdr:col>
      <xdr:colOff>4589318</xdr:colOff>
      <xdr:row>19</xdr:row>
      <xdr:rowOff>115168</xdr:rowOff>
    </xdr:to>
    <xdr:pic>
      <xdr:nvPicPr>
        <xdr:cNvPr id="1031" name="Picture 7"/>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blip>
        <a:srcRect/>
        <a:stretch>
          <a:fillRect/>
        </a:stretch>
      </xdr:blipFill>
      <xdr:spPr bwMode="auto">
        <a:xfrm>
          <a:off x="12997296" y="4255235"/>
          <a:ext cx="4312227" cy="362660"/>
        </a:xfrm>
        <a:prstGeom prst="rect">
          <a:avLst/>
        </a:prstGeom>
        <a:noFill/>
      </xdr:spPr>
    </xdr:pic>
    <xdr:clientData/>
  </xdr:twoCellAnchor>
  <xdr:twoCellAnchor>
    <xdr:from>
      <xdr:col>6</xdr:col>
      <xdr:colOff>397451</xdr:colOff>
      <xdr:row>6</xdr:row>
      <xdr:rowOff>43296</xdr:rowOff>
    </xdr:from>
    <xdr:to>
      <xdr:col>6</xdr:col>
      <xdr:colOff>3999634</xdr:colOff>
      <xdr:row>6</xdr:row>
      <xdr:rowOff>339436</xdr:rowOff>
    </xdr:to>
    <xdr:pic>
      <xdr:nvPicPr>
        <xdr:cNvPr id="1025" name="Picture 1"/>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blip>
        <a:srcRect/>
        <a:stretch>
          <a:fillRect/>
        </a:stretch>
      </xdr:blipFill>
      <xdr:spPr bwMode="auto">
        <a:xfrm>
          <a:off x="11598851" y="1891146"/>
          <a:ext cx="3602183" cy="296140"/>
        </a:xfrm>
        <a:prstGeom prst="rect">
          <a:avLst/>
        </a:prstGeom>
        <a:noFill/>
      </xdr:spPr>
    </xdr:pic>
    <xdr:clientData/>
  </xdr:twoCellAnchor>
  <xdr:twoCellAnchor>
    <xdr:from>
      <xdr:col>0</xdr:col>
      <xdr:colOff>77931</xdr:colOff>
      <xdr:row>0</xdr:row>
      <xdr:rowOff>0</xdr:rowOff>
    </xdr:from>
    <xdr:to>
      <xdr:col>1</xdr:col>
      <xdr:colOff>1385454</xdr:colOff>
      <xdr:row>2</xdr:row>
      <xdr:rowOff>181840</xdr:rowOff>
    </xdr:to>
    <xdr:sp macro="" textlink="">
      <xdr:nvSpPr>
        <xdr:cNvPr id="23" name="22 Flecha izquierda">
          <a:hlinkClick xmlns:r="http://schemas.openxmlformats.org/officeDocument/2006/relationships" r:id="rId22"/>
        </xdr:cNvPr>
        <xdr:cNvSpPr/>
      </xdr:nvSpPr>
      <xdr:spPr>
        <a:xfrm>
          <a:off x="77931" y="0"/>
          <a:ext cx="2069523" cy="71004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1600200</xdr:colOff>
      <xdr:row>4</xdr:row>
      <xdr:rowOff>171450</xdr:rowOff>
    </xdr:from>
    <xdr:to>
      <xdr:col>6</xdr:col>
      <xdr:colOff>3057525</xdr:colOff>
      <xdr:row>6</xdr:row>
      <xdr:rowOff>200025</xdr:rowOff>
    </xdr:to>
    <xdr:pic>
      <xdr:nvPicPr>
        <xdr:cNvPr id="2" name="1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68375" y="1057275"/>
          <a:ext cx="14573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1476375</xdr:colOff>
      <xdr:row>7</xdr:row>
      <xdr:rowOff>171450</xdr:rowOff>
    </xdr:from>
    <xdr:to>
      <xdr:col>6</xdr:col>
      <xdr:colOff>3114675</xdr:colOff>
      <xdr:row>9</xdr:row>
      <xdr:rowOff>123825</xdr:rowOff>
    </xdr:to>
    <xdr:pic>
      <xdr:nvPicPr>
        <xdr:cNvPr id="3" name="2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44550" y="16859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1562100</xdr:colOff>
      <xdr:row>10</xdr:row>
      <xdr:rowOff>114300</xdr:rowOff>
    </xdr:from>
    <xdr:to>
      <xdr:col>6</xdr:col>
      <xdr:colOff>3067050</xdr:colOff>
      <xdr:row>12</xdr:row>
      <xdr:rowOff>133350</xdr:rowOff>
    </xdr:to>
    <xdr:pic>
      <xdr:nvPicPr>
        <xdr:cNvPr id="4" name="3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0275" y="2333625"/>
          <a:ext cx="15049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13</xdr:row>
      <xdr:rowOff>123825</xdr:rowOff>
    </xdr:from>
    <xdr:to>
      <xdr:col>6</xdr:col>
      <xdr:colOff>4400550</xdr:colOff>
      <xdr:row>13</xdr:row>
      <xdr:rowOff>314325</xdr:rowOff>
    </xdr:to>
    <xdr:pic>
      <xdr:nvPicPr>
        <xdr:cNvPr id="5" name="4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29718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1371601</xdr:colOff>
      <xdr:row>19</xdr:row>
      <xdr:rowOff>39478</xdr:rowOff>
    </xdr:from>
    <xdr:to>
      <xdr:col>6</xdr:col>
      <xdr:colOff>3200400</xdr:colOff>
      <xdr:row>19</xdr:row>
      <xdr:rowOff>381001</xdr:rowOff>
    </xdr:to>
    <xdr:pic>
      <xdr:nvPicPr>
        <xdr:cNvPr id="7" name="6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58951" y="4687678"/>
          <a:ext cx="1828799" cy="341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1552575</xdr:colOff>
      <xdr:row>21</xdr:row>
      <xdr:rowOff>276226</xdr:rowOff>
    </xdr:from>
    <xdr:to>
      <xdr:col>6</xdr:col>
      <xdr:colOff>3190875</xdr:colOff>
      <xdr:row>23</xdr:row>
      <xdr:rowOff>0</xdr:rowOff>
    </xdr:to>
    <xdr:pic>
      <xdr:nvPicPr>
        <xdr:cNvPr id="8" name="7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9925" y="5724526"/>
          <a:ext cx="1638300"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25</xdr:row>
      <xdr:rowOff>180975</xdr:rowOff>
    </xdr:from>
    <xdr:to>
      <xdr:col>6</xdr:col>
      <xdr:colOff>4400550</xdr:colOff>
      <xdr:row>25</xdr:row>
      <xdr:rowOff>371475</xdr:rowOff>
    </xdr:to>
    <xdr:pic>
      <xdr:nvPicPr>
        <xdr:cNvPr id="9" name="8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62865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1333500</xdr:colOff>
      <xdr:row>15</xdr:row>
      <xdr:rowOff>233796</xdr:rowOff>
    </xdr:from>
    <xdr:to>
      <xdr:col>6</xdr:col>
      <xdr:colOff>3506932</xdr:colOff>
      <xdr:row>17</xdr:row>
      <xdr:rowOff>38100</xdr:rowOff>
    </xdr:to>
    <xdr:pic>
      <xdr:nvPicPr>
        <xdr:cNvPr id="10" name="9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35545" y="3766705"/>
          <a:ext cx="2173432" cy="53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1457325</xdr:colOff>
      <xdr:row>26</xdr:row>
      <xdr:rowOff>180975</xdr:rowOff>
    </xdr:from>
    <xdr:to>
      <xdr:col>6</xdr:col>
      <xdr:colOff>3095625</xdr:colOff>
      <xdr:row>28</xdr:row>
      <xdr:rowOff>123825</xdr:rowOff>
    </xdr:to>
    <xdr:pic>
      <xdr:nvPicPr>
        <xdr:cNvPr id="11" name="10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68294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1190625</xdr:colOff>
      <xdr:row>29</xdr:row>
      <xdr:rowOff>114300</xdr:rowOff>
    </xdr:from>
    <xdr:to>
      <xdr:col>6</xdr:col>
      <xdr:colOff>3619500</xdr:colOff>
      <xdr:row>29</xdr:row>
      <xdr:rowOff>304800</xdr:rowOff>
    </xdr:to>
    <xdr:pic>
      <xdr:nvPicPr>
        <xdr:cNvPr id="12" name="11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58800" y="7524750"/>
          <a:ext cx="2428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1638300</xdr:colOff>
      <xdr:row>30</xdr:row>
      <xdr:rowOff>152400</xdr:rowOff>
    </xdr:from>
    <xdr:to>
      <xdr:col>6</xdr:col>
      <xdr:colOff>2895600</xdr:colOff>
      <xdr:row>32</xdr:row>
      <xdr:rowOff>180975</xdr:rowOff>
    </xdr:to>
    <xdr:pic>
      <xdr:nvPicPr>
        <xdr:cNvPr id="13" name="12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06475" y="7962900"/>
          <a:ext cx="1257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1952625</xdr:colOff>
      <xdr:row>33</xdr:row>
      <xdr:rowOff>114300</xdr:rowOff>
    </xdr:from>
    <xdr:to>
      <xdr:col>6</xdr:col>
      <xdr:colOff>2695575</xdr:colOff>
      <xdr:row>33</xdr:row>
      <xdr:rowOff>304800</xdr:rowOff>
    </xdr:to>
    <xdr:pic>
      <xdr:nvPicPr>
        <xdr:cNvPr id="14" name="13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20800" y="8534400"/>
          <a:ext cx="742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1857375</xdr:colOff>
      <xdr:row>34</xdr:row>
      <xdr:rowOff>180975</xdr:rowOff>
    </xdr:from>
    <xdr:to>
      <xdr:col>6</xdr:col>
      <xdr:colOff>2905125</xdr:colOff>
      <xdr:row>36</xdr:row>
      <xdr:rowOff>209550</xdr:rowOff>
    </xdr:to>
    <xdr:pic>
      <xdr:nvPicPr>
        <xdr:cNvPr id="15" name="14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25550" y="8963025"/>
          <a:ext cx="10477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65809</xdr:colOff>
      <xdr:row>51</xdr:row>
      <xdr:rowOff>122094</xdr:rowOff>
    </xdr:from>
    <xdr:to>
      <xdr:col>7</xdr:col>
      <xdr:colOff>1180234</xdr:colOff>
      <xdr:row>51</xdr:row>
      <xdr:rowOff>322119</xdr:rowOff>
    </xdr:to>
    <xdr:pic>
      <xdr:nvPicPr>
        <xdr:cNvPr id="52" name="51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67854" y="15829685"/>
          <a:ext cx="5712403"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1402773</xdr:colOff>
      <xdr:row>38</xdr:row>
      <xdr:rowOff>268433</xdr:rowOff>
    </xdr:from>
    <xdr:to>
      <xdr:col>6</xdr:col>
      <xdr:colOff>3074991</xdr:colOff>
      <xdr:row>39</xdr:row>
      <xdr:rowOff>206953</xdr:rowOff>
    </xdr:to>
    <xdr:pic>
      <xdr:nvPicPr>
        <xdr:cNvPr id="2049" name="Picture 1"/>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304818" y="10754592"/>
          <a:ext cx="1672218" cy="310861"/>
        </a:xfrm>
        <a:prstGeom prst="rect">
          <a:avLst/>
        </a:prstGeom>
        <a:noFill/>
      </xdr:spPr>
    </xdr:pic>
    <xdr:clientData/>
  </xdr:twoCellAnchor>
  <xdr:twoCellAnchor>
    <xdr:from>
      <xdr:col>6</xdr:col>
      <xdr:colOff>1489365</xdr:colOff>
      <xdr:row>42</xdr:row>
      <xdr:rowOff>212199</xdr:rowOff>
    </xdr:from>
    <xdr:to>
      <xdr:col>6</xdr:col>
      <xdr:colOff>3264478</xdr:colOff>
      <xdr:row>44</xdr:row>
      <xdr:rowOff>85726</xdr:rowOff>
    </xdr:to>
    <xdr:pic>
      <xdr:nvPicPr>
        <xdr:cNvPr id="2050" name="Picture 2"/>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4581910" y="11564267"/>
          <a:ext cx="1775113" cy="375754"/>
        </a:xfrm>
        <a:prstGeom prst="rect">
          <a:avLst/>
        </a:prstGeom>
        <a:noFill/>
      </xdr:spPr>
    </xdr:pic>
    <xdr:clientData/>
  </xdr:twoCellAnchor>
  <xdr:twoCellAnchor>
    <xdr:from>
      <xdr:col>6</xdr:col>
      <xdr:colOff>718705</xdr:colOff>
      <xdr:row>45</xdr:row>
      <xdr:rowOff>112568</xdr:rowOff>
    </xdr:from>
    <xdr:to>
      <xdr:col>6</xdr:col>
      <xdr:colOff>4272395</xdr:colOff>
      <xdr:row>45</xdr:row>
      <xdr:rowOff>344632</xdr:rowOff>
    </xdr:to>
    <xdr:pic>
      <xdr:nvPicPr>
        <xdr:cNvPr id="2051" name="Picture 3"/>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3811250" y="12495068"/>
          <a:ext cx="3553690" cy="232064"/>
        </a:xfrm>
        <a:prstGeom prst="rect">
          <a:avLst/>
        </a:prstGeom>
        <a:noFill/>
      </xdr:spPr>
    </xdr:pic>
    <xdr:clientData/>
  </xdr:twoCellAnchor>
  <xdr:twoCellAnchor>
    <xdr:from>
      <xdr:col>6</xdr:col>
      <xdr:colOff>1627910</xdr:colOff>
      <xdr:row>46</xdr:row>
      <xdr:rowOff>346364</xdr:rowOff>
    </xdr:from>
    <xdr:to>
      <xdr:col>6</xdr:col>
      <xdr:colOff>3042479</xdr:colOff>
      <xdr:row>47</xdr:row>
      <xdr:rowOff>302203</xdr:rowOff>
    </xdr:to>
    <xdr:pic>
      <xdr:nvPicPr>
        <xdr:cNvPr id="2052" name="Picture 4"/>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4720455" y="13179137"/>
          <a:ext cx="1414569" cy="328180"/>
        </a:xfrm>
        <a:prstGeom prst="rect">
          <a:avLst/>
        </a:prstGeom>
        <a:noFill/>
      </xdr:spPr>
    </xdr:pic>
    <xdr:clientData/>
  </xdr:twoCellAnchor>
  <xdr:twoCellAnchor>
    <xdr:from>
      <xdr:col>6</xdr:col>
      <xdr:colOff>2086841</xdr:colOff>
      <xdr:row>50</xdr:row>
      <xdr:rowOff>121227</xdr:rowOff>
    </xdr:from>
    <xdr:to>
      <xdr:col>6</xdr:col>
      <xdr:colOff>3141809</xdr:colOff>
      <xdr:row>50</xdr:row>
      <xdr:rowOff>344632</xdr:rowOff>
    </xdr:to>
    <xdr:pic>
      <xdr:nvPicPr>
        <xdr:cNvPr id="2053" name="Picture 5"/>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5179386" y="14019068"/>
          <a:ext cx="1054968" cy="223405"/>
        </a:xfrm>
        <a:prstGeom prst="rect">
          <a:avLst/>
        </a:prstGeom>
        <a:noFill/>
      </xdr:spPr>
    </xdr:pic>
    <xdr:clientData/>
  </xdr:twoCellAnchor>
  <xdr:twoCellAnchor>
    <xdr:from>
      <xdr:col>0</xdr:col>
      <xdr:colOff>129887</xdr:colOff>
      <xdr:row>0</xdr:row>
      <xdr:rowOff>0</xdr:rowOff>
    </xdr:from>
    <xdr:to>
      <xdr:col>1</xdr:col>
      <xdr:colOff>1419225</xdr:colOff>
      <xdr:row>2</xdr:row>
      <xdr:rowOff>180975</xdr:rowOff>
    </xdr:to>
    <xdr:sp macro="" textlink="">
      <xdr:nvSpPr>
        <xdr:cNvPr id="21" name="20 Flecha izquierda">
          <a:hlinkClick xmlns:r="http://schemas.openxmlformats.org/officeDocument/2006/relationships" r:id="rId20"/>
        </xdr:cNvPr>
        <xdr:cNvSpPr/>
      </xdr:nvSpPr>
      <xdr:spPr>
        <a:xfrm>
          <a:off x="129887" y="0"/>
          <a:ext cx="2051338"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69273</xdr:colOff>
      <xdr:row>0</xdr:row>
      <xdr:rowOff>0</xdr:rowOff>
    </xdr:from>
    <xdr:to>
      <xdr:col>1</xdr:col>
      <xdr:colOff>744682</xdr:colOff>
      <xdr:row>2</xdr:row>
      <xdr:rowOff>207818</xdr:rowOff>
    </xdr:to>
    <xdr:sp macro="" textlink="">
      <xdr:nvSpPr>
        <xdr:cNvPr id="2" name="1 Flecha izquierda">
          <a:hlinkClick xmlns:r="http://schemas.openxmlformats.org/officeDocument/2006/relationships" r:id="rId1"/>
        </xdr:cNvPr>
        <xdr:cNvSpPr/>
      </xdr:nvSpPr>
      <xdr:spPr>
        <a:xfrm>
          <a:off x="69273" y="0"/>
          <a:ext cx="1991591" cy="675409"/>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77931</xdr:colOff>
      <xdr:row>0</xdr:row>
      <xdr:rowOff>0</xdr:rowOff>
    </xdr:from>
    <xdr:to>
      <xdr:col>1</xdr:col>
      <xdr:colOff>752474</xdr:colOff>
      <xdr:row>2</xdr:row>
      <xdr:rowOff>190500</xdr:rowOff>
    </xdr:to>
    <xdr:sp macro="" textlink="">
      <xdr:nvSpPr>
        <xdr:cNvPr id="2" name="1 Flecha izquierda">
          <a:hlinkClick xmlns:r="http://schemas.openxmlformats.org/officeDocument/2006/relationships" r:id="rId1"/>
        </xdr:cNvPr>
        <xdr:cNvSpPr/>
      </xdr:nvSpPr>
      <xdr:spPr>
        <a:xfrm>
          <a:off x="77931" y="0"/>
          <a:ext cx="1988993" cy="67627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103909</xdr:colOff>
      <xdr:row>0</xdr:row>
      <xdr:rowOff>8659</xdr:rowOff>
    </xdr:from>
    <xdr:to>
      <xdr:col>1</xdr:col>
      <xdr:colOff>306916</xdr:colOff>
      <xdr:row>2</xdr:row>
      <xdr:rowOff>254000</xdr:rowOff>
    </xdr:to>
    <xdr:sp macro="" textlink="">
      <xdr:nvSpPr>
        <xdr:cNvPr id="3" name="2 Flecha izquierda">
          <a:hlinkClick xmlns:r="http://schemas.openxmlformats.org/officeDocument/2006/relationships" r:id="rId1"/>
        </xdr:cNvPr>
        <xdr:cNvSpPr/>
      </xdr:nvSpPr>
      <xdr:spPr>
        <a:xfrm>
          <a:off x="103909" y="8659"/>
          <a:ext cx="2033924" cy="75334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129887</xdr:colOff>
      <xdr:row>0</xdr:row>
      <xdr:rowOff>0</xdr:rowOff>
    </xdr:from>
    <xdr:to>
      <xdr:col>1</xdr:col>
      <xdr:colOff>216477</xdr:colOff>
      <xdr:row>2</xdr:row>
      <xdr:rowOff>329045</xdr:rowOff>
    </xdr:to>
    <xdr:sp macro="" textlink="">
      <xdr:nvSpPr>
        <xdr:cNvPr id="2" name="1 Flecha izquierda">
          <a:hlinkClick xmlns:r="http://schemas.openxmlformats.org/officeDocument/2006/relationships" r:id="rId1"/>
        </xdr:cNvPr>
        <xdr:cNvSpPr/>
      </xdr:nvSpPr>
      <xdr:spPr>
        <a:xfrm>
          <a:off x="129887" y="0"/>
          <a:ext cx="1913658" cy="76200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77932</xdr:colOff>
      <xdr:row>0</xdr:row>
      <xdr:rowOff>0</xdr:rowOff>
    </xdr:from>
    <xdr:to>
      <xdr:col>1</xdr:col>
      <xdr:colOff>414617</xdr:colOff>
      <xdr:row>2</xdr:row>
      <xdr:rowOff>313764</xdr:rowOff>
    </xdr:to>
    <xdr:sp macro="" textlink="">
      <xdr:nvSpPr>
        <xdr:cNvPr id="2" name="1 Flecha izquierda">
          <a:hlinkClick xmlns:r="http://schemas.openxmlformats.org/officeDocument/2006/relationships" r:id="rId1"/>
        </xdr:cNvPr>
        <xdr:cNvSpPr/>
      </xdr:nvSpPr>
      <xdr:spPr>
        <a:xfrm>
          <a:off x="77932" y="0"/>
          <a:ext cx="2163244" cy="84044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60613</xdr:colOff>
      <xdr:row>0</xdr:row>
      <xdr:rowOff>0</xdr:rowOff>
    </xdr:from>
    <xdr:to>
      <xdr:col>1</xdr:col>
      <xdr:colOff>173182</xdr:colOff>
      <xdr:row>2</xdr:row>
      <xdr:rowOff>164523</xdr:rowOff>
    </xdr:to>
    <xdr:sp macro="" textlink="">
      <xdr:nvSpPr>
        <xdr:cNvPr id="3" name="2 Flecha izquierda">
          <a:hlinkClick xmlns:r="http://schemas.openxmlformats.org/officeDocument/2006/relationships" r:id="rId1"/>
        </xdr:cNvPr>
        <xdr:cNvSpPr/>
      </xdr:nvSpPr>
      <xdr:spPr>
        <a:xfrm>
          <a:off x="60613" y="0"/>
          <a:ext cx="1939637"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hyperlink" Target="http://estrategia.gobiernoenlinea.gov.co/623/articles-8237_guia_usabilidad.pdf" TargetMode="External"/><Relationship Id="rId7" Type="http://schemas.openxmlformats.org/officeDocument/2006/relationships/comments" Target="../comments13.xml"/><Relationship Id="rId2" Type="http://schemas.openxmlformats.org/officeDocument/2006/relationships/hyperlink" Target="http://estrategia.gobiernoenlinea.gov.co/623/articles-8250_Guiainnovacion.pdf" TargetMode="External"/><Relationship Id="rId1" Type="http://schemas.openxmlformats.org/officeDocument/2006/relationships/hyperlink" Target="http://estrategia.gobiernoenlinea.gov.co/623/articles-8248_Guia_Apertura_Datos.pdf" TargetMode="External"/><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minambiente.gov.co/images/GestionIntegraldelRecursoHidrico/pdf/Plan-de-ordenamiento-del-Recurso-Hidrico/GUIA_TECNICA_PORH.pdf" TargetMode="External"/><Relationship Id="rId7" Type="http://schemas.openxmlformats.org/officeDocument/2006/relationships/drawing" Target="../drawings/drawing1.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printerSettings" Target="../printerSettings/printerSettings2.bin"/><Relationship Id="rId5" Type="http://schemas.openxmlformats.org/officeDocument/2006/relationships/hyperlink" Target="http://www.humboldt.org.co/images/pdf/PNGIBSE_espa%C3%B1ol_web.pdf" TargetMode="External"/><Relationship Id="rId4" Type="http://schemas.openxmlformats.org/officeDocument/2006/relationships/hyperlink" Target="http://www.humboldt.org.co/images/pdf/PNGIBSE_espa%C3%B1ol_web.pdf"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nla.gov.co/tramites-inscritos-si" TargetMode="External"/><Relationship Id="rId7" Type="http://schemas.openxmlformats.org/officeDocument/2006/relationships/comments" Target="../comments2.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minambiente.gov.co/images/normativa/app/resoluciones/59-res%20667%20abril%202016.pdf" TargetMode="External"/><Relationship Id="rId7" Type="http://schemas.openxmlformats.org/officeDocument/2006/relationships/vmlDrawing" Target="../drawings/vmlDrawing3.v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www.minambiente.gov.co/images/normativa/app/resoluciones/59-res%20667%20abril%202016.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funcionpublica.gov.co/documents/418537/9865585/Instructivo_ingreso_y_diligenciamineto_FURAG.pdf/fb25ad16-ce84-49ca-97f0-558a7b72cdcc"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comments" Target="../comments5.x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vmlDrawing" Target="../drawings/vmlDrawing6.v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estrategia.gobiernoenlinea.gov.co/623/articles-8248_Guia_Apertura_Datos.pdf"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vmlDrawing" Target="../drawings/vmlDrawing7.v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http://corpoguajira.gov.co/wp/audiencia-publica-seguimiento-al-plan-accion-cuatriena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A1:E48"/>
  <sheetViews>
    <sheetView showGridLines="0" tabSelected="1" topLeftCell="A22" zoomScale="110" zoomScaleNormal="110" workbookViewId="0">
      <selection activeCell="G17" sqref="G17"/>
    </sheetView>
  </sheetViews>
  <sheetFormatPr baseColWidth="10" defaultRowHeight="12" x14ac:dyDescent="0.2"/>
  <cols>
    <col min="1" max="1" width="26.42578125" style="21" customWidth="1"/>
    <col min="2" max="2" width="29.5703125" style="76" customWidth="1"/>
    <col min="3" max="3" width="19.7109375" style="22" customWidth="1"/>
    <col min="4" max="4" width="38.85546875" style="21" customWidth="1"/>
    <col min="5" max="5" width="23.140625" style="22" customWidth="1"/>
    <col min="6" max="16384" width="11.42578125" style="21"/>
  </cols>
  <sheetData>
    <row r="1" spans="1:5" ht="36.75" customHeight="1" x14ac:dyDescent="0.2">
      <c r="A1" s="1125" t="s">
        <v>2245</v>
      </c>
      <c r="B1" s="1126"/>
      <c r="C1" s="1126"/>
      <c r="D1" s="1126"/>
      <c r="E1" s="1127"/>
    </row>
    <row r="2" spans="1:5" ht="30.75" customHeight="1" x14ac:dyDescent="0.2">
      <c r="A2" s="1047" t="s">
        <v>1393</v>
      </c>
      <c r="B2" s="64" t="s">
        <v>2194</v>
      </c>
      <c r="C2" s="65" t="s">
        <v>2195</v>
      </c>
      <c r="D2" s="64" t="s">
        <v>2193</v>
      </c>
      <c r="E2" s="1048" t="s">
        <v>2196</v>
      </c>
    </row>
    <row r="3" spans="1:5" ht="45" x14ac:dyDescent="0.25">
      <c r="A3" s="1098" t="s">
        <v>2226</v>
      </c>
      <c r="B3" s="1101" t="s">
        <v>2242</v>
      </c>
      <c r="C3" s="1105">
        <f>'Cálculo IGM-GPCR'!H51</f>
        <v>0.85846225757679451</v>
      </c>
      <c r="D3" s="66" t="s">
        <v>2251</v>
      </c>
      <c r="E3" s="1049">
        <f>'Cálculo IGM-GPCR'!H10</f>
        <v>0.9375</v>
      </c>
    </row>
    <row r="4" spans="1:5" ht="51.75" customHeight="1" x14ac:dyDescent="0.25">
      <c r="A4" s="1099"/>
      <c r="B4" s="1101"/>
      <c r="C4" s="1128"/>
      <c r="D4" s="66" t="s">
        <v>2252</v>
      </c>
      <c r="E4" s="1050">
        <f>'Cálculo IGM-GPCR'!H36</f>
        <v>1</v>
      </c>
    </row>
    <row r="5" spans="1:5" ht="49.5" customHeight="1" x14ac:dyDescent="0.25">
      <c r="A5" s="1099"/>
      <c r="B5" s="1102"/>
      <c r="C5" s="1128"/>
      <c r="D5" s="66" t="s">
        <v>2253</v>
      </c>
      <c r="E5" s="1050">
        <f>'Cálculo IGM-GPCR'!H50</f>
        <v>0.60112419192264854</v>
      </c>
    </row>
    <row r="6" spans="1:5" ht="33" customHeight="1" x14ac:dyDescent="0.25">
      <c r="A6" s="1099"/>
      <c r="B6" s="1100" t="s">
        <v>2244</v>
      </c>
      <c r="C6" s="1129">
        <f>'Cálculo IGM-GACV'!H58</f>
        <v>0.69880154162228791</v>
      </c>
      <c r="D6" s="66" t="s">
        <v>2254</v>
      </c>
      <c r="E6" s="1050">
        <f>'Cálculo IGM-GACV'!H26</f>
        <v>0.59120429838571165</v>
      </c>
    </row>
    <row r="7" spans="1:5" ht="33.75" customHeight="1" x14ac:dyDescent="0.25">
      <c r="A7" s="1099"/>
      <c r="B7" s="1101"/>
      <c r="C7" s="1128"/>
      <c r="D7" s="66" t="s">
        <v>2255</v>
      </c>
      <c r="E7" s="1050">
        <f>'Cálculo IGM-GACV'!H52</f>
        <v>0.99157843137254909</v>
      </c>
    </row>
    <row r="8" spans="1:5" ht="44.25" customHeight="1" x14ac:dyDescent="0.2">
      <c r="A8" s="1099"/>
      <c r="B8" s="1102"/>
      <c r="C8" s="1128"/>
      <c r="D8" s="67" t="s">
        <v>2256</v>
      </c>
      <c r="E8" s="1050">
        <f>'Cálculo IGM-GACV'!H57</f>
        <v>0.48275862068965519</v>
      </c>
    </row>
    <row r="9" spans="1:5" ht="30" customHeight="1" x14ac:dyDescent="0.2">
      <c r="A9" s="1099"/>
      <c r="B9" s="1100" t="s">
        <v>2243</v>
      </c>
      <c r="C9" s="1103">
        <f>'Cálculo IGM-GPADS'!H52</f>
        <v>0.97911750000000008</v>
      </c>
      <c r="D9" s="67" t="s">
        <v>2257</v>
      </c>
      <c r="E9" s="1050">
        <f>'Cálculo IGM-GPADS'!H14</f>
        <v>0.99990000000000001</v>
      </c>
    </row>
    <row r="10" spans="1:5" ht="30" customHeight="1" x14ac:dyDescent="0.2">
      <c r="A10" s="1099"/>
      <c r="B10" s="1101"/>
      <c r="C10" s="1104"/>
      <c r="D10" s="67" t="s">
        <v>2258</v>
      </c>
      <c r="E10" s="1050">
        <f>'Cálculo IGM-GPADS'!H30</f>
        <v>1</v>
      </c>
    </row>
    <row r="11" spans="1:5" ht="30" x14ac:dyDescent="0.2">
      <c r="A11" s="1099"/>
      <c r="B11" s="1101"/>
      <c r="C11" s="1104"/>
      <c r="D11" s="67" t="s">
        <v>2259</v>
      </c>
      <c r="E11" s="1050" t="str">
        <f>'Cálculo IGM-GPADS'!H34</f>
        <v>N.A</v>
      </c>
    </row>
    <row r="12" spans="1:5" ht="26.25" customHeight="1" x14ac:dyDescent="0.2">
      <c r="A12" s="1099"/>
      <c r="B12" s="1101"/>
      <c r="C12" s="1104"/>
      <c r="D12" s="67" t="s">
        <v>2260</v>
      </c>
      <c r="E12" s="1050">
        <f>'Cálculo IGM-GPADS'!H46</f>
        <v>0.96656999999999993</v>
      </c>
    </row>
    <row r="13" spans="1:5" ht="30" x14ac:dyDescent="0.2">
      <c r="A13" s="1099"/>
      <c r="B13" s="1102"/>
      <c r="C13" s="1105"/>
      <c r="D13" s="67" t="s">
        <v>2261</v>
      </c>
      <c r="E13" s="1050">
        <f>'Cálculo IGM-GPADS'!H51</f>
        <v>0.95</v>
      </c>
    </row>
    <row r="14" spans="1:5" ht="26.25" customHeight="1" x14ac:dyDescent="0.2">
      <c r="A14" s="1099"/>
      <c r="B14" s="1092" t="s">
        <v>2250</v>
      </c>
      <c r="C14" s="1093"/>
      <c r="D14" s="1094"/>
      <c r="E14" s="1051">
        <f>(C3*0.35)+(C6*0.3)+(C9*0.35)</f>
        <v>0.85279337763856444</v>
      </c>
    </row>
    <row r="15" spans="1:5" ht="26.25" customHeight="1" x14ac:dyDescent="0.2">
      <c r="A15" s="1099"/>
      <c r="B15" s="1092" t="s">
        <v>2249</v>
      </c>
      <c r="C15" s="1093"/>
      <c r="D15" s="1094"/>
      <c r="E15" s="1065">
        <v>0.69899999999999995</v>
      </c>
    </row>
    <row r="16" spans="1:5" ht="28.5" customHeight="1" x14ac:dyDescent="0.2">
      <c r="A16" s="1095" t="s">
        <v>2248</v>
      </c>
      <c r="B16" s="1096"/>
      <c r="C16" s="1096"/>
      <c r="D16" s="1097"/>
      <c r="E16" s="1051">
        <f>(E14*70%)+(E15*30%)</f>
        <v>0.80665536434699503</v>
      </c>
    </row>
    <row r="17" spans="1:5" ht="24.75" customHeight="1" x14ac:dyDescent="0.25">
      <c r="A17" s="1116" t="s">
        <v>2246</v>
      </c>
      <c r="B17" s="1111" t="s">
        <v>2275</v>
      </c>
      <c r="C17" s="1103">
        <f>(E17*0.25)+(E18*0.3)+(E19*0.1)+(E20*0.1)+(E21*0.25)</f>
        <v>0.80701211858426247</v>
      </c>
      <c r="D17" s="68" t="s">
        <v>2262</v>
      </c>
      <c r="E17" s="1050">
        <f>'Cálculo IGA-TSC-PA'!I74</f>
        <v>0.88275000000000015</v>
      </c>
    </row>
    <row r="18" spans="1:5" ht="26.25" customHeight="1" x14ac:dyDescent="0.25">
      <c r="A18" s="1117"/>
      <c r="B18" s="1112"/>
      <c r="C18" s="1104"/>
      <c r="D18" s="68" t="s">
        <v>2263</v>
      </c>
      <c r="E18" s="1050">
        <f>'Cálculo IGA-TSC-TYAI'!K193</f>
        <v>0.81626818832116788</v>
      </c>
    </row>
    <row r="19" spans="1:5" ht="30" customHeight="1" x14ac:dyDescent="0.25">
      <c r="A19" s="1117"/>
      <c r="B19" s="1112"/>
      <c r="C19" s="1104"/>
      <c r="D19" s="68" t="s">
        <v>2264</v>
      </c>
      <c r="E19" s="1050">
        <f>'Cálculo IGA-TSC-PC'!J133</f>
        <v>0.81589781746031742</v>
      </c>
    </row>
    <row r="20" spans="1:5" ht="24" customHeight="1" x14ac:dyDescent="0.25">
      <c r="A20" s="1117"/>
      <c r="B20" s="1112"/>
      <c r="C20" s="1104"/>
      <c r="D20" s="68" t="s">
        <v>2265</v>
      </c>
      <c r="E20" s="1050">
        <f>'Cálculo IGA-TSC-RC'!J149</f>
        <v>0.7364188034188035</v>
      </c>
    </row>
    <row r="21" spans="1:5" ht="22.5" customHeight="1" x14ac:dyDescent="0.25">
      <c r="A21" s="1117"/>
      <c r="B21" s="1113"/>
      <c r="C21" s="1105"/>
      <c r="D21" s="68" t="s">
        <v>2266</v>
      </c>
      <c r="E21" s="1050">
        <f>'Cálculo IGA-TSC-SC'!I99</f>
        <v>0.7448499999999999</v>
      </c>
    </row>
    <row r="22" spans="1:5" ht="19.5" customHeight="1" x14ac:dyDescent="0.25">
      <c r="A22" s="1117"/>
      <c r="B22" s="1114" t="s">
        <v>2276</v>
      </c>
      <c r="C22" s="1103">
        <f>(E22*0.3)+(E23*0.4)+(E24*0.3)</f>
        <v>0.73853776190476206</v>
      </c>
      <c r="D22" s="68" t="s">
        <v>2267</v>
      </c>
      <c r="E22" s="1050">
        <f>'Cálculo IGA-EA-SGC'!J190</f>
        <v>0.87726587301587311</v>
      </c>
    </row>
    <row r="23" spans="1:5" ht="21" customHeight="1" x14ac:dyDescent="0.25">
      <c r="A23" s="1117"/>
      <c r="B23" s="1115"/>
      <c r="C23" s="1104"/>
      <c r="D23" s="68" t="s">
        <v>2268</v>
      </c>
      <c r="E23" s="1050">
        <f>'Cálculo IGA-EA-GD'!K210</f>
        <v>0.66964500000000016</v>
      </c>
    </row>
    <row r="24" spans="1:5" ht="24" customHeight="1" x14ac:dyDescent="0.25">
      <c r="A24" s="1117"/>
      <c r="B24" s="1115"/>
      <c r="C24" s="1104"/>
      <c r="D24" s="68" t="s">
        <v>2269</v>
      </c>
      <c r="E24" s="1050">
        <f>'Cálculo IGA-EA-RT'!I40</f>
        <v>0.69166666666666676</v>
      </c>
    </row>
    <row r="25" spans="1:5" ht="30" x14ac:dyDescent="0.25">
      <c r="A25" s="1117"/>
      <c r="B25" s="69" t="s">
        <v>2277</v>
      </c>
      <c r="C25" s="1042">
        <f>E25</f>
        <v>0.89846256684491976</v>
      </c>
      <c r="D25" s="68" t="s">
        <v>2270</v>
      </c>
      <c r="E25" s="1050">
        <f>'Cálculo IGA-GTH-BCTHSIGEP'!J117</f>
        <v>0.89846256684491976</v>
      </c>
    </row>
    <row r="26" spans="1:5" ht="30" x14ac:dyDescent="0.25">
      <c r="A26" s="1117"/>
      <c r="B26" s="69" t="s">
        <v>2278</v>
      </c>
      <c r="C26" s="1042">
        <f>E26</f>
        <v>0.73361836490868748</v>
      </c>
      <c r="D26" s="68" t="s">
        <v>2271</v>
      </c>
      <c r="E26" s="1050">
        <f>'Cálculo IGA-GEL-GEL'!J453</f>
        <v>0.73361836490868748</v>
      </c>
    </row>
    <row r="27" spans="1:5" ht="25.5" customHeight="1" x14ac:dyDescent="0.2">
      <c r="A27" s="1118" t="s">
        <v>2280</v>
      </c>
      <c r="B27" s="1119"/>
      <c r="C27" s="1119"/>
      <c r="D27" s="1120"/>
      <c r="E27" s="1052">
        <f>(C17*0.25)+(C22*0.25)+(C25*0.25)+(C26*0.25)</f>
        <v>0.794407703060658</v>
      </c>
    </row>
    <row r="28" spans="1:5" ht="36" customHeight="1" x14ac:dyDescent="0.2">
      <c r="A28" s="1106" t="s">
        <v>2247</v>
      </c>
      <c r="B28" s="70" t="s">
        <v>2272</v>
      </c>
      <c r="C28" s="1042">
        <f>E28</f>
        <v>0.64803467498600154</v>
      </c>
      <c r="D28" s="71" t="s">
        <v>2272</v>
      </c>
      <c r="E28" s="1050">
        <f>'Cálculo IGFC-EGP'!H10</f>
        <v>0.64803467498600154</v>
      </c>
    </row>
    <row r="29" spans="1:5" ht="22.5" customHeight="1" x14ac:dyDescent="0.2">
      <c r="A29" s="1107"/>
      <c r="B29" s="70" t="s">
        <v>2273</v>
      </c>
      <c r="C29" s="1042">
        <f>E29</f>
        <v>0.80035339470450395</v>
      </c>
      <c r="D29" s="71" t="s">
        <v>2273</v>
      </c>
      <c r="E29" s="1050">
        <f>'Cálculo IGFC-GI'!H12</f>
        <v>0.80035339470450395</v>
      </c>
    </row>
    <row r="30" spans="1:5" ht="29.25" customHeight="1" x14ac:dyDescent="0.2">
      <c r="A30" s="1108"/>
      <c r="B30" s="70" t="s">
        <v>2279</v>
      </c>
      <c r="C30" s="1042">
        <f>E30</f>
        <v>0.77122186888957323</v>
      </c>
      <c r="D30" s="71" t="s">
        <v>2274</v>
      </c>
      <c r="E30" s="1050">
        <f>'Cálculo IGFC-GC'!I25</f>
        <v>0.77122186888957323</v>
      </c>
    </row>
    <row r="31" spans="1:5" ht="29.25" customHeight="1" x14ac:dyDescent="0.2">
      <c r="A31" s="1121" t="s">
        <v>2281</v>
      </c>
      <c r="B31" s="1122"/>
      <c r="C31" s="1122"/>
      <c r="D31" s="1123"/>
      <c r="E31" s="1050">
        <f>(E28*0.35)+(E29*0.3)+(E30*0.35)</f>
        <v>0.73684580876780226</v>
      </c>
    </row>
    <row r="32" spans="1:5" ht="23.25" customHeight="1" thickBot="1" x14ac:dyDescent="0.25">
      <c r="A32" s="1109" t="s">
        <v>2199</v>
      </c>
      <c r="B32" s="1110"/>
      <c r="C32" s="1110"/>
      <c r="D32" s="1110"/>
      <c r="E32" s="1053">
        <f>(E16*0.6)+(E27*0.2)+(E31*0.2)</f>
        <v>0.79024392097388896</v>
      </c>
    </row>
    <row r="35" spans="1:4" x14ac:dyDescent="0.2">
      <c r="A35" s="1124" t="s">
        <v>1964</v>
      </c>
      <c r="B35" s="1124"/>
      <c r="C35" s="72"/>
    </row>
    <row r="36" spans="1:4" x14ac:dyDescent="0.2">
      <c r="A36" s="73"/>
      <c r="B36" s="50" t="s">
        <v>2282</v>
      </c>
      <c r="C36" s="72"/>
    </row>
    <row r="37" spans="1:4" x14ac:dyDescent="0.2">
      <c r="A37" s="23"/>
      <c r="B37" s="50" t="s">
        <v>2283</v>
      </c>
      <c r="C37" s="72"/>
    </row>
    <row r="38" spans="1:4" ht="24" x14ac:dyDescent="0.2">
      <c r="A38" s="74"/>
      <c r="B38" s="48" t="s">
        <v>2200</v>
      </c>
    </row>
    <row r="39" spans="1:4" x14ac:dyDescent="0.2">
      <c r="A39" s="75"/>
      <c r="B39" s="50" t="s">
        <v>2284</v>
      </c>
    </row>
    <row r="41" spans="1:4" ht="12.75" thickBot="1" x14ac:dyDescent="0.25"/>
    <row r="42" spans="1:4" ht="13.5" thickBot="1" x14ac:dyDescent="0.25">
      <c r="A42" s="1089" t="s">
        <v>2227</v>
      </c>
      <c r="B42" s="1090"/>
      <c r="C42" s="1090"/>
      <c r="D42" s="1091"/>
    </row>
    <row r="43" spans="1:4" ht="13.5" thickBot="1" x14ac:dyDescent="0.25">
      <c r="A43" s="77" t="s">
        <v>2228</v>
      </c>
      <c r="B43" s="78" t="s">
        <v>2229</v>
      </c>
      <c r="C43" s="78" t="s">
        <v>2230</v>
      </c>
      <c r="D43" s="78" t="s">
        <v>2231</v>
      </c>
    </row>
    <row r="44" spans="1:4" ht="13.5" thickBot="1" x14ac:dyDescent="0.25">
      <c r="A44" s="79">
        <v>1</v>
      </c>
      <c r="B44" s="80" t="s">
        <v>2232</v>
      </c>
      <c r="C44" s="80" t="s">
        <v>2233</v>
      </c>
      <c r="D44" s="81"/>
    </row>
    <row r="45" spans="1:4" ht="13.5" thickBot="1" x14ac:dyDescent="0.25">
      <c r="A45" s="79">
        <v>2</v>
      </c>
      <c r="B45" s="80" t="s">
        <v>2234</v>
      </c>
      <c r="C45" s="80" t="s">
        <v>2235</v>
      </c>
      <c r="D45" s="82"/>
    </row>
    <row r="46" spans="1:4" ht="13.5" thickBot="1" x14ac:dyDescent="0.25">
      <c r="A46" s="79">
        <v>3</v>
      </c>
      <c r="B46" s="80" t="s">
        <v>2236</v>
      </c>
      <c r="C46" s="80" t="s">
        <v>2237</v>
      </c>
      <c r="D46" s="83"/>
    </row>
    <row r="47" spans="1:4" ht="13.5" thickBot="1" x14ac:dyDescent="0.25">
      <c r="A47" s="79">
        <v>4</v>
      </c>
      <c r="B47" s="80" t="s">
        <v>2238</v>
      </c>
      <c r="C47" s="80" t="s">
        <v>2239</v>
      </c>
      <c r="D47" s="93"/>
    </row>
    <row r="48" spans="1:4" ht="13.5" thickBot="1" x14ac:dyDescent="0.25">
      <c r="A48" s="79">
        <v>5</v>
      </c>
      <c r="B48" s="80" t="s">
        <v>2240</v>
      </c>
      <c r="C48" s="80" t="s">
        <v>2241</v>
      </c>
      <c r="D48" s="84"/>
    </row>
  </sheetData>
  <sheetProtection sheet="1" objects="1" scenarios="1"/>
  <mergeCells count="22">
    <mergeCell ref="A35:B35"/>
    <mergeCell ref="A1:E1"/>
    <mergeCell ref="B3:B5"/>
    <mergeCell ref="C3:C5"/>
    <mergeCell ref="B6:B8"/>
    <mergeCell ref="C6:C8"/>
    <mergeCell ref="A42:D42"/>
    <mergeCell ref="B14:D14"/>
    <mergeCell ref="B15:D15"/>
    <mergeCell ref="A16:D16"/>
    <mergeCell ref="A3:A15"/>
    <mergeCell ref="B9:B13"/>
    <mergeCell ref="C9:C13"/>
    <mergeCell ref="A28:A30"/>
    <mergeCell ref="A32:D32"/>
    <mergeCell ref="C17:C21"/>
    <mergeCell ref="B17:B21"/>
    <mergeCell ref="C22:C24"/>
    <mergeCell ref="B22:B24"/>
    <mergeCell ref="A17:A26"/>
    <mergeCell ref="A27:D27"/>
    <mergeCell ref="A31:D31"/>
  </mergeCells>
  <conditionalFormatting sqref="C3:C9 C17 C22 C25:C26 C28:C30 E3:E32">
    <cfRule type="cellIs" dxfId="118" priority="46" operator="between">
      <formula>0.9</formula>
      <formula>1</formula>
    </cfRule>
    <cfRule type="cellIs" dxfId="117" priority="47" operator="between">
      <formula>0.75</formula>
      <formula>0.899</formula>
    </cfRule>
    <cfRule type="cellIs" dxfId="116" priority="48" operator="between">
      <formula>0.6</formula>
      <formula>0.749</formula>
    </cfRule>
    <cfRule type="cellIs" dxfId="115" priority="49" operator="between">
      <formula>0.41</formula>
      <formula>0.599</formula>
    </cfRule>
    <cfRule type="cellIs" dxfId="114" priority="50" operator="between">
      <formula>0</formula>
      <formula>0.4</formula>
    </cfRule>
  </conditionalFormatting>
  <hyperlinks>
    <hyperlink ref="C3:C5" location="'Cálculo IGM-GPCR'!A1" display="'Cálculo IGM-GPCR'!A1"/>
    <hyperlink ref="C6:C8" location="'Cálculo IGM-GACV'!A1" display="'Cálculo IGM-GACV'!A1"/>
    <hyperlink ref="C9:C13" location="'Cálculo IGM-GPADS'!A1" display="'Cálculo IGM-GPADS'!A1"/>
    <hyperlink ref="C17:C21" location="'Cálculo IGA-TSC-PA'!A1" display="'Cálculo IGA-TSC-PA'!A1"/>
    <hyperlink ref="C22:C24" location="'Cálculo IGA-EA-SGC'!A1" display="'Cálculo IGA-EA-SGC'!A1"/>
    <hyperlink ref="C25" location="'Cálculo IGA-GTH-BCTHSIGEP'!A1" display="'Cálculo IGA-GTH-BCTHSIGEP'!A1"/>
    <hyperlink ref="C26" location="'Cálculo IGA-GEL-GEL'!A1" display="'Cálculo IGA-GEL-GEL'!A1"/>
    <hyperlink ref="C28" location="'Cálculo IGFC-EGP'!A1" display="'Cálculo IGFC-EGP'!A1"/>
    <hyperlink ref="C29" location="'Cálculo IGFC-GI'!A1" display="'Cálculo IGFC-GI'!A1"/>
    <hyperlink ref="C30" location="'Cálculo IGFC-GC'!A1" display="'Cálculo IGFC-GC'!A1"/>
    <hyperlink ref="E3" location="'Cálculo IGM-GPCR'!A1" display="'Cálculo IGM-GPCR'!A1"/>
    <hyperlink ref="E4" location="'Cálculo IGM-GPCR'!A1" display="'Cálculo IGM-GPCR'!A1"/>
    <hyperlink ref="E5" location="'Cálculo IGM-GPCR'!A1" display="'Cálculo IGM-GPCR'!A1"/>
    <hyperlink ref="E6" location="'Cálculo IGM-GACV'!A1" display="'Cálculo IGM-GACV'!A1"/>
    <hyperlink ref="E7" location="'Cálculo IGM-GACV'!A1" display="'Cálculo IGM-GACV'!A1"/>
    <hyperlink ref="E8" location="'Cálculo IGM-GACV'!A1" display="'Cálculo IGM-GACV'!A1"/>
    <hyperlink ref="E9" location="'Cálculo IGM-GPADS'!A1" display="'Cálculo IGM-GPADS'!A1"/>
    <hyperlink ref="E10" location="'Cálculo IGM-GPADS'!A1" display="'Cálculo IGM-GPADS'!A1"/>
    <hyperlink ref="E11" location="'Cálculo IGM-GPADS'!A1" display="'Cálculo IGM-GPADS'!A1"/>
    <hyperlink ref="E12" location="'Cálculo IGM-GPADS'!A1" display="'Cálculo IGM-GPADS'!A1"/>
    <hyperlink ref="E13" location="'Cálculo IGM-GPADS'!A1" display="'Cálculo IGM-GPADS'!A1"/>
    <hyperlink ref="E17" location="'Cálculo IGA-TSC-PA'!A1" display="'Cálculo IGA-TSC-PA'!A1"/>
    <hyperlink ref="E18" location="'Cálculo IGA-TSC-TYAI'!A1" display="'Cálculo IGA-TSC-TYAI'!A1"/>
    <hyperlink ref="E19" location="'Cálculo IGA-TSC-PC'!A1" display="'Cálculo IGA-TSC-PC'!A1"/>
    <hyperlink ref="E20" location="'Cálculo IGA-TSC-RC'!A1" display="'Cálculo IGA-TSC-RC'!A1"/>
    <hyperlink ref="E21" location="'Cálculo IGA-TSC-SC'!A1" display="'Cálculo IGA-TSC-SC'!A1"/>
    <hyperlink ref="E22" location="'Cálculo IGA-EA-SGC'!A1" display="'Cálculo IGA-EA-SGC'!A1"/>
    <hyperlink ref="E23" location="'Cálculo IGA-EA-GD'!A1" display="'Cálculo IGA-EA-GD'!A1"/>
    <hyperlink ref="E24" location="'Cálculo IGA-EA-RT'!A1" display="'Cálculo IGA-EA-RT'!A1"/>
    <hyperlink ref="E25" location="'Cálculo IGA-GTH-BCTHSIGEP'!A1" display="'Cálculo IGA-GTH-BCTHSIGEP'!A1"/>
    <hyperlink ref="E26" location="'Cálculo IGA-GEL-GEL'!A1" display="'Cálculo IGA-GEL-GEL'!A1"/>
    <hyperlink ref="E28" location="'Cálculo IGFC-EGP'!A1" display="'Cálculo IGFC-EGP'!A1"/>
    <hyperlink ref="E29" location="'Cálculo IGFC-GI'!A1" display="'Cálculo IGFC-GI'!A1"/>
    <hyperlink ref="E30" location="'Cálculo IGFC-GC'!A1" display="'Cálculo IGFC-GC'!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9" tint="0.59999389629810485"/>
  </sheetPr>
  <dimension ref="A1:K209"/>
  <sheetViews>
    <sheetView showGridLines="0" topLeftCell="C1" zoomScaleNormal="100" workbookViewId="0">
      <selection activeCell="J111" sqref="J111"/>
    </sheetView>
  </sheetViews>
  <sheetFormatPr baseColWidth="10" defaultRowHeight="12" x14ac:dyDescent="0.2"/>
  <cols>
    <col min="1" max="1" width="27.42578125" style="10" customWidth="1"/>
    <col min="2" max="2" width="14.85546875" style="10" customWidth="1"/>
    <col min="3" max="3" width="38.85546875" style="10" customWidth="1"/>
    <col min="4" max="4" width="16.5703125" style="10" customWidth="1"/>
    <col min="5" max="5" width="49.5703125" style="10" customWidth="1"/>
    <col min="6" max="6" width="26.5703125" style="11" customWidth="1"/>
    <col min="7" max="7" width="14.140625" style="10" customWidth="1"/>
    <col min="8" max="8" width="30.140625" style="10" customWidth="1"/>
    <col min="9" max="9" width="21.7109375" style="10" customWidth="1"/>
    <col min="10" max="10" width="18.85546875" style="10" customWidth="1"/>
    <col min="11" max="11" width="63.28515625" style="10" customWidth="1"/>
    <col min="12" max="16384" width="11.42578125" style="10"/>
  </cols>
  <sheetData>
    <row r="1" spans="1:11" ht="17.25" customHeight="1" x14ac:dyDescent="0.2">
      <c r="A1" s="1570" t="s">
        <v>1999</v>
      </c>
      <c r="B1" s="1570"/>
      <c r="C1" s="1570"/>
      <c r="D1" s="1570"/>
      <c r="E1" s="1570"/>
      <c r="F1" s="1570"/>
      <c r="G1" s="1570"/>
      <c r="H1" s="1570"/>
      <c r="I1" s="1570"/>
      <c r="J1" s="1570"/>
      <c r="K1" s="1570"/>
    </row>
    <row r="2" spans="1:11" ht="18.75" customHeight="1" x14ac:dyDescent="0.2">
      <c r="A2" s="1589" t="s">
        <v>2424</v>
      </c>
      <c r="B2" s="1589"/>
      <c r="C2" s="1589"/>
      <c r="D2" s="1589"/>
      <c r="E2" s="1589"/>
      <c r="F2" s="1589"/>
      <c r="G2" s="1589"/>
      <c r="H2" s="1589"/>
      <c r="I2" s="1589"/>
      <c r="J2" s="1589"/>
      <c r="K2" s="1589"/>
    </row>
    <row r="3" spans="1:11" ht="36.75" thickBot="1" x14ac:dyDescent="0.25">
      <c r="A3" s="27" t="s">
        <v>170</v>
      </c>
      <c r="B3" s="28" t="s">
        <v>171</v>
      </c>
      <c r="C3" s="295" t="s">
        <v>172</v>
      </c>
      <c r="D3" s="295" t="s">
        <v>1998</v>
      </c>
      <c r="E3" s="295" t="s">
        <v>456</v>
      </c>
      <c r="F3" s="295" t="s">
        <v>762</v>
      </c>
      <c r="G3" s="295" t="s">
        <v>458</v>
      </c>
      <c r="H3" s="295" t="s">
        <v>79</v>
      </c>
      <c r="I3" s="295" t="s">
        <v>763</v>
      </c>
      <c r="J3" s="296" t="s">
        <v>764</v>
      </c>
      <c r="K3" s="296" t="s">
        <v>1907</v>
      </c>
    </row>
    <row r="4" spans="1:11" ht="29.25" customHeight="1" x14ac:dyDescent="0.2">
      <c r="A4" s="1642" t="s">
        <v>765</v>
      </c>
      <c r="B4" s="1583">
        <v>0.15</v>
      </c>
      <c r="C4" s="1643" t="s">
        <v>766</v>
      </c>
      <c r="D4" s="307" t="s">
        <v>82</v>
      </c>
      <c r="E4" s="671" t="s">
        <v>767</v>
      </c>
      <c r="F4" s="1384" t="s">
        <v>769</v>
      </c>
      <c r="G4" s="1559" t="s">
        <v>2526</v>
      </c>
      <c r="H4" s="301" t="s">
        <v>768</v>
      </c>
      <c r="I4" s="1575">
        <f>J4</f>
        <v>1</v>
      </c>
      <c r="J4" s="1633">
        <f>IF(F4="Se encuentra en proceso de alistamiento institucional (diagnóstico y planeación) para ser implementado",50%,IF(F4="Se encuentra implementado y se mejora continuamente",100%,0))</f>
        <v>1</v>
      </c>
      <c r="K4" s="998"/>
    </row>
    <row r="5" spans="1:11" ht="27.75" customHeight="1" thickBot="1" x14ac:dyDescent="0.25">
      <c r="A5" s="1642"/>
      <c r="B5" s="1583"/>
      <c r="C5" s="1644"/>
      <c r="D5" s="308" t="s">
        <v>84</v>
      </c>
      <c r="E5" s="673" t="s">
        <v>769</v>
      </c>
      <c r="F5" s="1371"/>
      <c r="G5" s="1561"/>
      <c r="H5" s="306" t="s">
        <v>770</v>
      </c>
      <c r="I5" s="1569"/>
      <c r="J5" s="1634"/>
      <c r="K5" s="998"/>
    </row>
    <row r="6" spans="1:11" ht="15.75" thickBot="1" x14ac:dyDescent="0.25">
      <c r="A6" s="1642"/>
      <c r="B6" s="1584"/>
      <c r="C6" s="1635" t="s">
        <v>2060</v>
      </c>
      <c r="D6" s="1635"/>
      <c r="E6" s="1635"/>
      <c r="F6" s="1635"/>
      <c r="G6" s="1635"/>
      <c r="H6" s="1635"/>
      <c r="I6" s="1635"/>
      <c r="J6" s="387">
        <f>J4</f>
        <v>1</v>
      </c>
      <c r="K6" s="981"/>
    </row>
    <row r="7" spans="1:11" ht="24" x14ac:dyDescent="0.2">
      <c r="A7" s="1638" t="s">
        <v>771</v>
      </c>
      <c r="B7" s="1583">
        <v>0.1</v>
      </c>
      <c r="C7" s="1578" t="s">
        <v>772</v>
      </c>
      <c r="D7" s="312" t="s">
        <v>82</v>
      </c>
      <c r="E7" s="662" t="s">
        <v>773</v>
      </c>
      <c r="F7" s="263" t="s">
        <v>167</v>
      </c>
      <c r="G7" s="375">
        <v>1</v>
      </c>
      <c r="H7" s="1653" t="s">
        <v>774</v>
      </c>
      <c r="I7" s="1656">
        <f>SUMIF(F7:F12,"x",G7:G12)</f>
        <v>6</v>
      </c>
      <c r="J7" s="1639">
        <f>I7/6</f>
        <v>1</v>
      </c>
      <c r="K7" s="1001"/>
    </row>
    <row r="8" spans="1:11" ht="24" x14ac:dyDescent="0.2">
      <c r="A8" s="1638"/>
      <c r="B8" s="1583"/>
      <c r="C8" s="1579"/>
      <c r="D8" s="311" t="s">
        <v>84</v>
      </c>
      <c r="E8" s="663" t="s">
        <v>775</v>
      </c>
      <c r="F8" s="134" t="s">
        <v>167</v>
      </c>
      <c r="G8" s="222">
        <v>1</v>
      </c>
      <c r="H8" s="1654"/>
      <c r="I8" s="1657"/>
      <c r="J8" s="1640"/>
      <c r="K8" s="1002"/>
    </row>
    <row r="9" spans="1:11" x14ac:dyDescent="0.2">
      <c r="A9" s="1638"/>
      <c r="B9" s="1583"/>
      <c r="C9" s="1579"/>
      <c r="D9" s="311" t="s">
        <v>86</v>
      </c>
      <c r="E9" s="663" t="s">
        <v>776</v>
      </c>
      <c r="F9" s="134" t="s">
        <v>167</v>
      </c>
      <c r="G9" s="222">
        <v>1</v>
      </c>
      <c r="H9" s="1654"/>
      <c r="I9" s="1657"/>
      <c r="J9" s="1640"/>
      <c r="K9" s="1002"/>
    </row>
    <row r="10" spans="1:11" x14ac:dyDescent="0.2">
      <c r="A10" s="1638"/>
      <c r="B10" s="1583"/>
      <c r="C10" s="1579"/>
      <c r="D10" s="311" t="s">
        <v>87</v>
      </c>
      <c r="E10" s="680" t="s">
        <v>1913</v>
      </c>
      <c r="F10" s="134" t="s">
        <v>167</v>
      </c>
      <c r="G10" s="222">
        <v>1</v>
      </c>
      <c r="H10" s="1654"/>
      <c r="I10" s="1657"/>
      <c r="J10" s="1640"/>
      <c r="K10" s="1002"/>
    </row>
    <row r="11" spans="1:11" x14ac:dyDescent="0.2">
      <c r="A11" s="1638"/>
      <c r="B11" s="1583"/>
      <c r="C11" s="1579"/>
      <c r="D11" s="311" t="s">
        <v>95</v>
      </c>
      <c r="E11" s="663" t="s">
        <v>777</v>
      </c>
      <c r="F11" s="134" t="s">
        <v>167</v>
      </c>
      <c r="G11" s="222">
        <v>1</v>
      </c>
      <c r="H11" s="1654"/>
      <c r="I11" s="1657"/>
      <c r="J11" s="1640"/>
      <c r="K11" s="1002"/>
    </row>
    <row r="12" spans="1:11" ht="12.75" thickBot="1" x14ac:dyDescent="0.25">
      <c r="A12" s="1638"/>
      <c r="B12" s="1583"/>
      <c r="C12" s="1580"/>
      <c r="D12" s="313" t="s">
        <v>97</v>
      </c>
      <c r="E12" s="657" t="s">
        <v>778</v>
      </c>
      <c r="F12" s="376" t="s">
        <v>167</v>
      </c>
      <c r="G12" s="342">
        <v>1</v>
      </c>
      <c r="H12" s="1655"/>
      <c r="I12" s="1658"/>
      <c r="J12" s="1641"/>
      <c r="K12" s="1003"/>
    </row>
    <row r="13" spans="1:11" x14ac:dyDescent="0.2">
      <c r="A13" s="1638"/>
      <c r="B13" s="1583"/>
      <c r="C13" s="1556" t="s">
        <v>779</v>
      </c>
      <c r="D13" s="297" t="s">
        <v>99</v>
      </c>
      <c r="E13" s="681" t="s">
        <v>1912</v>
      </c>
      <c r="F13" s="257" t="s">
        <v>167</v>
      </c>
      <c r="G13" s="301">
        <v>1</v>
      </c>
      <c r="H13" s="1554" t="s">
        <v>780</v>
      </c>
      <c r="I13" s="1554">
        <f>SUMIF(F13:F16,"x",G13:G16)</f>
        <v>4</v>
      </c>
      <c r="J13" s="1549">
        <f>I13/4</f>
        <v>1</v>
      </c>
      <c r="K13" s="1004"/>
    </row>
    <row r="14" spans="1:11" x14ac:dyDescent="0.2">
      <c r="A14" s="1638"/>
      <c r="B14" s="1583"/>
      <c r="C14" s="1557"/>
      <c r="D14" s="17" t="s">
        <v>101</v>
      </c>
      <c r="E14" s="659" t="s">
        <v>781</v>
      </c>
      <c r="F14" s="111" t="s">
        <v>167</v>
      </c>
      <c r="G14" s="216">
        <v>1</v>
      </c>
      <c r="H14" s="1562"/>
      <c r="I14" s="1562"/>
      <c r="J14" s="1550"/>
      <c r="K14" s="844"/>
    </row>
    <row r="15" spans="1:11" x14ac:dyDescent="0.2">
      <c r="A15" s="1638"/>
      <c r="B15" s="1583"/>
      <c r="C15" s="1557"/>
      <c r="D15" s="17" t="s">
        <v>103</v>
      </c>
      <c r="E15" s="659" t="s">
        <v>782</v>
      </c>
      <c r="F15" s="111" t="s">
        <v>167</v>
      </c>
      <c r="G15" s="216">
        <v>1</v>
      </c>
      <c r="H15" s="1562"/>
      <c r="I15" s="1562"/>
      <c r="J15" s="1550"/>
      <c r="K15" s="844"/>
    </row>
    <row r="16" spans="1:11" ht="12.75" thickBot="1" x14ac:dyDescent="0.25">
      <c r="A16" s="1638"/>
      <c r="B16" s="1583"/>
      <c r="C16" s="1558"/>
      <c r="D16" s="302" t="s">
        <v>151</v>
      </c>
      <c r="E16" s="660" t="s">
        <v>783</v>
      </c>
      <c r="F16" s="260" t="s">
        <v>167</v>
      </c>
      <c r="G16" s="306">
        <v>1</v>
      </c>
      <c r="H16" s="1555"/>
      <c r="I16" s="1555"/>
      <c r="J16" s="1551"/>
      <c r="K16" s="844"/>
    </row>
    <row r="17" spans="1:11" ht="15.75" thickBot="1" x14ac:dyDescent="0.25">
      <c r="A17" s="1638"/>
      <c r="B17" s="1584"/>
      <c r="C17" s="1636" t="s">
        <v>2061</v>
      </c>
      <c r="D17" s="1636"/>
      <c r="E17" s="1636"/>
      <c r="F17" s="1636"/>
      <c r="G17" s="1636"/>
      <c r="H17" s="1636"/>
      <c r="I17" s="1636"/>
      <c r="J17" s="387">
        <f>(J7+J13)/2</f>
        <v>1</v>
      </c>
      <c r="K17" s="121"/>
    </row>
    <row r="18" spans="1:11" x14ac:dyDescent="0.2">
      <c r="A18" s="1637" t="s">
        <v>784</v>
      </c>
      <c r="B18" s="1583">
        <v>0.1</v>
      </c>
      <c r="C18" s="1578" t="s">
        <v>785</v>
      </c>
      <c r="D18" s="312" t="s">
        <v>82</v>
      </c>
      <c r="E18" s="662" t="s">
        <v>786</v>
      </c>
      <c r="F18" s="257"/>
      <c r="G18" s="309">
        <v>1</v>
      </c>
      <c r="H18" s="1559" t="s">
        <v>2070</v>
      </c>
      <c r="I18" s="1554">
        <f>SUMIF(F18:F23,"x",G18:G23)</f>
        <v>4</v>
      </c>
      <c r="J18" s="1549">
        <f>I18/5</f>
        <v>0.8</v>
      </c>
      <c r="K18" s="844"/>
    </row>
    <row r="19" spans="1:11" x14ac:dyDescent="0.2">
      <c r="A19" s="1637"/>
      <c r="B19" s="1583"/>
      <c r="C19" s="1579"/>
      <c r="D19" s="311" t="s">
        <v>84</v>
      </c>
      <c r="E19" s="663" t="s">
        <v>787</v>
      </c>
      <c r="F19" s="111" t="s">
        <v>167</v>
      </c>
      <c r="G19" s="217">
        <v>1</v>
      </c>
      <c r="H19" s="1560"/>
      <c r="I19" s="1562"/>
      <c r="J19" s="1550"/>
      <c r="K19" s="844"/>
    </row>
    <row r="20" spans="1:11" x14ac:dyDescent="0.2">
      <c r="A20" s="1637"/>
      <c r="B20" s="1583"/>
      <c r="C20" s="1579"/>
      <c r="D20" s="311" t="s">
        <v>86</v>
      </c>
      <c r="E20" s="663" t="s">
        <v>483</v>
      </c>
      <c r="F20" s="111" t="s">
        <v>167</v>
      </c>
      <c r="G20" s="217">
        <v>1</v>
      </c>
      <c r="H20" s="1560"/>
      <c r="I20" s="1562"/>
      <c r="J20" s="1550"/>
      <c r="K20" s="844"/>
    </row>
    <row r="21" spans="1:11" x14ac:dyDescent="0.2">
      <c r="A21" s="1637"/>
      <c r="B21" s="1583"/>
      <c r="C21" s="1579"/>
      <c r="D21" s="311" t="s">
        <v>87</v>
      </c>
      <c r="E21" s="663" t="s">
        <v>788</v>
      </c>
      <c r="F21" s="111" t="s">
        <v>167</v>
      </c>
      <c r="G21" s="217">
        <v>1</v>
      </c>
      <c r="H21" s="1560"/>
      <c r="I21" s="1562"/>
      <c r="J21" s="1550"/>
      <c r="K21" s="844"/>
    </row>
    <row r="22" spans="1:11" ht="24" x14ac:dyDescent="0.2">
      <c r="A22" s="1637"/>
      <c r="B22" s="1583"/>
      <c r="C22" s="1579"/>
      <c r="D22" s="311" t="s">
        <v>95</v>
      </c>
      <c r="E22" s="663" t="s">
        <v>789</v>
      </c>
      <c r="F22" s="111" t="s">
        <v>167</v>
      </c>
      <c r="G22" s="217">
        <v>1</v>
      </c>
      <c r="H22" s="1560"/>
      <c r="I22" s="1562"/>
      <c r="J22" s="1550"/>
      <c r="K22" s="844"/>
    </row>
    <row r="23" spans="1:11" ht="24.75" thickBot="1" x14ac:dyDescent="0.25">
      <c r="A23" s="1637"/>
      <c r="B23" s="1583"/>
      <c r="C23" s="1580"/>
      <c r="D23" s="313" t="s">
        <v>97</v>
      </c>
      <c r="E23" s="664" t="s">
        <v>790</v>
      </c>
      <c r="F23" s="260"/>
      <c r="G23" s="310">
        <v>0</v>
      </c>
      <c r="H23" s="1561"/>
      <c r="I23" s="1555"/>
      <c r="J23" s="1551"/>
      <c r="K23" s="844"/>
    </row>
    <row r="24" spans="1:11" ht="24.75" customHeight="1" x14ac:dyDescent="0.2">
      <c r="A24" s="1637"/>
      <c r="B24" s="1584"/>
      <c r="C24" s="1645" t="s">
        <v>1924</v>
      </c>
      <c r="D24" s="377" t="s">
        <v>99</v>
      </c>
      <c r="E24" s="682" t="s">
        <v>2523</v>
      </c>
      <c r="F24" s="1522" t="s">
        <v>2524</v>
      </c>
      <c r="G24" s="1648" t="s">
        <v>2526</v>
      </c>
      <c r="H24" s="219" t="s">
        <v>791</v>
      </c>
      <c r="I24" s="1679">
        <f>J24</f>
        <v>1</v>
      </c>
      <c r="J24" s="1650">
        <f>IF(F24="1.Ha logrado establecer los requisitos del usuario frente a los productos y/o servicios",50%,IF(F24="2.Ha documentado dichos requisitos dentro del Sistema de Gestión de Calidad.",100%,0))</f>
        <v>1</v>
      </c>
      <c r="K24" s="121"/>
    </row>
    <row r="25" spans="1:11" ht="24" x14ac:dyDescent="0.2">
      <c r="A25" s="1637"/>
      <c r="B25" s="1584"/>
      <c r="C25" s="1646"/>
      <c r="D25" s="18" t="s">
        <v>101</v>
      </c>
      <c r="E25" s="672" t="s">
        <v>2524</v>
      </c>
      <c r="F25" s="1522"/>
      <c r="G25" s="1560"/>
      <c r="H25" s="24" t="s">
        <v>792</v>
      </c>
      <c r="I25" s="1588"/>
      <c r="J25" s="1651"/>
      <c r="K25" s="121"/>
    </row>
    <row r="26" spans="1:11" ht="24.75" thickBot="1" x14ac:dyDescent="0.25">
      <c r="A26" s="1637"/>
      <c r="B26" s="1584"/>
      <c r="C26" s="1647"/>
      <c r="D26" s="378" t="s">
        <v>103</v>
      </c>
      <c r="E26" s="683" t="s">
        <v>2525</v>
      </c>
      <c r="F26" s="1522"/>
      <c r="G26" s="1649"/>
      <c r="H26" s="218" t="s">
        <v>793</v>
      </c>
      <c r="I26" s="1588"/>
      <c r="J26" s="1652"/>
      <c r="K26" s="121"/>
    </row>
    <row r="27" spans="1:11" x14ac:dyDescent="0.2">
      <c r="A27" s="1637"/>
      <c r="B27" s="1583"/>
      <c r="C27" s="1556" t="s">
        <v>794</v>
      </c>
      <c r="D27" s="297" t="s">
        <v>151</v>
      </c>
      <c r="E27" s="658" t="s">
        <v>795</v>
      </c>
      <c r="F27" s="257" t="s">
        <v>167</v>
      </c>
      <c r="G27" s="309">
        <v>1</v>
      </c>
      <c r="H27" s="1559" t="s">
        <v>2071</v>
      </c>
      <c r="I27" s="1554">
        <f>SUMIF(F27:F30,"x",G27:G30)</f>
        <v>3</v>
      </c>
      <c r="J27" s="1549">
        <f>I27/3</f>
        <v>1</v>
      </c>
      <c r="K27" s="844"/>
    </row>
    <row r="28" spans="1:11" ht="24" x14ac:dyDescent="0.2">
      <c r="A28" s="1637"/>
      <c r="B28" s="1583"/>
      <c r="C28" s="1557"/>
      <c r="D28" s="17" t="s">
        <v>152</v>
      </c>
      <c r="E28" s="659" t="s">
        <v>796</v>
      </c>
      <c r="F28" s="111" t="s">
        <v>167</v>
      </c>
      <c r="G28" s="217">
        <v>1</v>
      </c>
      <c r="H28" s="1560"/>
      <c r="I28" s="1562"/>
      <c r="J28" s="1550"/>
      <c r="K28" s="844"/>
    </row>
    <row r="29" spans="1:11" ht="24" x14ac:dyDescent="0.2">
      <c r="A29" s="1637"/>
      <c r="B29" s="1583"/>
      <c r="C29" s="1557"/>
      <c r="D29" s="17" t="s">
        <v>218</v>
      </c>
      <c r="E29" s="659" t="s">
        <v>797</v>
      </c>
      <c r="F29" s="111" t="s">
        <v>167</v>
      </c>
      <c r="G29" s="217">
        <v>1</v>
      </c>
      <c r="H29" s="1560"/>
      <c r="I29" s="1562"/>
      <c r="J29" s="1550"/>
      <c r="K29" s="844"/>
    </row>
    <row r="30" spans="1:11" ht="12.75" thickBot="1" x14ac:dyDescent="0.25">
      <c r="A30" s="1637"/>
      <c r="B30" s="1583"/>
      <c r="C30" s="1558"/>
      <c r="D30" s="302" t="s">
        <v>220</v>
      </c>
      <c r="E30" s="660" t="s">
        <v>798</v>
      </c>
      <c r="F30" s="260"/>
      <c r="G30" s="310">
        <v>0</v>
      </c>
      <c r="H30" s="1561"/>
      <c r="I30" s="1555"/>
      <c r="J30" s="1551"/>
      <c r="K30" s="844"/>
    </row>
    <row r="31" spans="1:11" ht="15.75" thickBot="1" x14ac:dyDescent="0.25">
      <c r="A31" s="1637"/>
      <c r="B31" s="1584"/>
      <c r="C31" s="1636" t="s">
        <v>2429</v>
      </c>
      <c r="D31" s="1636"/>
      <c r="E31" s="1636"/>
      <c r="F31" s="1636"/>
      <c r="G31" s="1636"/>
      <c r="H31" s="1636"/>
      <c r="I31" s="1636"/>
      <c r="J31" s="387">
        <f>(J18+J24+J27)/3</f>
        <v>0.93333333333333324</v>
      </c>
      <c r="K31" s="121"/>
    </row>
    <row r="32" spans="1:11" x14ac:dyDescent="0.2">
      <c r="A32" s="1638" t="s">
        <v>799</v>
      </c>
      <c r="B32" s="1583">
        <v>0.1</v>
      </c>
      <c r="C32" s="1578" t="s">
        <v>800</v>
      </c>
      <c r="D32" s="312" t="s">
        <v>82</v>
      </c>
      <c r="E32" s="662" t="s">
        <v>801</v>
      </c>
      <c r="F32" s="257" t="s">
        <v>167</v>
      </c>
      <c r="G32" s="309">
        <v>1</v>
      </c>
      <c r="H32" s="1559" t="s">
        <v>2072</v>
      </c>
      <c r="I32" s="1554">
        <f>SUMIF(F32:F36,"x",G32:G36)</f>
        <v>4</v>
      </c>
      <c r="J32" s="1549">
        <f>I32/4</f>
        <v>1</v>
      </c>
      <c r="K32" s="844"/>
    </row>
    <row r="33" spans="1:11" x14ac:dyDescent="0.2">
      <c r="A33" s="1638"/>
      <c r="B33" s="1583"/>
      <c r="C33" s="1579"/>
      <c r="D33" s="311" t="s">
        <v>84</v>
      </c>
      <c r="E33" s="663" t="s">
        <v>802</v>
      </c>
      <c r="F33" s="111" t="s">
        <v>167</v>
      </c>
      <c r="G33" s="217">
        <v>1</v>
      </c>
      <c r="H33" s="1560"/>
      <c r="I33" s="1562"/>
      <c r="J33" s="1550"/>
      <c r="K33" s="844"/>
    </row>
    <row r="34" spans="1:11" x14ac:dyDescent="0.2">
      <c r="A34" s="1638"/>
      <c r="B34" s="1583"/>
      <c r="C34" s="1579"/>
      <c r="D34" s="311" t="s">
        <v>86</v>
      </c>
      <c r="E34" s="663" t="s">
        <v>803</v>
      </c>
      <c r="F34" s="111" t="s">
        <v>167</v>
      </c>
      <c r="G34" s="217">
        <v>1</v>
      </c>
      <c r="H34" s="1560"/>
      <c r="I34" s="1562"/>
      <c r="J34" s="1550"/>
      <c r="K34" s="844"/>
    </row>
    <row r="35" spans="1:11" x14ac:dyDescent="0.2">
      <c r="A35" s="1638"/>
      <c r="B35" s="1583"/>
      <c r="C35" s="1579"/>
      <c r="D35" s="311" t="s">
        <v>87</v>
      </c>
      <c r="E35" s="663" t="s">
        <v>804</v>
      </c>
      <c r="F35" s="111" t="s">
        <v>167</v>
      </c>
      <c r="G35" s="217">
        <v>1</v>
      </c>
      <c r="H35" s="1560"/>
      <c r="I35" s="1562"/>
      <c r="J35" s="1550"/>
      <c r="K35" s="844"/>
    </row>
    <row r="36" spans="1:11" ht="12.75" thickBot="1" x14ac:dyDescent="0.25">
      <c r="A36" s="1638"/>
      <c r="B36" s="1583"/>
      <c r="C36" s="1580"/>
      <c r="D36" s="313" t="s">
        <v>95</v>
      </c>
      <c r="E36" s="664" t="s">
        <v>805</v>
      </c>
      <c r="F36" s="260"/>
      <c r="G36" s="310">
        <v>0</v>
      </c>
      <c r="H36" s="1561"/>
      <c r="I36" s="1555"/>
      <c r="J36" s="1551"/>
      <c r="K36" s="844"/>
    </row>
    <row r="37" spans="1:11" x14ac:dyDescent="0.2">
      <c r="A37" s="1638"/>
      <c r="B37" s="1583"/>
      <c r="C37" s="1556" t="s">
        <v>806</v>
      </c>
      <c r="D37" s="297" t="s">
        <v>97</v>
      </c>
      <c r="E37" s="658" t="s">
        <v>807</v>
      </c>
      <c r="F37" s="257" t="s">
        <v>167</v>
      </c>
      <c r="G37" s="309">
        <v>1</v>
      </c>
      <c r="H37" s="1554" t="s">
        <v>808</v>
      </c>
      <c r="I37" s="1554">
        <f>SUMIF(F37:F42,"x",G37:G42)</f>
        <v>5</v>
      </c>
      <c r="J37" s="1549">
        <f>I37/6</f>
        <v>0.83333333333333337</v>
      </c>
      <c r="K37" s="844"/>
    </row>
    <row r="38" spans="1:11" ht="24" x14ac:dyDescent="0.2">
      <c r="A38" s="1638"/>
      <c r="B38" s="1583"/>
      <c r="C38" s="1557"/>
      <c r="D38" s="17" t="s">
        <v>99</v>
      </c>
      <c r="E38" s="659" t="s">
        <v>809</v>
      </c>
      <c r="F38" s="111" t="s">
        <v>167</v>
      </c>
      <c r="G38" s="217">
        <v>1</v>
      </c>
      <c r="H38" s="1562"/>
      <c r="I38" s="1562"/>
      <c r="J38" s="1550"/>
      <c r="K38" s="844"/>
    </row>
    <row r="39" spans="1:11" ht="24" x14ac:dyDescent="0.2">
      <c r="A39" s="1638"/>
      <c r="B39" s="1583"/>
      <c r="C39" s="1557"/>
      <c r="D39" s="17" t="s">
        <v>101</v>
      </c>
      <c r="E39" s="659" t="s">
        <v>810</v>
      </c>
      <c r="F39" s="111" t="s">
        <v>167</v>
      </c>
      <c r="G39" s="217">
        <v>1</v>
      </c>
      <c r="H39" s="1562"/>
      <c r="I39" s="1562"/>
      <c r="J39" s="1550"/>
      <c r="K39" s="844"/>
    </row>
    <row r="40" spans="1:11" ht="24" x14ac:dyDescent="0.2">
      <c r="A40" s="1638"/>
      <c r="B40" s="1583"/>
      <c r="C40" s="1557"/>
      <c r="D40" s="17" t="s">
        <v>103</v>
      </c>
      <c r="E40" s="659" t="s">
        <v>2430</v>
      </c>
      <c r="F40" s="111"/>
      <c r="G40" s="217">
        <v>1</v>
      </c>
      <c r="H40" s="1562"/>
      <c r="I40" s="1562"/>
      <c r="J40" s="1550"/>
      <c r="K40" s="844"/>
    </row>
    <row r="41" spans="1:11" ht="15.75" customHeight="1" x14ac:dyDescent="0.2">
      <c r="A41" s="1638"/>
      <c r="B41" s="1583"/>
      <c r="C41" s="1557"/>
      <c r="D41" s="17" t="s">
        <v>151</v>
      </c>
      <c r="E41" s="659" t="s">
        <v>811</v>
      </c>
      <c r="F41" s="111" t="s">
        <v>167</v>
      </c>
      <c r="G41" s="217">
        <v>1</v>
      </c>
      <c r="H41" s="1562"/>
      <c r="I41" s="1562"/>
      <c r="J41" s="1550"/>
      <c r="K41" s="844"/>
    </row>
    <row r="42" spans="1:11" ht="12.75" thickBot="1" x14ac:dyDescent="0.25">
      <c r="A42" s="1638"/>
      <c r="B42" s="1583"/>
      <c r="C42" s="1558"/>
      <c r="D42" s="302" t="s">
        <v>152</v>
      </c>
      <c r="E42" s="660" t="s">
        <v>812</v>
      </c>
      <c r="F42" s="260" t="s">
        <v>167</v>
      </c>
      <c r="G42" s="310">
        <v>1</v>
      </c>
      <c r="H42" s="1555"/>
      <c r="I42" s="1555"/>
      <c r="J42" s="1551"/>
      <c r="K42" s="844"/>
    </row>
    <row r="43" spans="1:11" ht="24" x14ac:dyDescent="0.2">
      <c r="A43" s="1638"/>
      <c r="B43" s="1583"/>
      <c r="C43" s="1578" t="s">
        <v>813</v>
      </c>
      <c r="D43" s="312" t="s">
        <v>218</v>
      </c>
      <c r="E43" s="662" t="s">
        <v>814</v>
      </c>
      <c r="F43" s="257" t="s">
        <v>167</v>
      </c>
      <c r="G43" s="309">
        <v>1</v>
      </c>
      <c r="H43" s="1559" t="s">
        <v>815</v>
      </c>
      <c r="I43" s="1554">
        <f>SUMIF(F43:F47,"x",G43:G47)</f>
        <v>5</v>
      </c>
      <c r="J43" s="1549">
        <f>I43/5</f>
        <v>1</v>
      </c>
      <c r="K43" s="844"/>
    </row>
    <row r="44" spans="1:11" ht="24" x14ac:dyDescent="0.2">
      <c r="A44" s="1638"/>
      <c r="B44" s="1583"/>
      <c r="C44" s="1579"/>
      <c r="D44" s="311" t="s">
        <v>220</v>
      </c>
      <c r="E44" s="663" t="s">
        <v>816</v>
      </c>
      <c r="F44" s="111" t="s">
        <v>167</v>
      </c>
      <c r="G44" s="217">
        <v>1</v>
      </c>
      <c r="H44" s="1560"/>
      <c r="I44" s="1562"/>
      <c r="J44" s="1550"/>
      <c r="K44" s="844"/>
    </row>
    <row r="45" spans="1:11" x14ac:dyDescent="0.2">
      <c r="A45" s="1638"/>
      <c r="B45" s="1583"/>
      <c r="C45" s="1579"/>
      <c r="D45" s="311" t="s">
        <v>222</v>
      </c>
      <c r="E45" s="663" t="s">
        <v>817</v>
      </c>
      <c r="F45" s="111" t="s">
        <v>167</v>
      </c>
      <c r="G45" s="217">
        <v>1</v>
      </c>
      <c r="H45" s="1560"/>
      <c r="I45" s="1562"/>
      <c r="J45" s="1550"/>
      <c r="K45" s="844"/>
    </row>
    <row r="46" spans="1:11" ht="24" x14ac:dyDescent="0.2">
      <c r="A46" s="1638"/>
      <c r="B46" s="1583"/>
      <c r="C46" s="1579"/>
      <c r="D46" s="311" t="s">
        <v>224</v>
      </c>
      <c r="E46" s="663" t="s">
        <v>818</v>
      </c>
      <c r="F46" s="111" t="s">
        <v>167</v>
      </c>
      <c r="G46" s="217">
        <v>1</v>
      </c>
      <c r="H46" s="1560"/>
      <c r="I46" s="1562"/>
      <c r="J46" s="1550"/>
      <c r="K46" s="844"/>
    </row>
    <row r="47" spans="1:11" ht="12.75" thickBot="1" x14ac:dyDescent="0.25">
      <c r="A47" s="1638"/>
      <c r="B47" s="1583"/>
      <c r="C47" s="1580"/>
      <c r="D47" s="313" t="s">
        <v>226</v>
      </c>
      <c r="E47" s="664" t="s">
        <v>819</v>
      </c>
      <c r="F47" s="260" t="s">
        <v>167</v>
      </c>
      <c r="G47" s="310">
        <v>1</v>
      </c>
      <c r="H47" s="1561"/>
      <c r="I47" s="1555"/>
      <c r="J47" s="1551"/>
      <c r="K47" s="844"/>
    </row>
    <row r="48" spans="1:11" ht="24" x14ac:dyDescent="0.2">
      <c r="A48" s="1638"/>
      <c r="B48" s="1583"/>
      <c r="C48" s="1556" t="s">
        <v>820</v>
      </c>
      <c r="D48" s="297" t="s">
        <v>228</v>
      </c>
      <c r="E48" s="658" t="s">
        <v>821</v>
      </c>
      <c r="F48" s="257" t="s">
        <v>167</v>
      </c>
      <c r="G48" s="309">
        <v>1</v>
      </c>
      <c r="H48" s="1554" t="s">
        <v>822</v>
      </c>
      <c r="I48" s="1554">
        <f>SUMIF(F48:F49,"x",G48:G49)</f>
        <v>2</v>
      </c>
      <c r="J48" s="1549">
        <f>I48/2</f>
        <v>1</v>
      </c>
      <c r="K48" s="844"/>
    </row>
    <row r="49" spans="1:11" ht="12.75" thickBot="1" x14ac:dyDescent="0.25">
      <c r="A49" s="1638"/>
      <c r="B49" s="1583"/>
      <c r="C49" s="1558"/>
      <c r="D49" s="302" t="s">
        <v>230</v>
      </c>
      <c r="E49" s="660" t="s">
        <v>823</v>
      </c>
      <c r="F49" s="260" t="s">
        <v>167</v>
      </c>
      <c r="G49" s="310">
        <v>1</v>
      </c>
      <c r="H49" s="1555"/>
      <c r="I49" s="1555"/>
      <c r="J49" s="1551"/>
      <c r="K49" s="844"/>
    </row>
    <row r="50" spans="1:11" ht="15" customHeight="1" x14ac:dyDescent="0.2">
      <c r="A50" s="1638"/>
      <c r="B50" s="1583"/>
      <c r="C50" s="1585" t="s">
        <v>824</v>
      </c>
      <c r="D50" s="307" t="s">
        <v>232</v>
      </c>
      <c r="E50" s="671" t="s">
        <v>825</v>
      </c>
      <c r="F50" s="1384" t="s">
        <v>829</v>
      </c>
      <c r="G50" s="1559" t="s">
        <v>2526</v>
      </c>
      <c r="H50" s="301" t="s">
        <v>826</v>
      </c>
      <c r="I50" s="1575">
        <f>J50</f>
        <v>0.5</v>
      </c>
      <c r="J50" s="1549">
        <f>IF(F50="Siempre (revisa y ajusta)",100%,IF(F50="Casi siempre (revisa pero el ajuste tarda en implementarse)",75%,IF(F50="A veces (revisa pero no siempre se hacen ajustes)",50%,IF(F50="Casi nunca (revisa pero no se hacen ajustes)",25%,0))))</f>
        <v>0.5</v>
      </c>
      <c r="K50" s="844"/>
    </row>
    <row r="51" spans="1:11" ht="24" x14ac:dyDescent="0.2">
      <c r="A51" s="1638"/>
      <c r="B51" s="1583"/>
      <c r="C51" s="1586"/>
      <c r="D51" s="18" t="s">
        <v>234</v>
      </c>
      <c r="E51" s="672" t="s">
        <v>827</v>
      </c>
      <c r="F51" s="1522"/>
      <c r="G51" s="1560"/>
      <c r="H51" s="216" t="s">
        <v>828</v>
      </c>
      <c r="I51" s="1588"/>
      <c r="J51" s="1550"/>
      <c r="K51" s="844"/>
    </row>
    <row r="52" spans="1:11" x14ac:dyDescent="0.2">
      <c r="A52" s="1638"/>
      <c r="B52" s="1583"/>
      <c r="C52" s="1586"/>
      <c r="D52" s="18" t="s">
        <v>236</v>
      </c>
      <c r="E52" s="672" t="s">
        <v>829</v>
      </c>
      <c r="F52" s="1522"/>
      <c r="G52" s="1560"/>
      <c r="H52" s="216" t="s">
        <v>830</v>
      </c>
      <c r="I52" s="1588"/>
      <c r="J52" s="1550"/>
      <c r="K52" s="844"/>
    </row>
    <row r="53" spans="1:11" x14ac:dyDescent="0.2">
      <c r="A53" s="1638"/>
      <c r="B53" s="1583"/>
      <c r="C53" s="1586"/>
      <c r="D53" s="18" t="s">
        <v>238</v>
      </c>
      <c r="E53" s="672" t="s">
        <v>831</v>
      </c>
      <c r="F53" s="1522"/>
      <c r="G53" s="1560"/>
      <c r="H53" s="216" t="s">
        <v>832</v>
      </c>
      <c r="I53" s="1588"/>
      <c r="J53" s="1550"/>
      <c r="K53" s="844"/>
    </row>
    <row r="54" spans="1:11" ht="12.75" thickBot="1" x14ac:dyDescent="0.25">
      <c r="A54" s="1638"/>
      <c r="B54" s="1583"/>
      <c r="C54" s="1587"/>
      <c r="D54" s="308" t="s">
        <v>240</v>
      </c>
      <c r="E54" s="673" t="s">
        <v>833</v>
      </c>
      <c r="F54" s="1371"/>
      <c r="G54" s="1561"/>
      <c r="H54" s="306" t="s">
        <v>834</v>
      </c>
      <c r="I54" s="1569"/>
      <c r="J54" s="1551"/>
      <c r="K54" s="844"/>
    </row>
    <row r="55" spans="1:11" x14ac:dyDescent="0.2">
      <c r="A55" s="1638"/>
      <c r="B55" s="1583"/>
      <c r="C55" s="1659" t="s">
        <v>835</v>
      </c>
      <c r="D55" s="379" t="s">
        <v>167</v>
      </c>
      <c r="E55" s="684" t="s">
        <v>836</v>
      </c>
      <c r="F55" s="1384" t="s">
        <v>827</v>
      </c>
      <c r="G55" s="1559" t="s">
        <v>2526</v>
      </c>
      <c r="H55" s="301" t="s">
        <v>837</v>
      </c>
      <c r="I55" s="1575">
        <f t="shared" ref="I55" si="0">J55</f>
        <v>0.75</v>
      </c>
      <c r="J55" s="1549">
        <f t="shared" ref="J55" si="1">IF(F55="Siempre (revisa y ajusta)",100%,IF(F55="Casi siempre (revisa pero el ajuste tarda en implementarse)",75%,IF(F55="A veces (revisa pero no siempre se hacen ajustes)",50%,IF(F55="Casi nunca (revisa pero no se hacen ajustes)",25%,0))))</f>
        <v>0.75</v>
      </c>
      <c r="K55" s="844"/>
    </row>
    <row r="56" spans="1:11" ht="13.5" customHeight="1" x14ac:dyDescent="0.2">
      <c r="A56" s="1638"/>
      <c r="B56" s="1583"/>
      <c r="C56" s="1662"/>
      <c r="D56" s="380" t="s">
        <v>243</v>
      </c>
      <c r="E56" s="685" t="s">
        <v>838</v>
      </c>
      <c r="F56" s="1522"/>
      <c r="G56" s="1560"/>
      <c r="H56" s="216" t="s">
        <v>839</v>
      </c>
      <c r="I56" s="1588"/>
      <c r="J56" s="1550"/>
      <c r="K56" s="844"/>
    </row>
    <row r="57" spans="1:11" x14ac:dyDescent="0.2">
      <c r="A57" s="1638"/>
      <c r="B57" s="1583"/>
      <c r="C57" s="1662"/>
      <c r="D57" s="380" t="s">
        <v>245</v>
      </c>
      <c r="E57" s="685" t="s">
        <v>840</v>
      </c>
      <c r="F57" s="1522"/>
      <c r="G57" s="1560"/>
      <c r="H57" s="216" t="s">
        <v>841</v>
      </c>
      <c r="I57" s="1588"/>
      <c r="J57" s="1550"/>
      <c r="K57" s="844"/>
    </row>
    <row r="58" spans="1:11" x14ac:dyDescent="0.2">
      <c r="A58" s="1638"/>
      <c r="B58" s="1583"/>
      <c r="C58" s="1662"/>
      <c r="D58" s="380" t="s">
        <v>246</v>
      </c>
      <c r="E58" s="685" t="s">
        <v>842</v>
      </c>
      <c r="F58" s="1522"/>
      <c r="G58" s="1560"/>
      <c r="H58" s="216" t="s">
        <v>843</v>
      </c>
      <c r="I58" s="1588"/>
      <c r="J58" s="1550"/>
      <c r="K58" s="844"/>
    </row>
    <row r="59" spans="1:11" ht="12.75" thickBot="1" x14ac:dyDescent="0.25">
      <c r="A59" s="1638"/>
      <c r="B59" s="1583"/>
      <c r="C59" s="1663"/>
      <c r="D59" s="381" t="s">
        <v>248</v>
      </c>
      <c r="E59" s="686" t="s">
        <v>844</v>
      </c>
      <c r="F59" s="1371"/>
      <c r="G59" s="1561"/>
      <c r="H59" s="306" t="s">
        <v>845</v>
      </c>
      <c r="I59" s="1569"/>
      <c r="J59" s="1551"/>
      <c r="K59" s="844"/>
    </row>
    <row r="60" spans="1:11" ht="15" customHeight="1" x14ac:dyDescent="0.2">
      <c r="A60" s="1638"/>
      <c r="B60" s="1583"/>
      <c r="C60" s="1585" t="s">
        <v>846</v>
      </c>
      <c r="D60" s="307" t="s">
        <v>250</v>
      </c>
      <c r="E60" s="671" t="s">
        <v>825</v>
      </c>
      <c r="F60" s="1384" t="s">
        <v>827</v>
      </c>
      <c r="G60" s="1559" t="s">
        <v>2526</v>
      </c>
      <c r="H60" s="301" t="s">
        <v>847</v>
      </c>
      <c r="I60" s="1575">
        <f t="shared" ref="I60" si="2">J60</f>
        <v>0.75</v>
      </c>
      <c r="J60" s="1549">
        <f t="shared" ref="J60" si="3">IF(F60="Siempre (revisa y ajusta)",100%,IF(F60="Casi siempre (revisa pero el ajuste tarda en implementarse)",75%,IF(F60="A veces (revisa pero no siempre se hacen ajustes)",50%,IF(F60="Casi nunca (revisa pero no se hacen ajustes)",25%,0))))</f>
        <v>0.75</v>
      </c>
      <c r="K60" s="844"/>
    </row>
    <row r="61" spans="1:11" ht="24" x14ac:dyDescent="0.2">
      <c r="A61" s="1638"/>
      <c r="B61" s="1583"/>
      <c r="C61" s="1586"/>
      <c r="D61" s="18" t="s">
        <v>252</v>
      </c>
      <c r="E61" s="672" t="s">
        <v>827</v>
      </c>
      <c r="F61" s="1522"/>
      <c r="G61" s="1560"/>
      <c r="H61" s="216" t="s">
        <v>848</v>
      </c>
      <c r="I61" s="1588"/>
      <c r="J61" s="1550"/>
      <c r="K61" s="844"/>
    </row>
    <row r="62" spans="1:11" x14ac:dyDescent="0.2">
      <c r="A62" s="1638"/>
      <c r="B62" s="1583"/>
      <c r="C62" s="1586"/>
      <c r="D62" s="18" t="s">
        <v>254</v>
      </c>
      <c r="E62" s="672" t="s">
        <v>829</v>
      </c>
      <c r="F62" s="1522"/>
      <c r="G62" s="1560"/>
      <c r="H62" s="216" t="s">
        <v>849</v>
      </c>
      <c r="I62" s="1588"/>
      <c r="J62" s="1550"/>
      <c r="K62" s="844"/>
    </row>
    <row r="63" spans="1:11" x14ac:dyDescent="0.2">
      <c r="A63" s="1638"/>
      <c r="B63" s="1583"/>
      <c r="C63" s="1586"/>
      <c r="D63" s="18" t="s">
        <v>255</v>
      </c>
      <c r="E63" s="672" t="s">
        <v>831</v>
      </c>
      <c r="F63" s="1522"/>
      <c r="G63" s="1560"/>
      <c r="H63" s="216" t="s">
        <v>850</v>
      </c>
      <c r="I63" s="1588"/>
      <c r="J63" s="1550"/>
      <c r="K63" s="844"/>
    </row>
    <row r="64" spans="1:11" ht="12.75" thickBot="1" x14ac:dyDescent="0.25">
      <c r="A64" s="1638"/>
      <c r="B64" s="1583"/>
      <c r="C64" s="1587"/>
      <c r="D64" s="308" t="s">
        <v>257</v>
      </c>
      <c r="E64" s="673" t="s">
        <v>833</v>
      </c>
      <c r="F64" s="1371"/>
      <c r="G64" s="1561"/>
      <c r="H64" s="306" t="s">
        <v>851</v>
      </c>
      <c r="I64" s="1569"/>
      <c r="J64" s="1551"/>
      <c r="K64" s="844"/>
    </row>
    <row r="65" spans="1:11" ht="15" customHeight="1" x14ac:dyDescent="0.2">
      <c r="A65" s="1638"/>
      <c r="B65" s="1583"/>
      <c r="C65" s="1659" t="s">
        <v>852</v>
      </c>
      <c r="D65" s="379" t="s">
        <v>259</v>
      </c>
      <c r="E65" s="687" t="s">
        <v>853</v>
      </c>
      <c r="F65" s="1384" t="s">
        <v>827</v>
      </c>
      <c r="G65" s="1559" t="s">
        <v>2526</v>
      </c>
      <c r="H65" s="301" t="s">
        <v>854</v>
      </c>
      <c r="I65" s="1575">
        <f t="shared" ref="I65" si="4">J65</f>
        <v>0.75</v>
      </c>
      <c r="J65" s="1549">
        <f t="shared" ref="J65" si="5">IF(F65="Siempre (revisa y ajusta)",100%,IF(F65="Casi siempre (revisa pero el ajuste tarda en implementarse)",75%,IF(F65="A veces (revisa pero no siempre se hacen ajustes)",50%,IF(F65="Casi nunca (revisa pero no se hacen ajustes)",25%,0))))</f>
        <v>0.75</v>
      </c>
      <c r="K65" s="844"/>
    </row>
    <row r="66" spans="1:11" ht="15" customHeight="1" x14ac:dyDescent="0.2">
      <c r="A66" s="1638"/>
      <c r="B66" s="1583"/>
      <c r="C66" s="1660"/>
      <c r="D66" s="380" t="s">
        <v>261</v>
      </c>
      <c r="E66" s="688" t="s">
        <v>855</v>
      </c>
      <c r="F66" s="1522"/>
      <c r="G66" s="1560"/>
      <c r="H66" s="216" t="s">
        <v>856</v>
      </c>
      <c r="I66" s="1588"/>
      <c r="J66" s="1550"/>
      <c r="K66" s="844"/>
    </row>
    <row r="67" spans="1:11" x14ac:dyDescent="0.2">
      <c r="A67" s="1638"/>
      <c r="B67" s="1583"/>
      <c r="C67" s="1660"/>
      <c r="D67" s="380" t="s">
        <v>262</v>
      </c>
      <c r="E67" s="688" t="s">
        <v>857</v>
      </c>
      <c r="F67" s="1522"/>
      <c r="G67" s="1560"/>
      <c r="H67" s="216" t="s">
        <v>858</v>
      </c>
      <c r="I67" s="1588"/>
      <c r="J67" s="1550"/>
      <c r="K67" s="844"/>
    </row>
    <row r="68" spans="1:11" x14ac:dyDescent="0.2">
      <c r="A68" s="1638"/>
      <c r="B68" s="1583"/>
      <c r="C68" s="1660"/>
      <c r="D68" s="380" t="s">
        <v>264</v>
      </c>
      <c r="E68" s="688" t="s">
        <v>859</v>
      </c>
      <c r="F68" s="1522"/>
      <c r="G68" s="1560"/>
      <c r="H68" s="216" t="s">
        <v>860</v>
      </c>
      <c r="I68" s="1588"/>
      <c r="J68" s="1550"/>
      <c r="K68" s="844"/>
    </row>
    <row r="69" spans="1:11" ht="12.75" thickBot="1" x14ac:dyDescent="0.25">
      <c r="A69" s="1638"/>
      <c r="B69" s="1583"/>
      <c r="C69" s="1661"/>
      <c r="D69" s="381" t="s">
        <v>266</v>
      </c>
      <c r="E69" s="689" t="s">
        <v>861</v>
      </c>
      <c r="F69" s="1371"/>
      <c r="G69" s="1561"/>
      <c r="H69" s="306" t="s">
        <v>862</v>
      </c>
      <c r="I69" s="1569"/>
      <c r="J69" s="1551"/>
      <c r="K69" s="844"/>
    </row>
    <row r="70" spans="1:11" ht="15" customHeight="1" x14ac:dyDescent="0.2">
      <c r="A70" s="1638"/>
      <c r="B70" s="1583"/>
      <c r="C70" s="1585" t="s">
        <v>863</v>
      </c>
      <c r="D70" s="307" t="s">
        <v>268</v>
      </c>
      <c r="E70" s="671" t="s">
        <v>825</v>
      </c>
      <c r="F70" s="1384" t="s">
        <v>825</v>
      </c>
      <c r="G70" s="1559" t="s">
        <v>2526</v>
      </c>
      <c r="H70" s="301" t="s">
        <v>864</v>
      </c>
      <c r="I70" s="1575">
        <f t="shared" ref="I70" si="6">J70</f>
        <v>1</v>
      </c>
      <c r="J70" s="1549">
        <f t="shared" ref="J70" si="7">IF(F70="Siempre (revisa y ajusta)",100%,IF(F70="Casi siempre (revisa pero el ajuste tarda en implementarse)",75%,IF(F70="A veces (revisa pero no siempre se hacen ajustes)",50%,IF(F70="Casi nunca (revisa pero no se hacen ajustes)",25%,0))))</f>
        <v>1</v>
      </c>
      <c r="K70" s="844"/>
    </row>
    <row r="71" spans="1:11" ht="24" x14ac:dyDescent="0.2">
      <c r="A71" s="1638"/>
      <c r="B71" s="1583"/>
      <c r="C71" s="1586"/>
      <c r="D71" s="18" t="s">
        <v>270</v>
      </c>
      <c r="E71" s="672" t="s">
        <v>827</v>
      </c>
      <c r="F71" s="1522"/>
      <c r="G71" s="1560"/>
      <c r="H71" s="216" t="s">
        <v>865</v>
      </c>
      <c r="I71" s="1588"/>
      <c r="J71" s="1550"/>
      <c r="K71" s="844"/>
    </row>
    <row r="72" spans="1:11" x14ac:dyDescent="0.2">
      <c r="A72" s="1638"/>
      <c r="B72" s="1583"/>
      <c r="C72" s="1586"/>
      <c r="D72" s="18" t="s">
        <v>272</v>
      </c>
      <c r="E72" s="672" t="s">
        <v>829</v>
      </c>
      <c r="F72" s="1522"/>
      <c r="G72" s="1560"/>
      <c r="H72" s="216" t="s">
        <v>866</v>
      </c>
      <c r="I72" s="1588"/>
      <c r="J72" s="1550"/>
      <c r="K72" s="844"/>
    </row>
    <row r="73" spans="1:11" x14ac:dyDescent="0.2">
      <c r="A73" s="1638"/>
      <c r="B73" s="1583"/>
      <c r="C73" s="1586"/>
      <c r="D73" s="18" t="s">
        <v>274</v>
      </c>
      <c r="E73" s="672" t="s">
        <v>831</v>
      </c>
      <c r="F73" s="1522"/>
      <c r="G73" s="1560"/>
      <c r="H73" s="216" t="s">
        <v>867</v>
      </c>
      <c r="I73" s="1588"/>
      <c r="J73" s="1550"/>
      <c r="K73" s="844"/>
    </row>
    <row r="74" spans="1:11" ht="12.75" thickBot="1" x14ac:dyDescent="0.25">
      <c r="A74" s="1638"/>
      <c r="B74" s="1583"/>
      <c r="C74" s="1587"/>
      <c r="D74" s="308" t="s">
        <v>276</v>
      </c>
      <c r="E74" s="673" t="s">
        <v>833</v>
      </c>
      <c r="F74" s="1371"/>
      <c r="G74" s="1561"/>
      <c r="H74" s="306" t="s">
        <v>868</v>
      </c>
      <c r="I74" s="1569"/>
      <c r="J74" s="1551"/>
      <c r="K74" s="844"/>
    </row>
    <row r="75" spans="1:11" ht="19.5" customHeight="1" x14ac:dyDescent="0.2">
      <c r="A75" s="1638"/>
      <c r="B75" s="1583"/>
      <c r="C75" s="1585" t="s">
        <v>869</v>
      </c>
      <c r="D75" s="307" t="s">
        <v>278</v>
      </c>
      <c r="E75" s="671" t="s">
        <v>388</v>
      </c>
      <c r="F75" s="1384" t="s">
        <v>388</v>
      </c>
      <c r="G75" s="1559" t="s">
        <v>2526</v>
      </c>
      <c r="H75" s="301" t="s">
        <v>870</v>
      </c>
      <c r="I75" s="1575">
        <f>J75</f>
        <v>1</v>
      </c>
      <c r="J75" s="1549">
        <f>IF(F75="Si",100%,0)</f>
        <v>1</v>
      </c>
      <c r="K75" s="844"/>
    </row>
    <row r="76" spans="1:11" ht="12.75" customHeight="1" thickBot="1" x14ac:dyDescent="0.25">
      <c r="A76" s="1638"/>
      <c r="B76" s="1583"/>
      <c r="C76" s="1587"/>
      <c r="D76" s="308" t="s">
        <v>280</v>
      </c>
      <c r="E76" s="673" t="s">
        <v>85</v>
      </c>
      <c r="F76" s="1371"/>
      <c r="G76" s="1561"/>
      <c r="H76" s="306" t="s">
        <v>871</v>
      </c>
      <c r="I76" s="1569"/>
      <c r="J76" s="1551"/>
      <c r="K76" s="844"/>
    </row>
    <row r="77" spans="1:11" ht="15.75" thickBot="1" x14ac:dyDescent="0.25">
      <c r="A77" s="1638"/>
      <c r="B77" s="1584"/>
      <c r="C77" s="1577" t="s">
        <v>2062</v>
      </c>
      <c r="D77" s="1577"/>
      <c r="E77" s="1577"/>
      <c r="F77" s="1577"/>
      <c r="G77" s="1577"/>
      <c r="H77" s="1577"/>
      <c r="I77" s="1577"/>
      <c r="J77" s="387">
        <f>(J32+J37+J43+J48+J50+J55+J60+J65+J70+J75)/10</f>
        <v>0.85833333333333339</v>
      </c>
      <c r="K77" s="121"/>
    </row>
    <row r="78" spans="1:11" ht="15" customHeight="1" x14ac:dyDescent="0.2">
      <c r="A78" s="1638" t="s">
        <v>588</v>
      </c>
      <c r="B78" s="1583">
        <v>0.1</v>
      </c>
      <c r="C78" s="1659" t="s">
        <v>872</v>
      </c>
      <c r="D78" s="379" t="s">
        <v>82</v>
      </c>
      <c r="E78" s="684" t="s">
        <v>873</v>
      </c>
      <c r="F78" s="1384" t="s">
        <v>875</v>
      </c>
      <c r="G78" s="1559" t="s">
        <v>2526</v>
      </c>
      <c r="H78" s="301" t="s">
        <v>874</v>
      </c>
      <c r="I78" s="1575">
        <f>J78</f>
        <v>0.75</v>
      </c>
      <c r="J78" s="1549">
        <f>IF(F78="Siempre (valida e implementa mejoras)",100%,IF(F78="Casi siempre (valida pero las mejoras tardan en implementarse)",75%,IF(F78="A veces (valida pero no siempre implementa mejoras)",50%,IF(F78="Casi nunca (valida pero no implementa mejoras)",25%,0))))</f>
        <v>0.75</v>
      </c>
      <c r="K78" s="844"/>
    </row>
    <row r="79" spans="1:11" ht="24" x14ac:dyDescent="0.2">
      <c r="A79" s="1638"/>
      <c r="B79" s="1583"/>
      <c r="C79" s="1662"/>
      <c r="D79" s="380" t="s">
        <v>84</v>
      </c>
      <c r="E79" s="685" t="s">
        <v>875</v>
      </c>
      <c r="F79" s="1522"/>
      <c r="G79" s="1560"/>
      <c r="H79" s="216" t="s">
        <v>647</v>
      </c>
      <c r="I79" s="1588"/>
      <c r="J79" s="1550"/>
      <c r="K79" s="844"/>
    </row>
    <row r="80" spans="1:11" x14ac:dyDescent="0.2">
      <c r="A80" s="1638"/>
      <c r="B80" s="1583"/>
      <c r="C80" s="1662"/>
      <c r="D80" s="380" t="s">
        <v>86</v>
      </c>
      <c r="E80" s="685" t="s">
        <v>876</v>
      </c>
      <c r="F80" s="1522"/>
      <c r="G80" s="1560"/>
      <c r="H80" s="216" t="s">
        <v>648</v>
      </c>
      <c r="I80" s="1588"/>
      <c r="J80" s="1550"/>
      <c r="K80" s="844"/>
    </row>
    <row r="81" spans="1:11" x14ac:dyDescent="0.2">
      <c r="A81" s="1638"/>
      <c r="B81" s="1583"/>
      <c r="C81" s="1662"/>
      <c r="D81" s="380" t="s">
        <v>87</v>
      </c>
      <c r="E81" s="685" t="s">
        <v>877</v>
      </c>
      <c r="F81" s="1522"/>
      <c r="G81" s="1560"/>
      <c r="H81" s="216" t="s">
        <v>649</v>
      </c>
      <c r="I81" s="1588"/>
      <c r="J81" s="1550"/>
      <c r="K81" s="844"/>
    </row>
    <row r="82" spans="1:11" ht="12.75" thickBot="1" x14ac:dyDescent="0.25">
      <c r="A82" s="1638"/>
      <c r="B82" s="1583"/>
      <c r="C82" s="1663"/>
      <c r="D82" s="381" t="s">
        <v>95</v>
      </c>
      <c r="E82" s="686" t="s">
        <v>878</v>
      </c>
      <c r="F82" s="1371"/>
      <c r="G82" s="1561"/>
      <c r="H82" s="306" t="s">
        <v>650</v>
      </c>
      <c r="I82" s="1569"/>
      <c r="J82" s="1551"/>
      <c r="K82" s="844"/>
    </row>
    <row r="83" spans="1:11" ht="15.75" customHeight="1" x14ac:dyDescent="0.2">
      <c r="A83" s="1638"/>
      <c r="B83" s="1583"/>
      <c r="C83" s="1556" t="s">
        <v>879</v>
      </c>
      <c r="D83" s="297" t="s">
        <v>97</v>
      </c>
      <c r="E83" s="658" t="s">
        <v>880</v>
      </c>
      <c r="F83" s="257"/>
      <c r="G83" s="309">
        <v>1</v>
      </c>
      <c r="H83" s="1559" t="s">
        <v>2073</v>
      </c>
      <c r="I83" s="1554">
        <f>SUMIF(F83:F87,"x",G83:G87)</f>
        <v>3</v>
      </c>
      <c r="J83" s="1549">
        <f>IFERROR(IF(F86="X",100%,(I83/3)),0)</f>
        <v>1</v>
      </c>
      <c r="K83" s="844"/>
    </row>
    <row r="84" spans="1:11" ht="15.75" customHeight="1" x14ac:dyDescent="0.2">
      <c r="A84" s="1638"/>
      <c r="B84" s="1583"/>
      <c r="C84" s="1557"/>
      <c r="D84" s="17" t="s">
        <v>99</v>
      </c>
      <c r="E84" s="659" t="s">
        <v>881</v>
      </c>
      <c r="F84" s="111"/>
      <c r="G84" s="217">
        <v>1</v>
      </c>
      <c r="H84" s="1560"/>
      <c r="I84" s="1562"/>
      <c r="J84" s="1550"/>
      <c r="K84" s="844"/>
    </row>
    <row r="85" spans="1:11" ht="36" x14ac:dyDescent="0.2">
      <c r="A85" s="1638"/>
      <c r="B85" s="1583"/>
      <c r="C85" s="1557"/>
      <c r="D85" s="17" t="s">
        <v>101</v>
      </c>
      <c r="E85" s="659" t="s">
        <v>882</v>
      </c>
      <c r="F85" s="111"/>
      <c r="G85" s="217">
        <v>1</v>
      </c>
      <c r="H85" s="1560"/>
      <c r="I85" s="1562"/>
      <c r="J85" s="1550"/>
      <c r="K85" s="844"/>
    </row>
    <row r="86" spans="1:11" ht="24" customHeight="1" x14ac:dyDescent="0.2">
      <c r="A86" s="1638"/>
      <c r="B86" s="1583"/>
      <c r="C86" s="1557"/>
      <c r="D86" s="17" t="s">
        <v>103</v>
      </c>
      <c r="E86" s="659" t="s">
        <v>1911</v>
      </c>
      <c r="F86" s="111" t="s">
        <v>167</v>
      </c>
      <c r="G86" s="482">
        <v>3</v>
      </c>
      <c r="H86" s="1560"/>
      <c r="I86" s="1562"/>
      <c r="J86" s="1550"/>
      <c r="K86" s="844"/>
    </row>
    <row r="87" spans="1:11" ht="15.75" customHeight="1" thickBot="1" x14ac:dyDescent="0.25">
      <c r="A87" s="1638"/>
      <c r="B87" s="1583"/>
      <c r="C87" s="1558"/>
      <c r="D87" s="302" t="s">
        <v>151</v>
      </c>
      <c r="E87" s="660" t="s">
        <v>883</v>
      </c>
      <c r="F87" s="260"/>
      <c r="G87" s="310">
        <v>0</v>
      </c>
      <c r="H87" s="1561"/>
      <c r="I87" s="1555"/>
      <c r="J87" s="1551"/>
      <c r="K87" s="844"/>
    </row>
    <row r="88" spans="1:11" x14ac:dyDescent="0.2">
      <c r="A88" s="1638"/>
      <c r="B88" s="1584"/>
      <c r="C88" s="1645" t="s">
        <v>884</v>
      </c>
      <c r="D88" s="377" t="s">
        <v>152</v>
      </c>
      <c r="E88" s="682" t="s">
        <v>885</v>
      </c>
      <c r="F88" s="1522" t="s">
        <v>887</v>
      </c>
      <c r="G88" s="1648" t="s">
        <v>2526</v>
      </c>
      <c r="H88" s="219" t="s">
        <v>886</v>
      </c>
      <c r="I88" s="1588" t="str">
        <f>IF(F88="X","100%","0")</f>
        <v>0</v>
      </c>
      <c r="J88" s="1650">
        <f>IF(F88="Siempre (aplica el mecanismo y corrige)",100%,IF(F88="Casi siempre (aplica el mecanismo pero la corrección tarda en implementarse)",75%,IF(F88="A veces (aplica el mecanismo pero no siempre corrige)",50%,IF(F88="Casi nunca (aplica el mecanismo pero no corrige)",25%,0))))</f>
        <v>0.75</v>
      </c>
      <c r="K88" s="121"/>
    </row>
    <row r="89" spans="1:11" ht="24" x14ac:dyDescent="0.2">
      <c r="A89" s="1638"/>
      <c r="B89" s="1584"/>
      <c r="C89" s="1646"/>
      <c r="D89" s="18" t="s">
        <v>218</v>
      </c>
      <c r="E89" s="672" t="s">
        <v>887</v>
      </c>
      <c r="F89" s="1522"/>
      <c r="G89" s="1560"/>
      <c r="H89" s="24" t="s">
        <v>888</v>
      </c>
      <c r="I89" s="1588"/>
      <c r="J89" s="1651"/>
      <c r="K89" s="121"/>
    </row>
    <row r="90" spans="1:11" x14ac:dyDescent="0.2">
      <c r="A90" s="1638"/>
      <c r="B90" s="1584"/>
      <c r="C90" s="1646"/>
      <c r="D90" s="18" t="s">
        <v>220</v>
      </c>
      <c r="E90" s="672" t="s">
        <v>889</v>
      </c>
      <c r="F90" s="1522"/>
      <c r="G90" s="1560"/>
      <c r="H90" s="24" t="s">
        <v>890</v>
      </c>
      <c r="I90" s="1588"/>
      <c r="J90" s="1651"/>
      <c r="K90" s="121"/>
    </row>
    <row r="91" spans="1:11" x14ac:dyDescent="0.2">
      <c r="A91" s="1638"/>
      <c r="B91" s="1584"/>
      <c r="C91" s="1646"/>
      <c r="D91" s="18" t="s">
        <v>222</v>
      </c>
      <c r="E91" s="672" t="s">
        <v>891</v>
      </c>
      <c r="F91" s="1522"/>
      <c r="G91" s="1560"/>
      <c r="H91" s="24" t="s">
        <v>892</v>
      </c>
      <c r="I91" s="1588"/>
      <c r="J91" s="1651"/>
      <c r="K91" s="121"/>
    </row>
    <row r="92" spans="1:11" ht="12.75" thickBot="1" x14ac:dyDescent="0.25">
      <c r="A92" s="1638"/>
      <c r="B92" s="1584"/>
      <c r="C92" s="1647"/>
      <c r="D92" s="378" t="s">
        <v>224</v>
      </c>
      <c r="E92" s="683" t="s">
        <v>893</v>
      </c>
      <c r="F92" s="1522"/>
      <c r="G92" s="1649"/>
      <c r="H92" s="218" t="s">
        <v>894</v>
      </c>
      <c r="I92" s="1588"/>
      <c r="J92" s="1652"/>
      <c r="K92" s="121"/>
    </row>
    <row r="93" spans="1:11" ht="24" customHeight="1" x14ac:dyDescent="0.2">
      <c r="A93" s="1638"/>
      <c r="B93" s="1583"/>
      <c r="C93" s="1659" t="s">
        <v>2069</v>
      </c>
      <c r="D93" s="379" t="s">
        <v>226</v>
      </c>
      <c r="E93" s="684" t="s">
        <v>388</v>
      </c>
      <c r="F93" s="1384" t="s">
        <v>388</v>
      </c>
      <c r="G93" s="1559" t="s">
        <v>2526</v>
      </c>
      <c r="H93" s="301" t="s">
        <v>895</v>
      </c>
      <c r="I93" s="1568"/>
      <c r="J93" s="1549">
        <f>IF(F93="Si",100%,0)</f>
        <v>1</v>
      </c>
      <c r="K93" s="844"/>
    </row>
    <row r="94" spans="1:11" ht="35.25" customHeight="1" thickBot="1" x14ac:dyDescent="0.25">
      <c r="A94" s="1638"/>
      <c r="B94" s="1583"/>
      <c r="C94" s="1663"/>
      <c r="D94" s="381" t="s">
        <v>228</v>
      </c>
      <c r="E94" s="686" t="s">
        <v>85</v>
      </c>
      <c r="F94" s="1371"/>
      <c r="G94" s="1561"/>
      <c r="H94" s="306" t="s">
        <v>896</v>
      </c>
      <c r="I94" s="1569"/>
      <c r="J94" s="1551"/>
      <c r="K94" s="844"/>
    </row>
    <row r="95" spans="1:11" ht="22.5" customHeight="1" x14ac:dyDescent="0.2">
      <c r="A95" s="1638"/>
      <c r="B95" s="1583"/>
      <c r="C95" s="1680" t="s">
        <v>2527</v>
      </c>
      <c r="D95" s="382" t="s">
        <v>230</v>
      </c>
      <c r="E95" s="690" t="s">
        <v>897</v>
      </c>
      <c r="F95" s="327"/>
      <c r="G95" s="1559" t="s">
        <v>2411</v>
      </c>
      <c r="H95" s="1559" t="s">
        <v>2074</v>
      </c>
      <c r="I95" s="355">
        <f>F95</f>
        <v>0</v>
      </c>
      <c r="J95" s="1511">
        <f>(I95+I96)/2</f>
        <v>0.4</v>
      </c>
      <c r="K95" s="289"/>
    </row>
    <row r="96" spans="1:11" ht="18" customHeight="1" x14ac:dyDescent="0.2">
      <c r="A96" s="1638"/>
      <c r="B96" s="1583"/>
      <c r="C96" s="1681"/>
      <c r="D96" s="214" t="s">
        <v>232</v>
      </c>
      <c r="E96" s="691" t="s">
        <v>898</v>
      </c>
      <c r="F96" s="193">
        <v>0.8</v>
      </c>
      <c r="G96" s="1560"/>
      <c r="H96" s="1560"/>
      <c r="I96" s="215">
        <f>F96</f>
        <v>0.8</v>
      </c>
      <c r="J96" s="1512"/>
      <c r="K96" s="844"/>
    </row>
    <row r="97" spans="1:11" ht="25.5" customHeight="1" thickBot="1" x14ac:dyDescent="0.25">
      <c r="A97" s="1638"/>
      <c r="B97" s="1583"/>
      <c r="C97" s="1682"/>
      <c r="D97" s="383" t="s">
        <v>234</v>
      </c>
      <c r="E97" s="692" t="s">
        <v>899</v>
      </c>
      <c r="F97" s="260"/>
      <c r="G97" s="1561"/>
      <c r="H97" s="1561"/>
      <c r="I97" s="306"/>
      <c r="J97" s="1513"/>
      <c r="K97" s="844"/>
    </row>
    <row r="98" spans="1:11" ht="15.75" thickBot="1" x14ac:dyDescent="0.25">
      <c r="A98" s="1638"/>
      <c r="B98" s="1584"/>
      <c r="C98" s="1636" t="s">
        <v>2063</v>
      </c>
      <c r="D98" s="1636"/>
      <c r="E98" s="1636"/>
      <c r="F98" s="1636"/>
      <c r="G98" s="1636"/>
      <c r="H98" s="1636"/>
      <c r="I98" s="1636"/>
      <c r="J98" s="387">
        <f>(J78+J83+J88+J93+J95)/5</f>
        <v>0.78</v>
      </c>
      <c r="K98" s="121"/>
    </row>
    <row r="99" spans="1:11" x14ac:dyDescent="0.2">
      <c r="A99" s="1638" t="s">
        <v>900</v>
      </c>
      <c r="B99" s="1583">
        <v>0.15</v>
      </c>
      <c r="C99" s="1556" t="s">
        <v>901</v>
      </c>
      <c r="D99" s="297" t="s">
        <v>82</v>
      </c>
      <c r="E99" s="658" t="s">
        <v>902</v>
      </c>
      <c r="F99" s="257" t="s">
        <v>167</v>
      </c>
      <c r="G99" s="309">
        <v>1</v>
      </c>
      <c r="H99" s="1559" t="s">
        <v>903</v>
      </c>
      <c r="I99" s="1554">
        <f>SUMIF(F99:F104,"x",G99:G104)</f>
        <v>2</v>
      </c>
      <c r="J99" s="1549">
        <f>I99/5</f>
        <v>0.4</v>
      </c>
      <c r="K99" s="844"/>
    </row>
    <row r="100" spans="1:11" x14ac:dyDescent="0.2">
      <c r="A100" s="1638"/>
      <c r="B100" s="1583"/>
      <c r="C100" s="1557"/>
      <c r="D100" s="17" t="s">
        <v>84</v>
      </c>
      <c r="E100" s="659" t="s">
        <v>904</v>
      </c>
      <c r="F100" s="111" t="s">
        <v>167</v>
      </c>
      <c r="G100" s="217">
        <v>1</v>
      </c>
      <c r="H100" s="1560"/>
      <c r="I100" s="1562"/>
      <c r="J100" s="1550"/>
      <c r="K100" s="844"/>
    </row>
    <row r="101" spans="1:11" x14ac:dyDescent="0.2">
      <c r="A101" s="1638"/>
      <c r="B101" s="1583"/>
      <c r="C101" s="1557"/>
      <c r="D101" s="17" t="s">
        <v>86</v>
      </c>
      <c r="E101" s="659" t="s">
        <v>905</v>
      </c>
      <c r="F101" s="111"/>
      <c r="G101" s="217">
        <v>1</v>
      </c>
      <c r="H101" s="1560"/>
      <c r="I101" s="1562"/>
      <c r="J101" s="1550"/>
      <c r="K101" s="844"/>
    </row>
    <row r="102" spans="1:11" x14ac:dyDescent="0.2">
      <c r="A102" s="1638"/>
      <c r="B102" s="1583"/>
      <c r="C102" s="1557"/>
      <c r="D102" s="17" t="s">
        <v>87</v>
      </c>
      <c r="E102" s="659" t="s">
        <v>906</v>
      </c>
      <c r="F102" s="111"/>
      <c r="G102" s="217">
        <v>1</v>
      </c>
      <c r="H102" s="1560"/>
      <c r="I102" s="1562"/>
      <c r="J102" s="1550"/>
      <c r="K102" s="844"/>
    </row>
    <row r="103" spans="1:11" x14ac:dyDescent="0.2">
      <c r="A103" s="1638"/>
      <c r="B103" s="1583"/>
      <c r="C103" s="1557"/>
      <c r="D103" s="17" t="s">
        <v>95</v>
      </c>
      <c r="E103" s="659" t="s">
        <v>907</v>
      </c>
      <c r="F103" s="111"/>
      <c r="G103" s="217">
        <v>1</v>
      </c>
      <c r="H103" s="1560"/>
      <c r="I103" s="1562"/>
      <c r="J103" s="1550"/>
      <c r="K103" s="844"/>
    </row>
    <row r="104" spans="1:11" ht="12.75" thickBot="1" x14ac:dyDescent="0.25">
      <c r="A104" s="1638"/>
      <c r="B104" s="1583"/>
      <c r="C104" s="1558"/>
      <c r="D104" s="302" t="s">
        <v>97</v>
      </c>
      <c r="E104" s="660" t="s">
        <v>740</v>
      </c>
      <c r="F104" s="260"/>
      <c r="G104" s="310">
        <v>0</v>
      </c>
      <c r="H104" s="1561"/>
      <c r="I104" s="1555"/>
      <c r="J104" s="1551"/>
      <c r="K104" s="844"/>
    </row>
    <row r="105" spans="1:11" x14ac:dyDescent="0.2">
      <c r="A105" s="1638"/>
      <c r="B105" s="1583"/>
      <c r="C105" s="1578" t="s">
        <v>908</v>
      </c>
      <c r="D105" s="312" t="s">
        <v>99</v>
      </c>
      <c r="E105" s="662" t="s">
        <v>902</v>
      </c>
      <c r="F105" s="257" t="s">
        <v>167</v>
      </c>
      <c r="G105" s="309">
        <v>1</v>
      </c>
      <c r="H105" s="1554" t="s">
        <v>1910</v>
      </c>
      <c r="I105" s="1554">
        <f>SUMIF(F105:F108,"x",G105:G108)</f>
        <v>1</v>
      </c>
      <c r="J105" s="1549">
        <f>I105/4</f>
        <v>0.25</v>
      </c>
      <c r="K105" s="844"/>
    </row>
    <row r="106" spans="1:11" x14ac:dyDescent="0.2">
      <c r="A106" s="1638"/>
      <c r="B106" s="1583"/>
      <c r="C106" s="1579"/>
      <c r="D106" s="311" t="s">
        <v>103</v>
      </c>
      <c r="E106" s="663" t="s">
        <v>905</v>
      </c>
      <c r="F106" s="111"/>
      <c r="G106" s="217">
        <v>1</v>
      </c>
      <c r="H106" s="1562"/>
      <c r="I106" s="1562"/>
      <c r="J106" s="1550"/>
      <c r="K106" s="844"/>
    </row>
    <row r="107" spans="1:11" x14ac:dyDescent="0.2">
      <c r="A107" s="1638"/>
      <c r="B107" s="1583"/>
      <c r="C107" s="1579"/>
      <c r="D107" s="311" t="s">
        <v>151</v>
      </c>
      <c r="E107" s="663" t="s">
        <v>906</v>
      </c>
      <c r="F107" s="111"/>
      <c r="G107" s="217">
        <v>1</v>
      </c>
      <c r="H107" s="1562"/>
      <c r="I107" s="1562"/>
      <c r="J107" s="1550"/>
      <c r="K107" s="844"/>
    </row>
    <row r="108" spans="1:11" ht="12.75" thickBot="1" x14ac:dyDescent="0.25">
      <c r="A108" s="1638"/>
      <c r="B108" s="1583"/>
      <c r="C108" s="1580"/>
      <c r="D108" s="313" t="s">
        <v>152</v>
      </c>
      <c r="E108" s="664" t="s">
        <v>907</v>
      </c>
      <c r="F108" s="260"/>
      <c r="G108" s="310">
        <v>1</v>
      </c>
      <c r="H108" s="1555"/>
      <c r="I108" s="1555"/>
      <c r="J108" s="1551"/>
      <c r="K108" s="844"/>
    </row>
    <row r="109" spans="1:11" ht="21.75" customHeight="1" x14ac:dyDescent="0.2">
      <c r="A109" s="1638"/>
      <c r="B109" s="1583"/>
      <c r="C109" s="1585" t="s">
        <v>909</v>
      </c>
      <c r="D109" s="307" t="s">
        <v>218</v>
      </c>
      <c r="E109" s="671" t="s">
        <v>388</v>
      </c>
      <c r="F109" s="1384" t="s">
        <v>388</v>
      </c>
      <c r="G109" s="1664" t="s">
        <v>2526</v>
      </c>
      <c r="H109" s="469" t="s">
        <v>910</v>
      </c>
      <c r="I109" s="1575">
        <f>J109</f>
        <v>1</v>
      </c>
      <c r="J109" s="1549">
        <f>IF(F109="Si",100%,0)</f>
        <v>1</v>
      </c>
      <c r="K109" s="844"/>
    </row>
    <row r="110" spans="1:11" ht="23.25" customHeight="1" thickBot="1" x14ac:dyDescent="0.25">
      <c r="A110" s="1638"/>
      <c r="B110" s="1583"/>
      <c r="C110" s="1587"/>
      <c r="D110" s="308" t="s">
        <v>220</v>
      </c>
      <c r="E110" s="673" t="s">
        <v>85</v>
      </c>
      <c r="F110" s="1371"/>
      <c r="G110" s="1665"/>
      <c r="H110" s="471" t="s">
        <v>911</v>
      </c>
      <c r="I110" s="1569"/>
      <c r="J110" s="1551"/>
      <c r="K110" s="844"/>
    </row>
    <row r="111" spans="1:11" ht="15.75" thickBot="1" x14ac:dyDescent="0.25">
      <c r="A111" s="1638"/>
      <c r="B111" s="1584"/>
      <c r="C111" s="1636" t="s">
        <v>2064</v>
      </c>
      <c r="D111" s="1636"/>
      <c r="E111" s="1636"/>
      <c r="F111" s="1636"/>
      <c r="G111" s="1636"/>
      <c r="H111" s="1636"/>
      <c r="I111" s="1636"/>
      <c r="J111" s="387">
        <f>(J99+J105+J109)/3</f>
        <v>0.54999999999999993</v>
      </c>
      <c r="K111" s="1073"/>
    </row>
    <row r="112" spans="1:11" x14ac:dyDescent="0.2">
      <c r="A112" s="1638" t="s">
        <v>912</v>
      </c>
      <c r="B112" s="1583">
        <v>0.1</v>
      </c>
      <c r="C112" s="1556" t="s">
        <v>913</v>
      </c>
      <c r="D112" s="297" t="s">
        <v>82</v>
      </c>
      <c r="E112" s="658" t="s">
        <v>914</v>
      </c>
      <c r="F112" s="257" t="s">
        <v>167</v>
      </c>
      <c r="G112" s="309">
        <v>1</v>
      </c>
      <c r="H112" s="1559" t="s">
        <v>2075</v>
      </c>
      <c r="I112" s="1554">
        <f>SUMIF(F112:F115,"x",G112:G115)</f>
        <v>3</v>
      </c>
      <c r="J112" s="1549">
        <f>I112/3</f>
        <v>1</v>
      </c>
      <c r="K112" s="844"/>
    </row>
    <row r="113" spans="1:11" x14ac:dyDescent="0.2">
      <c r="A113" s="1638"/>
      <c r="B113" s="1583"/>
      <c r="C113" s="1557"/>
      <c r="D113" s="17" t="s">
        <v>84</v>
      </c>
      <c r="E113" s="659" t="s">
        <v>915</v>
      </c>
      <c r="F113" s="111" t="s">
        <v>167</v>
      </c>
      <c r="G113" s="217">
        <v>1</v>
      </c>
      <c r="H113" s="1560"/>
      <c r="I113" s="1562"/>
      <c r="J113" s="1550"/>
      <c r="K113" s="844"/>
    </row>
    <row r="114" spans="1:11" x14ac:dyDescent="0.2">
      <c r="A114" s="1638"/>
      <c r="B114" s="1583"/>
      <c r="C114" s="1557"/>
      <c r="D114" s="17" t="s">
        <v>86</v>
      </c>
      <c r="E114" s="659" t="s">
        <v>916</v>
      </c>
      <c r="F114" s="111" t="s">
        <v>167</v>
      </c>
      <c r="G114" s="217">
        <v>1</v>
      </c>
      <c r="H114" s="1560"/>
      <c r="I114" s="1562"/>
      <c r="J114" s="1550"/>
      <c r="K114" s="844"/>
    </row>
    <row r="115" spans="1:11" ht="12.75" thickBot="1" x14ac:dyDescent="0.25">
      <c r="A115" s="1638"/>
      <c r="B115" s="1583"/>
      <c r="C115" s="1558"/>
      <c r="D115" s="302" t="s">
        <v>87</v>
      </c>
      <c r="E115" s="660" t="s">
        <v>917</v>
      </c>
      <c r="F115" s="260"/>
      <c r="G115" s="310">
        <v>0</v>
      </c>
      <c r="H115" s="1561"/>
      <c r="I115" s="1555"/>
      <c r="J115" s="1551"/>
      <c r="K115" s="844"/>
    </row>
    <row r="116" spans="1:11" ht="24" x14ac:dyDescent="0.2">
      <c r="A116" s="1638"/>
      <c r="B116" s="1583"/>
      <c r="C116" s="1585" t="s">
        <v>918</v>
      </c>
      <c r="D116" s="307" t="s">
        <v>95</v>
      </c>
      <c r="E116" s="671" t="s">
        <v>2528</v>
      </c>
      <c r="F116" s="1384" t="s">
        <v>2528</v>
      </c>
      <c r="G116" s="1664" t="s">
        <v>2526</v>
      </c>
      <c r="H116" s="301" t="s">
        <v>2425</v>
      </c>
      <c r="I116" s="1672">
        <f>J116</f>
        <v>1</v>
      </c>
      <c r="J116" s="1549">
        <f>IF(F116="1.Trabajó de forma coordinada con el líder de la Oficina de Control Interno o quien hace sus veces",100%,IF(F116="2.Trabajó de forma independiente y separada de las auditorías realizadas por parte de la Oficina de Control Interno",50%,0))</f>
        <v>1</v>
      </c>
      <c r="K116" s="844"/>
    </row>
    <row r="117" spans="1:11" ht="24.75" customHeight="1" x14ac:dyDescent="0.2">
      <c r="A117" s="1638"/>
      <c r="B117" s="1583"/>
      <c r="C117" s="1586"/>
      <c r="D117" s="18" t="s">
        <v>97</v>
      </c>
      <c r="E117" s="672" t="s">
        <v>2529</v>
      </c>
      <c r="F117" s="1522"/>
      <c r="G117" s="1565"/>
      <c r="H117" s="216" t="s">
        <v>2426</v>
      </c>
      <c r="I117" s="1562"/>
      <c r="J117" s="1550"/>
      <c r="K117" s="844"/>
    </row>
    <row r="118" spans="1:11" ht="13.5" customHeight="1" thickBot="1" x14ac:dyDescent="0.25">
      <c r="A118" s="1638"/>
      <c r="B118" s="1583"/>
      <c r="C118" s="1587"/>
      <c r="D118" s="308" t="s">
        <v>99</v>
      </c>
      <c r="E118" s="673" t="s">
        <v>2530</v>
      </c>
      <c r="F118" s="1371"/>
      <c r="G118" s="1665"/>
      <c r="H118" s="306" t="s">
        <v>2427</v>
      </c>
      <c r="I118" s="1555"/>
      <c r="J118" s="1551"/>
      <c r="K118" s="844"/>
    </row>
    <row r="119" spans="1:11" ht="26.25" customHeight="1" x14ac:dyDescent="0.2">
      <c r="A119" s="1638"/>
      <c r="B119" s="1583"/>
      <c r="C119" s="1659" t="s">
        <v>919</v>
      </c>
      <c r="D119" s="379" t="s">
        <v>101</v>
      </c>
      <c r="E119" s="684" t="s">
        <v>2531</v>
      </c>
      <c r="F119" s="1384" t="s">
        <v>2531</v>
      </c>
      <c r="G119" s="1664" t="s">
        <v>2526</v>
      </c>
      <c r="H119" s="301" t="s">
        <v>920</v>
      </c>
      <c r="I119" s="1575">
        <f>J119</f>
        <v>1</v>
      </c>
      <c r="J119" s="1549">
        <f>IF(F119="1.Se ejecutó de acuerdo a lo previsto y se logró una ejecución entre 100% y 90% de lo planeado",100%,IF(F119="2.No se ejecutó en su totalidad pero se avanzó en ello, entre un 60% y 89% de lo planeado",75%,IF(F119="3.La ejecución fue inferior al 60% de lo planeado",25%,0)))</f>
        <v>1</v>
      </c>
      <c r="K119" s="844"/>
    </row>
    <row r="120" spans="1:11" ht="24.75" customHeight="1" x14ac:dyDescent="0.2">
      <c r="A120" s="1638"/>
      <c r="B120" s="1583"/>
      <c r="C120" s="1662"/>
      <c r="D120" s="380" t="s">
        <v>103</v>
      </c>
      <c r="E120" s="685" t="s">
        <v>2532</v>
      </c>
      <c r="F120" s="1522"/>
      <c r="G120" s="1565"/>
      <c r="H120" s="216" t="s">
        <v>921</v>
      </c>
      <c r="I120" s="1588"/>
      <c r="J120" s="1550"/>
      <c r="K120" s="844"/>
    </row>
    <row r="121" spans="1:11" ht="15" customHeight="1" thickBot="1" x14ac:dyDescent="0.25">
      <c r="A121" s="1638"/>
      <c r="B121" s="1583"/>
      <c r="C121" s="1663"/>
      <c r="D121" s="381" t="s">
        <v>151</v>
      </c>
      <c r="E121" s="686" t="s">
        <v>2533</v>
      </c>
      <c r="F121" s="1371"/>
      <c r="G121" s="1665"/>
      <c r="H121" s="306" t="s">
        <v>922</v>
      </c>
      <c r="I121" s="1569"/>
      <c r="J121" s="1551"/>
      <c r="K121" s="844"/>
    </row>
    <row r="122" spans="1:11" x14ac:dyDescent="0.2">
      <c r="A122" s="1638"/>
      <c r="B122" s="1583"/>
      <c r="C122" s="1556" t="s">
        <v>923</v>
      </c>
      <c r="D122" s="297" t="s">
        <v>152</v>
      </c>
      <c r="E122" s="658" t="s">
        <v>924</v>
      </c>
      <c r="F122" s="257" t="s">
        <v>167</v>
      </c>
      <c r="G122" s="309">
        <v>1</v>
      </c>
      <c r="H122" s="1554" t="s">
        <v>925</v>
      </c>
      <c r="I122" s="1666">
        <f>SUMIF(F122:F125,"x",G122:G125)</f>
        <v>4</v>
      </c>
      <c r="J122" s="1669">
        <f>I122/4</f>
        <v>1</v>
      </c>
      <c r="K122" s="844"/>
    </row>
    <row r="123" spans="1:11" x14ac:dyDescent="0.2">
      <c r="A123" s="1638"/>
      <c r="B123" s="1583"/>
      <c r="C123" s="1557"/>
      <c r="D123" s="17" t="s">
        <v>218</v>
      </c>
      <c r="E123" s="659" t="s">
        <v>926</v>
      </c>
      <c r="F123" s="111" t="s">
        <v>167</v>
      </c>
      <c r="G123" s="217">
        <v>1</v>
      </c>
      <c r="H123" s="1562"/>
      <c r="I123" s="1667"/>
      <c r="J123" s="1670"/>
      <c r="K123" s="844"/>
    </row>
    <row r="124" spans="1:11" x14ac:dyDescent="0.2">
      <c r="A124" s="1638"/>
      <c r="B124" s="1583"/>
      <c r="C124" s="1557"/>
      <c r="D124" s="17" t="s">
        <v>220</v>
      </c>
      <c r="E124" s="659" t="s">
        <v>927</v>
      </c>
      <c r="F124" s="111" t="s">
        <v>167</v>
      </c>
      <c r="G124" s="217">
        <v>1</v>
      </c>
      <c r="H124" s="1562"/>
      <c r="I124" s="1667"/>
      <c r="J124" s="1670"/>
      <c r="K124" s="844"/>
    </row>
    <row r="125" spans="1:11" ht="12.75" thickBot="1" x14ac:dyDescent="0.25">
      <c r="A125" s="1638"/>
      <c r="B125" s="1583"/>
      <c r="C125" s="1558"/>
      <c r="D125" s="302" t="s">
        <v>222</v>
      </c>
      <c r="E125" s="660" t="s">
        <v>928</v>
      </c>
      <c r="F125" s="260" t="s">
        <v>167</v>
      </c>
      <c r="G125" s="310">
        <v>1</v>
      </c>
      <c r="H125" s="1555"/>
      <c r="I125" s="1668"/>
      <c r="J125" s="1671"/>
      <c r="K125" s="844"/>
    </row>
    <row r="126" spans="1:11" x14ac:dyDescent="0.2">
      <c r="A126" s="1638"/>
      <c r="B126" s="1583"/>
      <c r="C126" s="1578" t="s">
        <v>929</v>
      </c>
      <c r="D126" s="312" t="s">
        <v>224</v>
      </c>
      <c r="E126" s="662" t="s">
        <v>930</v>
      </c>
      <c r="F126" s="257" t="s">
        <v>167</v>
      </c>
      <c r="G126" s="309">
        <v>1</v>
      </c>
      <c r="H126" s="1554" t="s">
        <v>931</v>
      </c>
      <c r="I126" s="1554">
        <f>SUMIF(F126:F127,"X",G126:G127)</f>
        <v>2</v>
      </c>
      <c r="J126" s="1549">
        <f>I126/2</f>
        <v>1</v>
      </c>
      <c r="K126" s="844"/>
    </row>
    <row r="127" spans="1:11" ht="12.75" thickBot="1" x14ac:dyDescent="0.25">
      <c r="A127" s="1638"/>
      <c r="B127" s="1583"/>
      <c r="C127" s="1580"/>
      <c r="D127" s="313" t="s">
        <v>226</v>
      </c>
      <c r="E127" s="664" t="s">
        <v>932</v>
      </c>
      <c r="F127" s="260" t="s">
        <v>167</v>
      </c>
      <c r="G127" s="310">
        <v>1</v>
      </c>
      <c r="H127" s="1555"/>
      <c r="I127" s="1555"/>
      <c r="J127" s="1551"/>
      <c r="K127" s="844"/>
    </row>
    <row r="128" spans="1:11" ht="26.25" customHeight="1" x14ac:dyDescent="0.2">
      <c r="A128" s="1638"/>
      <c r="B128" s="1583"/>
      <c r="C128" s="1677" t="s">
        <v>933</v>
      </c>
      <c r="D128" s="307" t="s">
        <v>228</v>
      </c>
      <c r="E128" s="671" t="s">
        <v>388</v>
      </c>
      <c r="F128" s="1384" t="s">
        <v>388</v>
      </c>
      <c r="G128" s="1559" t="s">
        <v>2526</v>
      </c>
      <c r="H128" s="301" t="s">
        <v>934</v>
      </c>
      <c r="I128" s="1575">
        <f>J128</f>
        <v>1</v>
      </c>
      <c r="J128" s="1549">
        <f t="shared" ref="J128" si="8">IF(F128="Si",100%,0)</f>
        <v>1</v>
      </c>
      <c r="K128" s="844"/>
    </row>
    <row r="129" spans="1:11" ht="23.25" customHeight="1" thickBot="1" x14ac:dyDescent="0.25">
      <c r="A129" s="1638"/>
      <c r="B129" s="1583"/>
      <c r="C129" s="1678"/>
      <c r="D129" s="308" t="s">
        <v>230</v>
      </c>
      <c r="E129" s="673" t="s">
        <v>85</v>
      </c>
      <c r="F129" s="1371"/>
      <c r="G129" s="1561"/>
      <c r="H129" s="306" t="s">
        <v>935</v>
      </c>
      <c r="I129" s="1569"/>
      <c r="J129" s="1551"/>
      <c r="K129" s="844"/>
    </row>
    <row r="130" spans="1:11" ht="19.5" customHeight="1" x14ac:dyDescent="0.2">
      <c r="A130" s="1638"/>
      <c r="B130" s="1583"/>
      <c r="C130" s="1659" t="s">
        <v>1909</v>
      </c>
      <c r="D130" s="379" t="s">
        <v>232</v>
      </c>
      <c r="E130" s="684" t="s">
        <v>388</v>
      </c>
      <c r="F130" s="1384" t="s">
        <v>388</v>
      </c>
      <c r="G130" s="1559" t="s">
        <v>2526</v>
      </c>
      <c r="H130" s="301" t="s">
        <v>1908</v>
      </c>
      <c r="I130" s="1575">
        <f>J130</f>
        <v>1</v>
      </c>
      <c r="J130" s="1549">
        <f t="shared" ref="J130" si="9">IF(F130="Si",100%,0)</f>
        <v>1</v>
      </c>
      <c r="K130" s="844"/>
    </row>
    <row r="131" spans="1:11" ht="24.75" customHeight="1" thickBot="1" x14ac:dyDescent="0.25">
      <c r="A131" s="1638"/>
      <c r="B131" s="1583"/>
      <c r="C131" s="1663"/>
      <c r="D131" s="381" t="s">
        <v>234</v>
      </c>
      <c r="E131" s="686" t="s">
        <v>85</v>
      </c>
      <c r="F131" s="1371"/>
      <c r="G131" s="1561"/>
      <c r="H131" s="306" t="s">
        <v>1289</v>
      </c>
      <c r="I131" s="1569"/>
      <c r="J131" s="1551"/>
      <c r="K131" s="844"/>
    </row>
    <row r="132" spans="1:11" x14ac:dyDescent="0.2">
      <c r="A132" s="1638"/>
      <c r="B132" s="1583"/>
      <c r="C132" s="1556" t="s">
        <v>936</v>
      </c>
      <c r="D132" s="297" t="s">
        <v>236</v>
      </c>
      <c r="E132" s="658" t="s">
        <v>937</v>
      </c>
      <c r="F132" s="257" t="s">
        <v>167</v>
      </c>
      <c r="G132" s="309">
        <v>1</v>
      </c>
      <c r="H132" s="1559" t="s">
        <v>2720</v>
      </c>
      <c r="I132" s="1554">
        <f>SUMIF(F132:F138,"x",G132:G138)</f>
        <v>5</v>
      </c>
      <c r="J132" s="1549">
        <f>I132/6</f>
        <v>0.83333333333333337</v>
      </c>
      <c r="K132" s="844"/>
    </row>
    <row r="133" spans="1:11" ht="24" x14ac:dyDescent="0.2">
      <c r="A133" s="1638"/>
      <c r="B133" s="1583"/>
      <c r="C133" s="1557"/>
      <c r="D133" s="17" t="s">
        <v>238</v>
      </c>
      <c r="E133" s="659" t="s">
        <v>938</v>
      </c>
      <c r="F133" s="111" t="s">
        <v>167</v>
      </c>
      <c r="G133" s="217">
        <v>1</v>
      </c>
      <c r="H133" s="1560"/>
      <c r="I133" s="1562"/>
      <c r="J133" s="1550"/>
      <c r="K133" s="844"/>
    </row>
    <row r="134" spans="1:11" x14ac:dyDescent="0.2">
      <c r="A134" s="1638"/>
      <c r="B134" s="1583"/>
      <c r="C134" s="1557"/>
      <c r="D134" s="17" t="s">
        <v>240</v>
      </c>
      <c r="E134" s="659" t="s">
        <v>939</v>
      </c>
      <c r="F134" s="111" t="s">
        <v>167</v>
      </c>
      <c r="G134" s="217">
        <v>1</v>
      </c>
      <c r="H134" s="1560"/>
      <c r="I134" s="1562"/>
      <c r="J134" s="1550"/>
      <c r="K134" s="844"/>
    </row>
    <row r="135" spans="1:11" ht="24" x14ac:dyDescent="0.2">
      <c r="A135" s="1638"/>
      <c r="B135" s="1583"/>
      <c r="C135" s="1557"/>
      <c r="D135" s="17" t="s">
        <v>167</v>
      </c>
      <c r="E135" s="659" t="s">
        <v>940</v>
      </c>
      <c r="F135" s="111"/>
      <c r="G135" s="217">
        <v>1</v>
      </c>
      <c r="H135" s="1560"/>
      <c r="I135" s="1562"/>
      <c r="J135" s="1550"/>
      <c r="K135" s="844"/>
    </row>
    <row r="136" spans="1:11" x14ac:dyDescent="0.2">
      <c r="A136" s="1638"/>
      <c r="B136" s="1583"/>
      <c r="C136" s="1557"/>
      <c r="D136" s="17" t="s">
        <v>243</v>
      </c>
      <c r="E136" s="659" t="s">
        <v>941</v>
      </c>
      <c r="F136" s="111" t="s">
        <v>167</v>
      </c>
      <c r="G136" s="217">
        <v>1</v>
      </c>
      <c r="H136" s="1560"/>
      <c r="I136" s="1562"/>
      <c r="J136" s="1550"/>
      <c r="K136" s="844"/>
    </row>
    <row r="137" spans="1:11" x14ac:dyDescent="0.2">
      <c r="A137" s="1638"/>
      <c r="B137" s="1583"/>
      <c r="C137" s="1557"/>
      <c r="D137" s="17" t="s">
        <v>245</v>
      </c>
      <c r="E137" s="659" t="s">
        <v>942</v>
      </c>
      <c r="F137" s="111" t="s">
        <v>167</v>
      </c>
      <c r="G137" s="217">
        <v>1</v>
      </c>
      <c r="H137" s="1560"/>
      <c r="I137" s="1562"/>
      <c r="J137" s="1550"/>
      <c r="K137" s="844"/>
    </row>
    <row r="138" spans="1:11" ht="12.75" thickBot="1" x14ac:dyDescent="0.25">
      <c r="A138" s="1638"/>
      <c r="B138" s="1583"/>
      <c r="C138" s="1558"/>
      <c r="D138" s="302" t="s">
        <v>246</v>
      </c>
      <c r="E138" s="660" t="s">
        <v>943</v>
      </c>
      <c r="F138" s="260"/>
      <c r="G138" s="310">
        <v>0</v>
      </c>
      <c r="H138" s="1561"/>
      <c r="I138" s="1555"/>
      <c r="J138" s="1551"/>
      <c r="K138" s="844"/>
    </row>
    <row r="139" spans="1:11" ht="15.75" thickBot="1" x14ac:dyDescent="0.25">
      <c r="A139" s="1638"/>
      <c r="B139" s="1584"/>
      <c r="C139" s="1636" t="s">
        <v>2065</v>
      </c>
      <c r="D139" s="1636"/>
      <c r="E139" s="1636"/>
      <c r="F139" s="1636"/>
      <c r="G139" s="1636"/>
      <c r="H139" s="1636"/>
      <c r="I139" s="1636"/>
      <c r="J139" s="387">
        <f>(J112+J116+J119+J122+J126+J128+J130+J132)/8</f>
        <v>0.97916666666666663</v>
      </c>
      <c r="K139" s="121"/>
    </row>
    <row r="140" spans="1:11" ht="16.5" customHeight="1" x14ac:dyDescent="0.2">
      <c r="A140" s="1638" t="s">
        <v>944</v>
      </c>
      <c r="B140" s="1583">
        <v>0.2</v>
      </c>
      <c r="C140" s="1578" t="s">
        <v>945</v>
      </c>
      <c r="D140" s="312" t="s">
        <v>82</v>
      </c>
      <c r="E140" s="662" t="s">
        <v>946</v>
      </c>
      <c r="F140" s="257" t="s">
        <v>167</v>
      </c>
      <c r="G140" s="309">
        <v>1</v>
      </c>
      <c r="H140" s="1554" t="s">
        <v>947</v>
      </c>
      <c r="I140" s="1554">
        <f>SUMIF(F140:F146,"x",G140:G146)</f>
        <v>7</v>
      </c>
      <c r="J140" s="1549">
        <f>I140/7</f>
        <v>1</v>
      </c>
      <c r="K140" s="844"/>
    </row>
    <row r="141" spans="1:11" ht="24" x14ac:dyDescent="0.2">
      <c r="A141" s="1638"/>
      <c r="B141" s="1673"/>
      <c r="C141" s="1579"/>
      <c r="D141" s="311" t="s">
        <v>84</v>
      </c>
      <c r="E141" s="663" t="s">
        <v>948</v>
      </c>
      <c r="F141" s="111" t="s">
        <v>167</v>
      </c>
      <c r="G141" s="217">
        <v>1</v>
      </c>
      <c r="H141" s="1562"/>
      <c r="I141" s="1562"/>
      <c r="J141" s="1550"/>
      <c r="K141" s="844"/>
    </row>
    <row r="142" spans="1:11" ht="24" x14ac:dyDescent="0.2">
      <c r="A142" s="1638"/>
      <c r="B142" s="1673"/>
      <c r="C142" s="1579"/>
      <c r="D142" s="311" t="s">
        <v>86</v>
      </c>
      <c r="E142" s="663" t="s">
        <v>949</v>
      </c>
      <c r="F142" s="111" t="s">
        <v>167</v>
      </c>
      <c r="G142" s="217">
        <v>1</v>
      </c>
      <c r="H142" s="1562"/>
      <c r="I142" s="1562"/>
      <c r="J142" s="1550"/>
      <c r="K142" s="844"/>
    </row>
    <row r="143" spans="1:11" ht="24" x14ac:dyDescent="0.2">
      <c r="A143" s="1638"/>
      <c r="B143" s="1673"/>
      <c r="C143" s="1579"/>
      <c r="D143" s="311" t="s">
        <v>87</v>
      </c>
      <c r="E143" s="663" t="s">
        <v>950</v>
      </c>
      <c r="F143" s="111" t="s">
        <v>167</v>
      </c>
      <c r="G143" s="217">
        <v>1</v>
      </c>
      <c r="H143" s="1562"/>
      <c r="I143" s="1562"/>
      <c r="J143" s="1550"/>
      <c r="K143" s="844"/>
    </row>
    <row r="144" spans="1:11" ht="24" x14ac:dyDescent="0.2">
      <c r="A144" s="1638"/>
      <c r="B144" s="1673"/>
      <c r="C144" s="1579"/>
      <c r="D144" s="311" t="s">
        <v>95</v>
      </c>
      <c r="E144" s="663" t="s">
        <v>951</v>
      </c>
      <c r="F144" s="111" t="s">
        <v>167</v>
      </c>
      <c r="G144" s="217">
        <v>1</v>
      </c>
      <c r="H144" s="1562"/>
      <c r="I144" s="1562"/>
      <c r="J144" s="1550"/>
      <c r="K144" s="844"/>
    </row>
    <row r="145" spans="1:11" ht="36" x14ac:dyDescent="0.2">
      <c r="A145" s="1638"/>
      <c r="B145" s="1673"/>
      <c r="C145" s="1579"/>
      <c r="D145" s="311" t="s">
        <v>97</v>
      </c>
      <c r="E145" s="663" t="s">
        <v>952</v>
      </c>
      <c r="F145" s="111" t="s">
        <v>167</v>
      </c>
      <c r="G145" s="217">
        <v>1</v>
      </c>
      <c r="H145" s="1562"/>
      <c r="I145" s="1562"/>
      <c r="J145" s="1550"/>
      <c r="K145" s="844"/>
    </row>
    <row r="146" spans="1:11" ht="24.75" thickBot="1" x14ac:dyDescent="0.25">
      <c r="A146" s="1638"/>
      <c r="B146" s="1673"/>
      <c r="C146" s="1580"/>
      <c r="D146" s="313" t="s">
        <v>99</v>
      </c>
      <c r="E146" s="664" t="s">
        <v>953</v>
      </c>
      <c r="F146" s="260" t="s">
        <v>167</v>
      </c>
      <c r="G146" s="310">
        <v>1</v>
      </c>
      <c r="H146" s="1555"/>
      <c r="I146" s="1555"/>
      <c r="J146" s="1551"/>
      <c r="K146" s="844"/>
    </row>
    <row r="147" spans="1:11" ht="15.75" customHeight="1" x14ac:dyDescent="0.2">
      <c r="A147" s="1638"/>
      <c r="B147" s="1673"/>
      <c r="C147" s="1556" t="s">
        <v>954</v>
      </c>
      <c r="D147" s="297" t="s">
        <v>101</v>
      </c>
      <c r="E147" s="658" t="s">
        <v>955</v>
      </c>
      <c r="F147" s="257" t="s">
        <v>167</v>
      </c>
      <c r="G147" s="309">
        <v>1</v>
      </c>
      <c r="H147" s="1554" t="s">
        <v>956</v>
      </c>
      <c r="I147" s="1554">
        <f>SUMIF(F147:F152,"x",G147:G152)</f>
        <v>5</v>
      </c>
      <c r="J147" s="1549">
        <f>I147/6</f>
        <v>0.83333333333333337</v>
      </c>
      <c r="K147" s="844"/>
    </row>
    <row r="148" spans="1:11" ht="24" x14ac:dyDescent="0.2">
      <c r="A148" s="1638"/>
      <c r="B148" s="1673"/>
      <c r="C148" s="1557"/>
      <c r="D148" s="17" t="s">
        <v>103</v>
      </c>
      <c r="E148" s="659" t="s">
        <v>957</v>
      </c>
      <c r="F148" s="111" t="s">
        <v>167</v>
      </c>
      <c r="G148" s="217">
        <v>1</v>
      </c>
      <c r="H148" s="1562"/>
      <c r="I148" s="1562"/>
      <c r="J148" s="1550"/>
      <c r="K148" s="844"/>
    </row>
    <row r="149" spans="1:11" ht="36" x14ac:dyDescent="0.2">
      <c r="A149" s="1638"/>
      <c r="B149" s="1673"/>
      <c r="C149" s="1557"/>
      <c r="D149" s="17" t="s">
        <v>151</v>
      </c>
      <c r="E149" s="659" t="s">
        <v>958</v>
      </c>
      <c r="F149" s="111" t="s">
        <v>167</v>
      </c>
      <c r="G149" s="217">
        <v>1</v>
      </c>
      <c r="H149" s="1562"/>
      <c r="I149" s="1562"/>
      <c r="J149" s="1550"/>
      <c r="K149" s="844"/>
    </row>
    <row r="150" spans="1:11" ht="36" x14ac:dyDescent="0.2">
      <c r="A150" s="1638"/>
      <c r="B150" s="1673"/>
      <c r="C150" s="1557"/>
      <c r="D150" s="17" t="s">
        <v>152</v>
      </c>
      <c r="E150" s="659" t="s">
        <v>959</v>
      </c>
      <c r="F150" s="111" t="s">
        <v>167</v>
      </c>
      <c r="G150" s="217">
        <v>1</v>
      </c>
      <c r="H150" s="1562"/>
      <c r="I150" s="1562"/>
      <c r="J150" s="1550"/>
      <c r="K150" s="844"/>
    </row>
    <row r="151" spans="1:11" ht="17.25" customHeight="1" x14ac:dyDescent="0.2">
      <c r="A151" s="1638"/>
      <c r="B151" s="1673"/>
      <c r="C151" s="1557"/>
      <c r="D151" s="17" t="s">
        <v>218</v>
      </c>
      <c r="E151" s="659" t="s">
        <v>960</v>
      </c>
      <c r="F151" s="111"/>
      <c r="G151" s="217">
        <v>1</v>
      </c>
      <c r="H151" s="1562"/>
      <c r="I151" s="1562"/>
      <c r="J151" s="1550"/>
      <c r="K151" s="844"/>
    </row>
    <row r="152" spans="1:11" ht="18" customHeight="1" thickBot="1" x14ac:dyDescent="0.25">
      <c r="A152" s="1638"/>
      <c r="B152" s="1673"/>
      <c r="C152" s="1558"/>
      <c r="D152" s="302" t="s">
        <v>220</v>
      </c>
      <c r="E152" s="660" t="s">
        <v>961</v>
      </c>
      <c r="F152" s="260" t="s">
        <v>167</v>
      </c>
      <c r="G152" s="310">
        <v>1</v>
      </c>
      <c r="H152" s="1555"/>
      <c r="I152" s="1555"/>
      <c r="J152" s="1551"/>
      <c r="K152" s="844"/>
    </row>
    <row r="153" spans="1:11" ht="16.5" customHeight="1" x14ac:dyDescent="0.2">
      <c r="A153" s="1638"/>
      <c r="B153" s="1673"/>
      <c r="C153" s="1578" t="s">
        <v>962</v>
      </c>
      <c r="D153" s="312" t="s">
        <v>222</v>
      </c>
      <c r="E153" s="662" t="s">
        <v>963</v>
      </c>
      <c r="F153" s="257" t="s">
        <v>167</v>
      </c>
      <c r="G153" s="309">
        <v>1</v>
      </c>
      <c r="H153" s="1554" t="s">
        <v>964</v>
      </c>
      <c r="I153" s="1554">
        <f>SUMIF(F153:F159,"x",G153:G159)</f>
        <v>6</v>
      </c>
      <c r="J153" s="1549">
        <f>I153/7</f>
        <v>0.8571428571428571</v>
      </c>
      <c r="K153" s="844"/>
    </row>
    <row r="154" spans="1:11" ht="15" customHeight="1" x14ac:dyDescent="0.2">
      <c r="A154" s="1638"/>
      <c r="B154" s="1673"/>
      <c r="C154" s="1579"/>
      <c r="D154" s="311" t="s">
        <v>224</v>
      </c>
      <c r="E154" s="663" t="s">
        <v>965</v>
      </c>
      <c r="F154" s="111"/>
      <c r="G154" s="217">
        <v>1</v>
      </c>
      <c r="H154" s="1562"/>
      <c r="I154" s="1562"/>
      <c r="J154" s="1550"/>
      <c r="K154" s="844"/>
    </row>
    <row r="155" spans="1:11" ht="24" x14ac:dyDescent="0.2">
      <c r="A155" s="1638"/>
      <c r="B155" s="1673"/>
      <c r="C155" s="1579"/>
      <c r="D155" s="311" t="s">
        <v>226</v>
      </c>
      <c r="E155" s="663" t="s">
        <v>966</v>
      </c>
      <c r="F155" s="111" t="s">
        <v>167</v>
      </c>
      <c r="G155" s="217">
        <v>1</v>
      </c>
      <c r="H155" s="1562"/>
      <c r="I155" s="1562"/>
      <c r="J155" s="1550"/>
      <c r="K155" s="844"/>
    </row>
    <row r="156" spans="1:11" ht="24" x14ac:dyDescent="0.2">
      <c r="A156" s="1638"/>
      <c r="B156" s="1673"/>
      <c r="C156" s="1579"/>
      <c r="D156" s="311" t="s">
        <v>228</v>
      </c>
      <c r="E156" s="663" t="s">
        <v>2721</v>
      </c>
      <c r="F156" s="111" t="s">
        <v>167</v>
      </c>
      <c r="G156" s="217">
        <v>1</v>
      </c>
      <c r="H156" s="1562"/>
      <c r="I156" s="1562"/>
      <c r="J156" s="1550"/>
      <c r="K156" s="844"/>
    </row>
    <row r="157" spans="1:11" ht="24" x14ac:dyDescent="0.2">
      <c r="A157" s="1638"/>
      <c r="B157" s="1673"/>
      <c r="C157" s="1579"/>
      <c r="D157" s="311" t="s">
        <v>230</v>
      </c>
      <c r="E157" s="663" t="s">
        <v>967</v>
      </c>
      <c r="F157" s="111" t="s">
        <v>167</v>
      </c>
      <c r="G157" s="217">
        <v>1</v>
      </c>
      <c r="H157" s="1562"/>
      <c r="I157" s="1562"/>
      <c r="J157" s="1550"/>
      <c r="K157" s="844"/>
    </row>
    <row r="158" spans="1:11" ht="24" x14ac:dyDescent="0.2">
      <c r="A158" s="1638"/>
      <c r="B158" s="1673"/>
      <c r="C158" s="1579"/>
      <c r="D158" s="311" t="s">
        <v>232</v>
      </c>
      <c r="E158" s="663" t="s">
        <v>968</v>
      </c>
      <c r="F158" s="111" t="s">
        <v>167</v>
      </c>
      <c r="G158" s="217">
        <v>1</v>
      </c>
      <c r="H158" s="1562"/>
      <c r="I158" s="1562"/>
      <c r="J158" s="1550"/>
      <c r="K158" s="844"/>
    </row>
    <row r="159" spans="1:11" ht="36.75" thickBot="1" x14ac:dyDescent="0.25">
      <c r="A159" s="1638"/>
      <c r="B159" s="1673"/>
      <c r="C159" s="1580"/>
      <c r="D159" s="313" t="s">
        <v>234</v>
      </c>
      <c r="E159" s="664" t="s">
        <v>969</v>
      </c>
      <c r="F159" s="260" t="s">
        <v>167</v>
      </c>
      <c r="G159" s="310">
        <v>1</v>
      </c>
      <c r="H159" s="1555"/>
      <c r="I159" s="1555"/>
      <c r="J159" s="1551"/>
      <c r="K159" s="844"/>
    </row>
    <row r="160" spans="1:11" ht="12" customHeight="1" x14ac:dyDescent="0.2">
      <c r="A160" s="1638"/>
      <c r="B160" s="1673"/>
      <c r="C160" s="1556" t="s">
        <v>970</v>
      </c>
      <c r="D160" s="297" t="s">
        <v>236</v>
      </c>
      <c r="E160" s="658" t="s">
        <v>971</v>
      </c>
      <c r="F160" s="257" t="s">
        <v>167</v>
      </c>
      <c r="G160" s="309">
        <v>1</v>
      </c>
      <c r="H160" s="300"/>
      <c r="I160" s="1554">
        <f>SUMIF(F160:F174,"x",G160:G174)</f>
        <v>15</v>
      </c>
      <c r="J160" s="1549">
        <f>I160/15</f>
        <v>1</v>
      </c>
      <c r="K160" s="844"/>
    </row>
    <row r="161" spans="1:11" ht="24" x14ac:dyDescent="0.2">
      <c r="A161" s="1638"/>
      <c r="B161" s="1673"/>
      <c r="C161" s="1557"/>
      <c r="D161" s="17" t="s">
        <v>238</v>
      </c>
      <c r="E161" s="659" t="s">
        <v>973</v>
      </c>
      <c r="F161" s="111" t="s">
        <v>167</v>
      </c>
      <c r="G161" s="217">
        <v>1</v>
      </c>
      <c r="H161" s="181"/>
      <c r="I161" s="1562"/>
      <c r="J161" s="1550"/>
      <c r="K161" s="844"/>
    </row>
    <row r="162" spans="1:11" x14ac:dyDescent="0.2">
      <c r="A162" s="1638"/>
      <c r="B162" s="1673"/>
      <c r="C162" s="1557"/>
      <c r="D162" s="17" t="s">
        <v>240</v>
      </c>
      <c r="E162" s="659" t="s">
        <v>974</v>
      </c>
      <c r="F162" s="111" t="s">
        <v>167</v>
      </c>
      <c r="G162" s="217">
        <v>1</v>
      </c>
      <c r="H162" s="181"/>
      <c r="I162" s="1562"/>
      <c r="J162" s="1550"/>
      <c r="K162" s="844"/>
    </row>
    <row r="163" spans="1:11" ht="24" x14ac:dyDescent="0.2">
      <c r="A163" s="1638"/>
      <c r="B163" s="1673"/>
      <c r="C163" s="1557"/>
      <c r="D163" s="17" t="s">
        <v>167</v>
      </c>
      <c r="E163" s="659" t="s">
        <v>975</v>
      </c>
      <c r="F163" s="111" t="s">
        <v>167</v>
      </c>
      <c r="G163" s="217">
        <v>1</v>
      </c>
      <c r="H163" s="181"/>
      <c r="I163" s="1562"/>
      <c r="J163" s="1550"/>
      <c r="K163" s="844"/>
    </row>
    <row r="164" spans="1:11" ht="24" x14ac:dyDescent="0.2">
      <c r="A164" s="1638"/>
      <c r="B164" s="1673"/>
      <c r="C164" s="1557"/>
      <c r="D164" s="17" t="s">
        <v>243</v>
      </c>
      <c r="E164" s="659" t="s">
        <v>976</v>
      </c>
      <c r="F164" s="111" t="s">
        <v>167</v>
      </c>
      <c r="G164" s="217">
        <v>1</v>
      </c>
      <c r="H164" s="181"/>
      <c r="I164" s="1562"/>
      <c r="J164" s="1550"/>
      <c r="K164" s="844"/>
    </row>
    <row r="165" spans="1:11" ht="17.25" customHeight="1" x14ac:dyDescent="0.2">
      <c r="A165" s="1638"/>
      <c r="B165" s="1673"/>
      <c r="C165" s="1557"/>
      <c r="D165" s="17" t="s">
        <v>245</v>
      </c>
      <c r="E165" s="659" t="s">
        <v>977</v>
      </c>
      <c r="F165" s="111" t="s">
        <v>167</v>
      </c>
      <c r="G165" s="217">
        <v>1</v>
      </c>
      <c r="H165" s="181"/>
      <c r="I165" s="1562"/>
      <c r="J165" s="1550"/>
      <c r="K165" s="844"/>
    </row>
    <row r="166" spans="1:11" ht="24" x14ac:dyDescent="0.2">
      <c r="A166" s="1638"/>
      <c r="B166" s="1673"/>
      <c r="C166" s="1557"/>
      <c r="D166" s="17" t="s">
        <v>246</v>
      </c>
      <c r="E166" s="659" t="s">
        <v>978</v>
      </c>
      <c r="F166" s="111" t="s">
        <v>167</v>
      </c>
      <c r="G166" s="217">
        <v>1</v>
      </c>
      <c r="H166" s="1565" t="s">
        <v>972</v>
      </c>
      <c r="I166" s="1562"/>
      <c r="J166" s="1550"/>
      <c r="K166" s="844"/>
    </row>
    <row r="167" spans="1:11" ht="16.5" customHeight="1" x14ac:dyDescent="0.2">
      <c r="A167" s="1638"/>
      <c r="B167" s="1673"/>
      <c r="C167" s="1557"/>
      <c r="D167" s="17" t="s">
        <v>248</v>
      </c>
      <c r="E167" s="659" t="s">
        <v>979</v>
      </c>
      <c r="F167" s="111" t="s">
        <v>167</v>
      </c>
      <c r="G167" s="217">
        <v>1</v>
      </c>
      <c r="H167" s="1565"/>
      <c r="I167" s="1562"/>
      <c r="J167" s="1550"/>
      <c r="K167" s="844"/>
    </row>
    <row r="168" spans="1:11" ht="18.75" customHeight="1" x14ac:dyDescent="0.2">
      <c r="A168" s="1638"/>
      <c r="B168" s="1673"/>
      <c r="C168" s="1557"/>
      <c r="D168" s="17" t="s">
        <v>250</v>
      </c>
      <c r="E168" s="659" t="s">
        <v>980</v>
      </c>
      <c r="F168" s="111" t="s">
        <v>167</v>
      </c>
      <c r="G168" s="217">
        <v>1</v>
      </c>
      <c r="H168" s="181"/>
      <c r="I168" s="1562"/>
      <c r="J168" s="1550"/>
      <c r="K168" s="844"/>
    </row>
    <row r="169" spans="1:11" ht="36" x14ac:dyDescent="0.2">
      <c r="A169" s="1638"/>
      <c r="B169" s="1673"/>
      <c r="C169" s="1557"/>
      <c r="D169" s="17" t="s">
        <v>252</v>
      </c>
      <c r="E169" s="693" t="s">
        <v>2428</v>
      </c>
      <c r="F169" s="111" t="s">
        <v>167</v>
      </c>
      <c r="G169" s="217">
        <v>1</v>
      </c>
      <c r="H169" s="181"/>
      <c r="I169" s="1562"/>
      <c r="J169" s="1550"/>
      <c r="K169" s="844"/>
    </row>
    <row r="170" spans="1:11" x14ac:dyDescent="0.2">
      <c r="A170" s="1638"/>
      <c r="B170" s="1673"/>
      <c r="C170" s="1557"/>
      <c r="D170" s="17" t="s">
        <v>254</v>
      </c>
      <c r="E170" s="659" t="s">
        <v>981</v>
      </c>
      <c r="F170" s="111" t="s">
        <v>167</v>
      </c>
      <c r="G170" s="217">
        <v>1</v>
      </c>
      <c r="H170" s="181"/>
      <c r="I170" s="1562"/>
      <c r="J170" s="1550"/>
      <c r="K170" s="844"/>
    </row>
    <row r="171" spans="1:11" x14ac:dyDescent="0.2">
      <c r="A171" s="1638"/>
      <c r="B171" s="1673"/>
      <c r="C171" s="1557"/>
      <c r="D171" s="17" t="s">
        <v>255</v>
      </c>
      <c r="E171" s="659" t="s">
        <v>982</v>
      </c>
      <c r="F171" s="111" t="s">
        <v>167</v>
      </c>
      <c r="G171" s="217">
        <v>1</v>
      </c>
      <c r="H171" s="181"/>
      <c r="I171" s="1562"/>
      <c r="J171" s="1550"/>
      <c r="K171" s="844"/>
    </row>
    <row r="172" spans="1:11" ht="24" x14ac:dyDescent="0.2">
      <c r="A172" s="1638"/>
      <c r="B172" s="1673"/>
      <c r="C172" s="1557"/>
      <c r="D172" s="17" t="s">
        <v>257</v>
      </c>
      <c r="E172" s="659" t="s">
        <v>983</v>
      </c>
      <c r="F172" s="111" t="s">
        <v>167</v>
      </c>
      <c r="G172" s="217">
        <v>1</v>
      </c>
      <c r="H172" s="181"/>
      <c r="I172" s="1562"/>
      <c r="J172" s="1550"/>
      <c r="K172" s="844"/>
    </row>
    <row r="173" spans="1:11" ht="36" x14ac:dyDescent="0.2">
      <c r="A173" s="1638"/>
      <c r="B173" s="1673"/>
      <c r="C173" s="1557"/>
      <c r="D173" s="17" t="s">
        <v>259</v>
      </c>
      <c r="E173" s="659" t="s">
        <v>984</v>
      </c>
      <c r="F173" s="111" t="s">
        <v>167</v>
      </c>
      <c r="G173" s="217">
        <v>1</v>
      </c>
      <c r="H173" s="181"/>
      <c r="I173" s="1562"/>
      <c r="J173" s="1550"/>
      <c r="K173" s="844"/>
    </row>
    <row r="174" spans="1:11" ht="24.75" thickBot="1" x14ac:dyDescent="0.25">
      <c r="A174" s="1638"/>
      <c r="B174" s="1673"/>
      <c r="C174" s="1558"/>
      <c r="D174" s="302" t="s">
        <v>261</v>
      </c>
      <c r="E174" s="660" t="s">
        <v>985</v>
      </c>
      <c r="F174" s="260" t="s">
        <v>167</v>
      </c>
      <c r="G174" s="310">
        <v>1</v>
      </c>
      <c r="H174" s="305"/>
      <c r="I174" s="1555"/>
      <c r="J174" s="1551"/>
      <c r="K174" s="844"/>
    </row>
    <row r="175" spans="1:11" ht="24" x14ac:dyDescent="0.2">
      <c r="A175" s="1638"/>
      <c r="B175" s="1673"/>
      <c r="C175" s="1578" t="s">
        <v>986</v>
      </c>
      <c r="D175" s="312" t="s">
        <v>262</v>
      </c>
      <c r="E175" s="662" t="s">
        <v>987</v>
      </c>
      <c r="F175" s="257" t="s">
        <v>167</v>
      </c>
      <c r="G175" s="466">
        <v>1</v>
      </c>
      <c r="H175" s="336"/>
      <c r="I175" s="1554">
        <f>SUMIF(F175:F180,"x",G175:G180)</f>
        <v>6</v>
      </c>
      <c r="J175" s="1549">
        <f>I175/6</f>
        <v>1</v>
      </c>
      <c r="K175" s="844"/>
    </row>
    <row r="176" spans="1:11" ht="24" x14ac:dyDescent="0.2">
      <c r="A176" s="1638"/>
      <c r="B176" s="1673"/>
      <c r="C176" s="1579"/>
      <c r="D176" s="311" t="s">
        <v>264</v>
      </c>
      <c r="E176" s="663" t="s">
        <v>989</v>
      </c>
      <c r="F176" s="111" t="s">
        <v>167</v>
      </c>
      <c r="G176" s="467">
        <v>1</v>
      </c>
      <c r="H176" s="194"/>
      <c r="I176" s="1562"/>
      <c r="J176" s="1550"/>
      <c r="K176" s="844"/>
    </row>
    <row r="177" spans="1:11" ht="24" x14ac:dyDescent="0.2">
      <c r="A177" s="1638"/>
      <c r="B177" s="1673"/>
      <c r="C177" s="1579"/>
      <c r="D177" s="311" t="s">
        <v>266</v>
      </c>
      <c r="E177" s="663" t="s">
        <v>990</v>
      </c>
      <c r="F177" s="111" t="s">
        <v>167</v>
      </c>
      <c r="G177" s="467">
        <v>1</v>
      </c>
      <c r="H177" s="194"/>
      <c r="I177" s="1562"/>
      <c r="J177" s="1550"/>
      <c r="K177" s="844"/>
    </row>
    <row r="178" spans="1:11" ht="24" x14ac:dyDescent="0.2">
      <c r="A178" s="1638"/>
      <c r="B178" s="1673"/>
      <c r="C178" s="1579"/>
      <c r="D178" s="311" t="s">
        <v>268</v>
      </c>
      <c r="E178" s="663" t="s">
        <v>991</v>
      </c>
      <c r="F178" s="111" t="s">
        <v>167</v>
      </c>
      <c r="G178" s="467">
        <v>1</v>
      </c>
      <c r="H178" s="472" t="s">
        <v>988</v>
      </c>
      <c r="I178" s="1562"/>
      <c r="J178" s="1550"/>
      <c r="K178" s="844"/>
    </row>
    <row r="179" spans="1:11" ht="24" x14ac:dyDescent="0.2">
      <c r="A179" s="1638"/>
      <c r="B179" s="1673"/>
      <c r="C179" s="1579"/>
      <c r="D179" s="311" t="s">
        <v>270</v>
      </c>
      <c r="E179" s="663" t="s">
        <v>992</v>
      </c>
      <c r="F179" s="111" t="s">
        <v>167</v>
      </c>
      <c r="G179" s="467">
        <v>1</v>
      </c>
      <c r="H179" s="194"/>
      <c r="I179" s="1562"/>
      <c r="J179" s="1550"/>
      <c r="K179" s="844"/>
    </row>
    <row r="180" spans="1:11" ht="36.75" thickBot="1" x14ac:dyDescent="0.25">
      <c r="A180" s="1638"/>
      <c r="B180" s="1673"/>
      <c r="C180" s="1580"/>
      <c r="D180" s="313" t="s">
        <v>272</v>
      </c>
      <c r="E180" s="664" t="s">
        <v>993</v>
      </c>
      <c r="F180" s="260" t="s">
        <v>167</v>
      </c>
      <c r="G180" s="468">
        <v>1</v>
      </c>
      <c r="H180" s="334"/>
      <c r="I180" s="1555"/>
      <c r="J180" s="1551"/>
      <c r="K180" s="1005"/>
    </row>
    <row r="181" spans="1:11" x14ac:dyDescent="0.2">
      <c r="A181" s="1638"/>
      <c r="B181" s="1673"/>
      <c r="C181" s="1556" t="s">
        <v>994</v>
      </c>
      <c r="D181" s="297" t="s">
        <v>274</v>
      </c>
      <c r="E181" s="658" t="s">
        <v>995</v>
      </c>
      <c r="F181" s="257" t="s">
        <v>167</v>
      </c>
      <c r="G181" s="466">
        <v>1</v>
      </c>
      <c r="H181" s="384"/>
      <c r="I181" s="1554">
        <f>SUMIF(F181:F188,"x",G181:G188)</f>
        <v>8</v>
      </c>
      <c r="J181" s="1549">
        <f>I181/8</f>
        <v>1</v>
      </c>
      <c r="K181" s="844"/>
    </row>
    <row r="182" spans="1:11" x14ac:dyDescent="0.2">
      <c r="A182" s="1638"/>
      <c r="B182" s="1673"/>
      <c r="C182" s="1557"/>
      <c r="D182" s="17" t="s">
        <v>276</v>
      </c>
      <c r="E182" s="659" t="s">
        <v>997</v>
      </c>
      <c r="F182" s="111" t="s">
        <v>167</v>
      </c>
      <c r="G182" s="467">
        <v>1</v>
      </c>
      <c r="H182" s="484"/>
      <c r="I182" s="1562"/>
      <c r="J182" s="1550"/>
      <c r="K182" s="844"/>
    </row>
    <row r="183" spans="1:11" x14ac:dyDescent="0.2">
      <c r="A183" s="1638"/>
      <c r="B183" s="1673"/>
      <c r="C183" s="1557"/>
      <c r="D183" s="17" t="s">
        <v>278</v>
      </c>
      <c r="E183" s="659" t="s">
        <v>998</v>
      </c>
      <c r="F183" s="111" t="s">
        <v>167</v>
      </c>
      <c r="G183" s="467">
        <v>1</v>
      </c>
      <c r="H183" s="483"/>
      <c r="I183" s="1562"/>
      <c r="J183" s="1550"/>
      <c r="K183" s="844"/>
    </row>
    <row r="184" spans="1:11" x14ac:dyDescent="0.2">
      <c r="A184" s="1638"/>
      <c r="B184" s="1673"/>
      <c r="C184" s="1557"/>
      <c r="D184" s="17" t="s">
        <v>280</v>
      </c>
      <c r="E184" s="659" t="s">
        <v>999</v>
      </c>
      <c r="F184" s="111" t="s">
        <v>167</v>
      </c>
      <c r="G184" s="467">
        <v>1</v>
      </c>
      <c r="H184" s="483"/>
      <c r="I184" s="1562"/>
      <c r="J184" s="1550"/>
      <c r="K184" s="844"/>
    </row>
    <row r="185" spans="1:11" ht="24" x14ac:dyDescent="0.2">
      <c r="A185" s="1638"/>
      <c r="B185" s="1673"/>
      <c r="C185" s="1557"/>
      <c r="D185" s="17" t="s">
        <v>282</v>
      </c>
      <c r="E185" s="659" t="s">
        <v>1000</v>
      </c>
      <c r="F185" s="111" t="s">
        <v>167</v>
      </c>
      <c r="G185" s="467">
        <v>1</v>
      </c>
      <c r="H185" s="485" t="s">
        <v>996</v>
      </c>
      <c r="I185" s="1562"/>
      <c r="J185" s="1550"/>
      <c r="K185" s="844"/>
    </row>
    <row r="186" spans="1:11" ht="20.25" customHeight="1" x14ac:dyDescent="0.2">
      <c r="A186" s="1638"/>
      <c r="B186" s="1673"/>
      <c r="C186" s="1557"/>
      <c r="D186" s="17" t="s">
        <v>284</v>
      </c>
      <c r="E186" s="693" t="s">
        <v>1943</v>
      </c>
      <c r="F186" s="111" t="s">
        <v>167</v>
      </c>
      <c r="G186" s="467">
        <v>1</v>
      </c>
      <c r="H186" s="484"/>
      <c r="I186" s="1562"/>
      <c r="J186" s="1550"/>
      <c r="K186" s="844"/>
    </row>
    <row r="187" spans="1:11" ht="24" x14ac:dyDescent="0.2">
      <c r="A187" s="1638"/>
      <c r="B187" s="1673"/>
      <c r="C187" s="1557"/>
      <c r="D187" s="17" t="s">
        <v>286</v>
      </c>
      <c r="E187" s="659" t="s">
        <v>1001</v>
      </c>
      <c r="F187" s="111" t="s">
        <v>167</v>
      </c>
      <c r="G187" s="467">
        <v>1</v>
      </c>
      <c r="H187" s="485"/>
      <c r="I187" s="1562"/>
      <c r="J187" s="1550"/>
      <c r="K187" s="844"/>
    </row>
    <row r="188" spans="1:11" ht="36.75" thickBot="1" x14ac:dyDescent="0.25">
      <c r="A188" s="1638"/>
      <c r="B188" s="1673"/>
      <c r="C188" s="1558"/>
      <c r="D188" s="302" t="s">
        <v>288</v>
      </c>
      <c r="E188" s="660" t="s">
        <v>1002</v>
      </c>
      <c r="F188" s="260" t="s">
        <v>167</v>
      </c>
      <c r="G188" s="468">
        <v>1</v>
      </c>
      <c r="H188" s="486"/>
      <c r="I188" s="1555"/>
      <c r="J188" s="1551"/>
      <c r="K188" s="844"/>
    </row>
    <row r="189" spans="1:11" ht="15" x14ac:dyDescent="0.2">
      <c r="A189" s="1674" t="s">
        <v>2066</v>
      </c>
      <c r="B189" s="1675"/>
      <c r="C189" s="1676"/>
      <c r="D189" s="1676"/>
      <c r="E189" s="1676"/>
      <c r="F189" s="1676"/>
      <c r="G189" s="1676"/>
      <c r="H189" s="1676"/>
      <c r="I189" s="1676"/>
      <c r="J189" s="386">
        <f>(J140+J147+J153+J160+J175+J181)/6</f>
        <v>0.94841269841269848</v>
      </c>
      <c r="K189" s="121"/>
    </row>
    <row r="190" spans="1:11" ht="37.5" customHeight="1" x14ac:dyDescent="0.2">
      <c r="A190" s="1592" t="s">
        <v>2068</v>
      </c>
      <c r="B190" s="1592"/>
      <c r="C190" s="1592"/>
      <c r="D190" s="1592"/>
      <c r="E190" s="1592"/>
      <c r="F190" s="1592"/>
      <c r="G190" s="1592"/>
      <c r="H190" s="1599" t="s">
        <v>2067</v>
      </c>
      <c r="I190" s="1599"/>
      <c r="J190" s="385">
        <f>IF(((J6*0.15)+(J17*0.1)+(J31*0.1)+(J77*0.1)+(J98*0.1)+(J111*0.15)+(J139*0.1)+(J189*0.2))&gt;1,1,(J6*0.15)+(J17*0.1)+(J31*0.1)+(J77*0.1)+(J98*0.1)+(J111*0.15)+(J139*0.1)+(J189*0.2))</f>
        <v>0.87726587301587311</v>
      </c>
      <c r="K190" s="121"/>
    </row>
    <row r="191" spans="1:11" ht="15" x14ac:dyDescent="0.25">
      <c r="J191" s="86"/>
    </row>
    <row r="192" spans="1:11" x14ac:dyDescent="0.2">
      <c r="A192" s="1547" t="s">
        <v>1964</v>
      </c>
      <c r="B192" s="1548"/>
      <c r="C192" s="1548"/>
      <c r="D192" s="1548"/>
    </row>
    <row r="193" spans="1:4" x14ac:dyDescent="0.2">
      <c r="A193" s="19"/>
      <c r="B193" s="1546" t="s">
        <v>2010</v>
      </c>
      <c r="C193" s="1546"/>
      <c r="D193" s="1546"/>
    </row>
    <row r="194" spans="1:4" x14ac:dyDescent="0.2">
      <c r="A194" s="20"/>
      <c r="B194" s="1546" t="s">
        <v>2011</v>
      </c>
      <c r="C194" s="1546"/>
      <c r="D194" s="1546"/>
    </row>
    <row r="195" spans="1:4" x14ac:dyDescent="0.2">
      <c r="A195" s="12"/>
      <c r="B195" s="1546" t="s">
        <v>2012</v>
      </c>
      <c r="C195" s="1546"/>
      <c r="D195" s="1546"/>
    </row>
    <row r="196" spans="1:4" x14ac:dyDescent="0.2">
      <c r="A196" s="4"/>
      <c r="B196" s="1546" t="s">
        <v>2076</v>
      </c>
      <c r="C196" s="1546"/>
      <c r="D196" s="1546"/>
    </row>
    <row r="198" spans="1:4" ht="12.75" thickBot="1" x14ac:dyDescent="0.25"/>
    <row r="199" spans="1:4" ht="14.25" customHeight="1" thickBot="1" x14ac:dyDescent="0.25">
      <c r="A199" s="1181" t="s">
        <v>2227</v>
      </c>
      <c r="B199" s="1182"/>
      <c r="C199" s="1182"/>
      <c r="D199" s="1183"/>
    </row>
    <row r="200" spans="1:4" ht="24.75" thickBot="1" x14ac:dyDescent="0.25">
      <c r="A200" s="94" t="s">
        <v>2228</v>
      </c>
      <c r="B200" s="119" t="s">
        <v>2229</v>
      </c>
      <c r="C200" s="95" t="s">
        <v>2230</v>
      </c>
      <c r="D200" s="95" t="s">
        <v>2231</v>
      </c>
    </row>
    <row r="201" spans="1:4" ht="12.75" thickBot="1" x14ac:dyDescent="0.25">
      <c r="A201" s="96">
        <v>1</v>
      </c>
      <c r="B201" s="97" t="s">
        <v>2232</v>
      </c>
      <c r="C201" s="97" t="s">
        <v>2233</v>
      </c>
      <c r="D201" s="98"/>
    </row>
    <row r="202" spans="1:4" ht="12.75" thickBot="1" x14ac:dyDescent="0.25">
      <c r="A202" s="96">
        <v>2</v>
      </c>
      <c r="B202" s="97" t="s">
        <v>2234</v>
      </c>
      <c r="C202" s="97" t="s">
        <v>2235</v>
      </c>
      <c r="D202" s="99"/>
    </row>
    <row r="203" spans="1:4" ht="12.75" thickBot="1" x14ac:dyDescent="0.25">
      <c r="A203" s="96">
        <v>3</v>
      </c>
      <c r="B203" s="97" t="s">
        <v>2236</v>
      </c>
      <c r="C203" s="97" t="s">
        <v>2237</v>
      </c>
      <c r="D203" s="100"/>
    </row>
    <row r="204" spans="1:4" ht="12.75" thickBot="1" x14ac:dyDescent="0.25">
      <c r="A204" s="96">
        <v>4</v>
      </c>
      <c r="B204" s="97" t="s">
        <v>2238</v>
      </c>
      <c r="C204" s="97" t="s">
        <v>2239</v>
      </c>
      <c r="D204" s="101"/>
    </row>
    <row r="205" spans="1:4" ht="12.75" thickBot="1" x14ac:dyDescent="0.25">
      <c r="A205" s="96">
        <v>5</v>
      </c>
      <c r="B205" s="97" t="s">
        <v>2240</v>
      </c>
      <c r="C205" s="97" t="s">
        <v>2241</v>
      </c>
      <c r="D205" s="102"/>
    </row>
    <row r="207" spans="1:4" x14ac:dyDescent="0.2">
      <c r="A207" s="1547" t="s">
        <v>2285</v>
      </c>
      <c r="B207" s="1548"/>
      <c r="C207" s="1548"/>
      <c r="D207" s="1548"/>
    </row>
    <row r="208" spans="1:4" ht="39" customHeight="1" x14ac:dyDescent="0.2">
      <c r="A208" s="1393" t="s">
        <v>2058</v>
      </c>
      <c r="B208" s="1394"/>
      <c r="C208" s="1394"/>
      <c r="D208" s="1395"/>
    </row>
    <row r="209" spans="1:4" ht="27" customHeight="1" x14ac:dyDescent="0.2">
      <c r="A209" s="1427" t="s">
        <v>2059</v>
      </c>
      <c r="B209" s="1428"/>
      <c r="C209" s="1428"/>
      <c r="D209" s="1429"/>
    </row>
  </sheetData>
  <sheetProtection password="B860" sheet="1" objects="1" scenarios="1"/>
  <mergeCells count="203">
    <mergeCell ref="H166:H167"/>
    <mergeCell ref="A199:D199"/>
    <mergeCell ref="F88:F92"/>
    <mergeCell ref="I88:I92"/>
    <mergeCell ref="F93:F94"/>
    <mergeCell ref="I93:I94"/>
    <mergeCell ref="F109:F110"/>
    <mergeCell ref="G109:G110"/>
    <mergeCell ref="I109:I110"/>
    <mergeCell ref="F116:F118"/>
    <mergeCell ref="F119:F121"/>
    <mergeCell ref="G116:G118"/>
    <mergeCell ref="I119:I121"/>
    <mergeCell ref="I175:I180"/>
    <mergeCell ref="C105:C108"/>
    <mergeCell ref="H105:H108"/>
    <mergeCell ref="I105:I108"/>
    <mergeCell ref="C95:C97"/>
    <mergeCell ref="C98:I98"/>
    <mergeCell ref="A99:A111"/>
    <mergeCell ref="B99:B111"/>
    <mergeCell ref="C99:C104"/>
    <mergeCell ref="H99:H104"/>
    <mergeCell ref="I99:I104"/>
    <mergeCell ref="F4:F5"/>
    <mergeCell ref="I4:I5"/>
    <mergeCell ref="F24:F26"/>
    <mergeCell ref="I24:I26"/>
    <mergeCell ref="F50:F54"/>
    <mergeCell ref="F55:F59"/>
    <mergeCell ref="F60:F64"/>
    <mergeCell ref="F65:F69"/>
    <mergeCell ref="I50:I54"/>
    <mergeCell ref="I55:I59"/>
    <mergeCell ref="I60:I64"/>
    <mergeCell ref="I65:I69"/>
    <mergeCell ref="J175:J180"/>
    <mergeCell ref="C181:C188"/>
    <mergeCell ref="H126:H127"/>
    <mergeCell ref="J147:J152"/>
    <mergeCell ref="J140:J146"/>
    <mergeCell ref="I147:I152"/>
    <mergeCell ref="A208:D208"/>
    <mergeCell ref="C139:I139"/>
    <mergeCell ref="A189:I189"/>
    <mergeCell ref="A190:G190"/>
    <mergeCell ref="H190:I190"/>
    <mergeCell ref="J160:J174"/>
    <mergeCell ref="C175:C180"/>
    <mergeCell ref="C153:C159"/>
    <mergeCell ref="H153:H159"/>
    <mergeCell ref="I153:I159"/>
    <mergeCell ref="J153:J159"/>
    <mergeCell ref="I181:I188"/>
    <mergeCell ref="J181:J188"/>
    <mergeCell ref="C128:C129"/>
    <mergeCell ref="C130:C131"/>
    <mergeCell ref="C132:C138"/>
    <mergeCell ref="H132:H138"/>
    <mergeCell ref="I126:I127"/>
    <mergeCell ref="A209:D209"/>
    <mergeCell ref="A1:K1"/>
    <mergeCell ref="A192:D192"/>
    <mergeCell ref="B193:D193"/>
    <mergeCell ref="B194:D194"/>
    <mergeCell ref="B195:D195"/>
    <mergeCell ref="B196:D196"/>
    <mergeCell ref="A207:D207"/>
    <mergeCell ref="A2:K2"/>
    <mergeCell ref="A140:A188"/>
    <mergeCell ref="B140:B188"/>
    <mergeCell ref="C140:C146"/>
    <mergeCell ref="H140:H146"/>
    <mergeCell ref="I140:I146"/>
    <mergeCell ref="C160:C174"/>
    <mergeCell ref="I160:I174"/>
    <mergeCell ref="C147:C152"/>
    <mergeCell ref="A112:A139"/>
    <mergeCell ref="B112:B139"/>
    <mergeCell ref="C112:C115"/>
    <mergeCell ref="H112:H115"/>
    <mergeCell ref="I112:I115"/>
    <mergeCell ref="H147:H152"/>
    <mergeCell ref="J130:J131"/>
    <mergeCell ref="J126:J127"/>
    <mergeCell ref="I132:I138"/>
    <mergeCell ref="G128:G129"/>
    <mergeCell ref="J128:J129"/>
    <mergeCell ref="G130:G131"/>
    <mergeCell ref="J132:J138"/>
    <mergeCell ref="C126:C127"/>
    <mergeCell ref="F128:F129"/>
    <mergeCell ref="F130:F131"/>
    <mergeCell ref="I128:I129"/>
    <mergeCell ref="I130:I131"/>
    <mergeCell ref="J105:J108"/>
    <mergeCell ref="C119:C121"/>
    <mergeCell ref="G119:G121"/>
    <mergeCell ref="J119:J121"/>
    <mergeCell ref="C122:C125"/>
    <mergeCell ref="H122:H125"/>
    <mergeCell ref="I122:I125"/>
    <mergeCell ref="J122:J125"/>
    <mergeCell ref="J112:J115"/>
    <mergeCell ref="C116:C118"/>
    <mergeCell ref="I116:I118"/>
    <mergeCell ref="J116:J118"/>
    <mergeCell ref="C109:C110"/>
    <mergeCell ref="J109:J110"/>
    <mergeCell ref="C111:I111"/>
    <mergeCell ref="A78:A98"/>
    <mergeCell ref="B78:B98"/>
    <mergeCell ref="G95:G97"/>
    <mergeCell ref="H95:H97"/>
    <mergeCell ref="J95:J97"/>
    <mergeCell ref="C83:C87"/>
    <mergeCell ref="H83:H87"/>
    <mergeCell ref="C88:C92"/>
    <mergeCell ref="G88:G92"/>
    <mergeCell ref="J88:J92"/>
    <mergeCell ref="F78:F82"/>
    <mergeCell ref="I78:I82"/>
    <mergeCell ref="J99:J104"/>
    <mergeCell ref="C93:C94"/>
    <mergeCell ref="G93:G94"/>
    <mergeCell ref="J93:J94"/>
    <mergeCell ref="I83:I87"/>
    <mergeCell ref="J83:J87"/>
    <mergeCell ref="C78:C82"/>
    <mergeCell ref="G78:G82"/>
    <mergeCell ref="J78:J82"/>
    <mergeCell ref="A32:A77"/>
    <mergeCell ref="B32:B77"/>
    <mergeCell ref="C32:C36"/>
    <mergeCell ref="H32:H36"/>
    <mergeCell ref="I32:I36"/>
    <mergeCell ref="G50:G54"/>
    <mergeCell ref="J50:J54"/>
    <mergeCell ref="C55:C59"/>
    <mergeCell ref="G55:G59"/>
    <mergeCell ref="J55:J59"/>
    <mergeCell ref="C77:I77"/>
    <mergeCell ref="J32:J36"/>
    <mergeCell ref="C37:C42"/>
    <mergeCell ref="H37:H42"/>
    <mergeCell ref="I37:I42"/>
    <mergeCell ref="J37:J42"/>
    <mergeCell ref="C70:C74"/>
    <mergeCell ref="G70:G74"/>
    <mergeCell ref="J70:J74"/>
    <mergeCell ref="C75:C76"/>
    <mergeCell ref="F70:F74"/>
    <mergeCell ref="I70:I74"/>
    <mergeCell ref="F75:F76"/>
    <mergeCell ref="I75:I76"/>
    <mergeCell ref="B7:B17"/>
    <mergeCell ref="C7:C12"/>
    <mergeCell ref="H7:H12"/>
    <mergeCell ref="I7:I12"/>
    <mergeCell ref="H27:H30"/>
    <mergeCell ref="I27:I30"/>
    <mergeCell ref="J27:J30"/>
    <mergeCell ref="G75:G76"/>
    <mergeCell ref="J75:J76"/>
    <mergeCell ref="C60:C64"/>
    <mergeCell ref="G60:G64"/>
    <mergeCell ref="J60:J64"/>
    <mergeCell ref="C65:C69"/>
    <mergeCell ref="G65:G69"/>
    <mergeCell ref="J65:J69"/>
    <mergeCell ref="C50:C54"/>
    <mergeCell ref="J43:J47"/>
    <mergeCell ref="C48:C49"/>
    <mergeCell ref="H48:H49"/>
    <mergeCell ref="I48:I49"/>
    <mergeCell ref="J48:J49"/>
    <mergeCell ref="C43:C47"/>
    <mergeCell ref="H43:H47"/>
    <mergeCell ref="I43:I47"/>
    <mergeCell ref="J4:J5"/>
    <mergeCell ref="C6:I6"/>
    <mergeCell ref="C17:I17"/>
    <mergeCell ref="A18:A31"/>
    <mergeCell ref="B18:B31"/>
    <mergeCell ref="C18:C23"/>
    <mergeCell ref="H18:H23"/>
    <mergeCell ref="I18:I23"/>
    <mergeCell ref="C31:I31"/>
    <mergeCell ref="A7:A17"/>
    <mergeCell ref="J7:J12"/>
    <mergeCell ref="C13:C16"/>
    <mergeCell ref="H13:H16"/>
    <mergeCell ref="I13:I16"/>
    <mergeCell ref="J13:J16"/>
    <mergeCell ref="A4:A6"/>
    <mergeCell ref="B4:B6"/>
    <mergeCell ref="C4:C5"/>
    <mergeCell ref="G4:G5"/>
    <mergeCell ref="J18:J23"/>
    <mergeCell ref="C24:C26"/>
    <mergeCell ref="G24:G26"/>
    <mergeCell ref="J24:J26"/>
    <mergeCell ref="C27:C30"/>
  </mergeCells>
  <conditionalFormatting sqref="J139 J189:J190 J6 J17 J31 J77 J98 J111">
    <cfRule type="cellIs" dxfId="64" priority="36" operator="between">
      <formula>0.9</formula>
      <formula>1</formula>
    </cfRule>
    <cfRule type="cellIs" dxfId="63" priority="37" operator="between">
      <formula>0.75</formula>
      <formula>0.899</formula>
    </cfRule>
    <cfRule type="cellIs" dxfId="62" priority="38" operator="between">
      <formula>0.6</formula>
      <formula>0.749</formula>
    </cfRule>
    <cfRule type="cellIs" dxfId="61" priority="39" operator="between">
      <formula>0.41</formula>
      <formula>0.599</formula>
    </cfRule>
    <cfRule type="cellIs" dxfId="60" priority="40" operator="between">
      <formula>0</formula>
      <formula>0.4</formula>
    </cfRule>
  </conditionalFormatting>
  <dataValidations count="8">
    <dataValidation type="list" allowBlank="1" showInputMessage="1" showErrorMessage="1" sqref="F4:F5">
      <formula1>$E$4:$E$5</formula1>
    </dataValidation>
    <dataValidation type="list" allowBlank="1" showInputMessage="1" showErrorMessage="1" sqref="F24:F26">
      <formula1>$E$24:$E$26</formula1>
    </dataValidation>
    <dataValidation type="list" allowBlank="1" showInputMessage="1" showErrorMessage="1" sqref="F50:F74">
      <formula1>$E$50:$E$54</formula1>
    </dataValidation>
    <dataValidation type="list" allowBlank="1" showInputMessage="1" showErrorMessage="1" sqref="F75:F76 F109:F110 F93:F94 F128:F131">
      <formula1>$E$75:$E$76</formula1>
    </dataValidation>
    <dataValidation type="list" allowBlank="1" showInputMessage="1" showErrorMessage="1" sqref="F78:F82">
      <formula1>$E$78:$E$82</formula1>
    </dataValidation>
    <dataValidation type="list" allowBlank="1" showInputMessage="1" showErrorMessage="1" sqref="F88:F92">
      <formula1>$E$88:$E$92</formula1>
    </dataValidation>
    <dataValidation type="list" allowBlank="1" showInputMessage="1" showErrorMessage="1" sqref="F116:F118">
      <formula1>$E$116:$E$118</formula1>
    </dataValidation>
    <dataValidation type="list" allowBlank="1" showInputMessage="1" showErrorMessage="1" sqref="F119:F121">
      <formula1>$E$119:$E$121</formula1>
    </dataValidation>
  </dataValidations>
  <hyperlinks>
    <hyperlink ref="A209:D209"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9" tint="0.59999389629810485"/>
  </sheetPr>
  <dimension ref="A1:O239"/>
  <sheetViews>
    <sheetView showGridLines="0" topLeftCell="D1" zoomScaleNormal="100" workbookViewId="0">
      <selection activeCell="L20" sqref="L20"/>
    </sheetView>
  </sheetViews>
  <sheetFormatPr baseColWidth="10" defaultRowHeight="12" x14ac:dyDescent="0.2"/>
  <cols>
    <col min="1" max="1" width="18.85546875" style="10" customWidth="1"/>
    <col min="2" max="2" width="10.5703125" style="10" bestFit="1" customWidth="1"/>
    <col min="3" max="3" width="17.140625" style="10" customWidth="1"/>
    <col min="4" max="4" width="17.140625" style="41" customWidth="1"/>
    <col min="5" max="5" width="44.28515625" style="10" customWidth="1"/>
    <col min="6" max="6" width="12.28515625" style="10" customWidth="1"/>
    <col min="7" max="7" width="45.42578125" style="10" bestFit="1" customWidth="1"/>
    <col min="8" max="8" width="18.5703125" style="10" customWidth="1"/>
    <col min="9" max="9" width="24.140625" style="10" customWidth="1"/>
    <col min="10" max="10" width="21.28515625" style="10" customWidth="1"/>
    <col min="11" max="11" width="19.7109375" style="11" customWidth="1"/>
    <col min="12" max="12" width="55.140625" style="10" customWidth="1"/>
    <col min="13" max="13" width="11.42578125" style="10"/>
    <col min="14" max="14" width="11.85546875" style="10" bestFit="1" customWidth="1"/>
    <col min="15" max="16384" width="11.42578125" style="10"/>
  </cols>
  <sheetData>
    <row r="1" spans="1:12" ht="16.5" customHeight="1" x14ac:dyDescent="0.2">
      <c r="A1" s="1570" t="s">
        <v>1999</v>
      </c>
      <c r="B1" s="1570"/>
      <c r="C1" s="1570"/>
      <c r="D1" s="1570"/>
      <c r="E1" s="1570"/>
      <c r="F1" s="1570"/>
      <c r="G1" s="1570"/>
      <c r="H1" s="1570"/>
      <c r="I1" s="1570"/>
      <c r="J1" s="1570"/>
      <c r="K1" s="1570"/>
      <c r="L1" s="1570"/>
    </row>
    <row r="2" spans="1:12" ht="20.25" customHeight="1" x14ac:dyDescent="0.2">
      <c r="A2" s="1617" t="s">
        <v>2077</v>
      </c>
      <c r="B2" s="1617"/>
      <c r="C2" s="1617"/>
      <c r="D2" s="1617"/>
      <c r="E2" s="1617"/>
      <c r="F2" s="1617"/>
      <c r="G2" s="1617"/>
      <c r="H2" s="1617"/>
      <c r="I2" s="1617"/>
      <c r="J2" s="1617"/>
      <c r="K2" s="1617"/>
      <c r="L2" s="1617"/>
    </row>
    <row r="3" spans="1:12" ht="60.75" thickBot="1" x14ac:dyDescent="0.25">
      <c r="A3" s="37" t="s">
        <v>170</v>
      </c>
      <c r="B3" s="37" t="s">
        <v>2078</v>
      </c>
      <c r="C3" s="37" t="s">
        <v>2079</v>
      </c>
      <c r="D3" s="390" t="s">
        <v>2465</v>
      </c>
      <c r="E3" s="438" t="s">
        <v>2080</v>
      </c>
      <c r="F3" s="388" t="s">
        <v>2081</v>
      </c>
      <c r="G3" s="388" t="s">
        <v>2082</v>
      </c>
      <c r="H3" s="389" t="s">
        <v>2083</v>
      </c>
      <c r="I3" s="389" t="s">
        <v>2535</v>
      </c>
      <c r="J3" s="388" t="s">
        <v>22</v>
      </c>
      <c r="K3" s="390" t="s">
        <v>764</v>
      </c>
      <c r="L3" s="388" t="s">
        <v>1907</v>
      </c>
    </row>
    <row r="4" spans="1:12" ht="18" customHeight="1" x14ac:dyDescent="0.2">
      <c r="A4" s="1814" t="s">
        <v>2084</v>
      </c>
      <c r="B4" s="1815">
        <v>0.3</v>
      </c>
      <c r="C4" s="1853"/>
      <c r="D4" s="1818">
        <v>0.1</v>
      </c>
      <c r="E4" s="1698" t="s">
        <v>1003</v>
      </c>
      <c r="F4" s="392" t="s">
        <v>82</v>
      </c>
      <c r="G4" s="696" t="s">
        <v>388</v>
      </c>
      <c r="H4" s="409">
        <v>1</v>
      </c>
      <c r="I4" s="1685" t="s">
        <v>388</v>
      </c>
      <c r="J4" s="413" t="s">
        <v>646</v>
      </c>
      <c r="K4" s="1683">
        <f>IF(I4="Si",100%,0)</f>
        <v>1</v>
      </c>
      <c r="L4" s="844"/>
    </row>
    <row r="5" spans="1:12" ht="21.75" customHeight="1" thickBot="1" x14ac:dyDescent="0.25">
      <c r="A5" s="1814"/>
      <c r="B5" s="1816"/>
      <c r="C5" s="1854"/>
      <c r="D5" s="1819"/>
      <c r="E5" s="1756"/>
      <c r="F5" s="393" t="s">
        <v>84</v>
      </c>
      <c r="G5" s="697" t="s">
        <v>85</v>
      </c>
      <c r="H5" s="410">
        <v>0</v>
      </c>
      <c r="I5" s="1686"/>
      <c r="J5" s="414" t="s">
        <v>1226</v>
      </c>
      <c r="K5" s="1687"/>
      <c r="L5" s="844"/>
    </row>
    <row r="6" spans="1:12" ht="15.75" customHeight="1" x14ac:dyDescent="0.2">
      <c r="A6" s="1814"/>
      <c r="B6" s="1816"/>
      <c r="C6" s="1854"/>
      <c r="D6" s="1820">
        <v>0.1</v>
      </c>
      <c r="E6" s="1732" t="s">
        <v>1004</v>
      </c>
      <c r="F6" s="394" t="s">
        <v>86</v>
      </c>
      <c r="G6" s="698" t="s">
        <v>691</v>
      </c>
      <c r="H6" s="411">
        <v>1</v>
      </c>
      <c r="I6" s="1685" t="s">
        <v>388</v>
      </c>
      <c r="J6" s="413" t="s">
        <v>2460</v>
      </c>
      <c r="K6" s="1683">
        <f>IF(I6="Si",100%,0)</f>
        <v>1</v>
      </c>
      <c r="L6" s="844"/>
    </row>
    <row r="7" spans="1:12" ht="20.25" customHeight="1" thickBot="1" x14ac:dyDescent="0.25">
      <c r="A7" s="1814"/>
      <c r="B7" s="1816"/>
      <c r="C7" s="1854"/>
      <c r="D7" s="1821"/>
      <c r="E7" s="1733"/>
      <c r="F7" s="395" t="s">
        <v>87</v>
      </c>
      <c r="G7" s="699" t="s">
        <v>85</v>
      </c>
      <c r="H7" s="412">
        <v>0</v>
      </c>
      <c r="I7" s="1686"/>
      <c r="J7" s="414" t="s">
        <v>2461</v>
      </c>
      <c r="K7" s="1687"/>
      <c r="L7" s="844"/>
    </row>
    <row r="8" spans="1:12" ht="14.25" customHeight="1" x14ac:dyDescent="0.2">
      <c r="A8" s="1814"/>
      <c r="B8" s="1816"/>
      <c r="C8" s="1854"/>
      <c r="D8" s="1818">
        <v>0.15</v>
      </c>
      <c r="E8" s="1698" t="s">
        <v>1005</v>
      </c>
      <c r="F8" s="404" t="s">
        <v>95</v>
      </c>
      <c r="G8" s="696" t="s">
        <v>388</v>
      </c>
      <c r="H8" s="409">
        <v>1</v>
      </c>
      <c r="I8" s="1685" t="s">
        <v>85</v>
      </c>
      <c r="J8" s="413" t="s">
        <v>2462</v>
      </c>
      <c r="K8" s="1833">
        <f>IF(I8="Si",100%,0)</f>
        <v>0</v>
      </c>
      <c r="L8" s="844"/>
    </row>
    <row r="9" spans="1:12" ht="15.75" customHeight="1" thickBot="1" x14ac:dyDescent="0.25">
      <c r="A9" s="1814"/>
      <c r="B9" s="1816"/>
      <c r="C9" s="1854"/>
      <c r="D9" s="1822"/>
      <c r="E9" s="1699"/>
      <c r="F9" s="488" t="s">
        <v>97</v>
      </c>
      <c r="G9" s="697" t="s">
        <v>85</v>
      </c>
      <c r="H9" s="410">
        <v>0</v>
      </c>
      <c r="I9" s="1686"/>
      <c r="J9" s="414" t="s">
        <v>2463</v>
      </c>
      <c r="K9" s="1834"/>
      <c r="L9" s="1074" t="s">
        <v>2848</v>
      </c>
    </row>
    <row r="10" spans="1:12" ht="12" customHeight="1" x14ac:dyDescent="0.2">
      <c r="A10" s="1814"/>
      <c r="B10" s="1816"/>
      <c r="C10" s="1854"/>
      <c r="D10" s="1804">
        <v>7.4999999999999997E-2</v>
      </c>
      <c r="E10" s="1864" t="s">
        <v>1006</v>
      </c>
      <c r="F10" s="489" t="s">
        <v>99</v>
      </c>
      <c r="G10" s="700" t="s">
        <v>1007</v>
      </c>
      <c r="H10" s="405">
        <v>0.05</v>
      </c>
      <c r="I10" s="368" t="s">
        <v>167</v>
      </c>
      <c r="J10" s="403"/>
      <c r="K10" s="499">
        <f>IF(I10="X",5%,0)</f>
        <v>0.05</v>
      </c>
      <c r="L10" s="844" t="s">
        <v>2849</v>
      </c>
    </row>
    <row r="11" spans="1:12" ht="15" customHeight="1" x14ac:dyDescent="0.2">
      <c r="A11" s="1814"/>
      <c r="B11" s="1816"/>
      <c r="C11" s="1854"/>
      <c r="D11" s="1804"/>
      <c r="E11" s="1864"/>
      <c r="F11" s="489" t="s">
        <v>101</v>
      </c>
      <c r="G11" s="701" t="s">
        <v>1008</v>
      </c>
      <c r="H11" s="402">
        <v>0.05</v>
      </c>
      <c r="I11" s="163" t="s">
        <v>167</v>
      </c>
      <c r="J11" s="403"/>
      <c r="K11" s="500">
        <f>IF(I11="X",5%,0)</f>
        <v>0.05</v>
      </c>
      <c r="L11" s="844"/>
    </row>
    <row r="12" spans="1:12" ht="24" x14ac:dyDescent="0.2">
      <c r="A12" s="1814"/>
      <c r="B12" s="1816"/>
      <c r="C12" s="1854"/>
      <c r="D12" s="1804"/>
      <c r="E12" s="1864"/>
      <c r="F12" s="489" t="s">
        <v>103</v>
      </c>
      <c r="G12" s="701" t="s">
        <v>1009</v>
      </c>
      <c r="H12" s="402">
        <v>0.04</v>
      </c>
      <c r="I12" s="163" t="s">
        <v>167</v>
      </c>
      <c r="J12" s="403"/>
      <c r="K12" s="500">
        <f>IF(I12="X",4%,"0")</f>
        <v>0.04</v>
      </c>
      <c r="L12" s="844" t="s">
        <v>2850</v>
      </c>
    </row>
    <row r="13" spans="1:12" ht="24" x14ac:dyDescent="0.2">
      <c r="A13" s="1814"/>
      <c r="B13" s="1816"/>
      <c r="C13" s="1854"/>
      <c r="D13" s="1804"/>
      <c r="E13" s="1864"/>
      <c r="F13" s="489" t="s">
        <v>151</v>
      </c>
      <c r="G13" s="701" t="s">
        <v>1010</v>
      </c>
      <c r="H13" s="402">
        <v>0.04</v>
      </c>
      <c r="I13" s="163" t="s">
        <v>167</v>
      </c>
      <c r="J13" s="403"/>
      <c r="K13" s="500">
        <f t="shared" ref="K13:K15" si="0">IF(I13="X",4%,"0")</f>
        <v>0.04</v>
      </c>
      <c r="L13" s="844"/>
    </row>
    <row r="14" spans="1:12" ht="15" customHeight="1" x14ac:dyDescent="0.2">
      <c r="A14" s="1814"/>
      <c r="B14" s="1816"/>
      <c r="C14" s="1854"/>
      <c r="D14" s="1804"/>
      <c r="E14" s="1864"/>
      <c r="F14" s="489" t="s">
        <v>152</v>
      </c>
      <c r="G14" s="701" t="s">
        <v>1011</v>
      </c>
      <c r="H14" s="402">
        <v>0.04</v>
      </c>
      <c r="I14" s="163" t="s">
        <v>167</v>
      </c>
      <c r="J14" s="403"/>
      <c r="K14" s="500">
        <f t="shared" si="0"/>
        <v>0.04</v>
      </c>
      <c r="L14" s="844"/>
    </row>
    <row r="15" spans="1:12" ht="15" customHeight="1" x14ac:dyDescent="0.2">
      <c r="A15" s="1814"/>
      <c r="B15" s="1816"/>
      <c r="C15" s="1854"/>
      <c r="D15" s="1804"/>
      <c r="E15" s="1864"/>
      <c r="F15" s="489" t="s">
        <v>218</v>
      </c>
      <c r="G15" s="701" t="s">
        <v>1012</v>
      </c>
      <c r="H15" s="402">
        <v>0.04</v>
      </c>
      <c r="I15" s="163" t="s">
        <v>167</v>
      </c>
      <c r="J15" s="403"/>
      <c r="K15" s="500">
        <f t="shared" si="0"/>
        <v>0.04</v>
      </c>
      <c r="L15" s="844"/>
    </row>
    <row r="16" spans="1:12" ht="24" x14ac:dyDescent="0.2">
      <c r="A16" s="1814"/>
      <c r="B16" s="1816"/>
      <c r="C16" s="1854"/>
      <c r="D16" s="1804"/>
      <c r="E16" s="1864"/>
      <c r="F16" s="489" t="s">
        <v>220</v>
      </c>
      <c r="G16" s="701" t="s">
        <v>1013</v>
      </c>
      <c r="H16" s="402">
        <v>0.05</v>
      </c>
      <c r="I16" s="163" t="s">
        <v>167</v>
      </c>
      <c r="J16" s="403"/>
      <c r="K16" s="500">
        <f>IF(I16="X",5%,0)</f>
        <v>0.05</v>
      </c>
      <c r="L16" s="844" t="s">
        <v>2851</v>
      </c>
    </row>
    <row r="17" spans="1:12" ht="24" x14ac:dyDescent="0.2">
      <c r="A17" s="1814"/>
      <c r="B17" s="1816"/>
      <c r="C17" s="1854"/>
      <c r="D17" s="1804"/>
      <c r="E17" s="1864"/>
      <c r="F17" s="489" t="s">
        <v>222</v>
      </c>
      <c r="G17" s="701" t="s">
        <v>1014</v>
      </c>
      <c r="H17" s="402">
        <v>0.05</v>
      </c>
      <c r="I17" s="163"/>
      <c r="J17" s="403"/>
      <c r="K17" s="500">
        <f t="shared" ref="K17:K29" si="1">IF(I17="X",5%,0)</f>
        <v>0</v>
      </c>
      <c r="L17" s="844"/>
    </row>
    <row r="18" spans="1:12" ht="15" customHeight="1" x14ac:dyDescent="0.2">
      <c r="A18" s="1814"/>
      <c r="B18" s="1816"/>
      <c r="C18" s="1854"/>
      <c r="D18" s="1804"/>
      <c r="E18" s="1864"/>
      <c r="F18" s="489" t="s">
        <v>224</v>
      </c>
      <c r="G18" s="701" t="s">
        <v>1015</v>
      </c>
      <c r="H18" s="402">
        <v>0.05</v>
      </c>
      <c r="I18" s="163" t="s">
        <v>167</v>
      </c>
      <c r="J18" s="403"/>
      <c r="K18" s="500">
        <f t="shared" si="1"/>
        <v>0.05</v>
      </c>
      <c r="L18" s="844"/>
    </row>
    <row r="19" spans="1:12" ht="48" x14ac:dyDescent="0.2">
      <c r="A19" s="1814"/>
      <c r="B19" s="1816"/>
      <c r="C19" s="1854"/>
      <c r="D19" s="1804"/>
      <c r="E19" s="1864"/>
      <c r="F19" s="489" t="s">
        <v>226</v>
      </c>
      <c r="G19" s="701" t="s">
        <v>1016</v>
      </c>
      <c r="H19" s="402">
        <v>0.05</v>
      </c>
      <c r="I19" s="163" t="s">
        <v>167</v>
      </c>
      <c r="J19" s="403"/>
      <c r="K19" s="500">
        <f t="shared" si="1"/>
        <v>0.05</v>
      </c>
      <c r="L19" s="844"/>
    </row>
    <row r="20" spans="1:12" ht="84" x14ac:dyDescent="0.2">
      <c r="A20" s="1814"/>
      <c r="B20" s="1816"/>
      <c r="C20" s="1854"/>
      <c r="D20" s="1804"/>
      <c r="E20" s="1864"/>
      <c r="F20" s="490" t="s">
        <v>228</v>
      </c>
      <c r="G20" s="702" t="s">
        <v>1017</v>
      </c>
      <c r="H20" s="402">
        <v>0.05</v>
      </c>
      <c r="I20" s="163" t="s">
        <v>167</v>
      </c>
      <c r="J20" s="403"/>
      <c r="K20" s="500">
        <f t="shared" si="1"/>
        <v>0.05</v>
      </c>
      <c r="L20" s="844"/>
    </row>
    <row r="21" spans="1:12" ht="48" x14ac:dyDescent="0.2">
      <c r="A21" s="1814"/>
      <c r="B21" s="1816"/>
      <c r="C21" s="1854"/>
      <c r="D21" s="1804"/>
      <c r="E21" s="1864"/>
      <c r="F21" s="490" t="s">
        <v>230</v>
      </c>
      <c r="G21" s="702" t="s">
        <v>1018</v>
      </c>
      <c r="H21" s="402">
        <v>0.05</v>
      </c>
      <c r="I21" s="163" t="s">
        <v>167</v>
      </c>
      <c r="J21" s="403"/>
      <c r="K21" s="500">
        <f t="shared" si="1"/>
        <v>0.05</v>
      </c>
      <c r="L21" s="844"/>
    </row>
    <row r="22" spans="1:12" ht="48" x14ac:dyDescent="0.2">
      <c r="A22" s="1814"/>
      <c r="B22" s="1816"/>
      <c r="C22" s="1854"/>
      <c r="D22" s="1804"/>
      <c r="E22" s="1864"/>
      <c r="F22" s="490" t="s">
        <v>232</v>
      </c>
      <c r="G22" s="702" t="s">
        <v>1019</v>
      </c>
      <c r="H22" s="402">
        <v>0.05</v>
      </c>
      <c r="I22" s="163" t="s">
        <v>167</v>
      </c>
      <c r="J22" s="494" t="s">
        <v>2464</v>
      </c>
      <c r="K22" s="500">
        <f t="shared" si="1"/>
        <v>0.05</v>
      </c>
      <c r="L22" s="844"/>
    </row>
    <row r="23" spans="1:12" ht="15" customHeight="1" x14ac:dyDescent="0.2">
      <c r="A23" s="1814"/>
      <c r="B23" s="1816"/>
      <c r="C23" s="1854"/>
      <c r="D23" s="1804"/>
      <c r="E23" s="1864"/>
      <c r="F23" s="490" t="s">
        <v>234</v>
      </c>
      <c r="G23" s="702" t="s">
        <v>1020</v>
      </c>
      <c r="H23" s="402">
        <v>0.05</v>
      </c>
      <c r="I23" s="163" t="s">
        <v>167</v>
      </c>
      <c r="J23" s="403"/>
      <c r="K23" s="500">
        <f t="shared" si="1"/>
        <v>0.05</v>
      </c>
      <c r="L23" s="844"/>
    </row>
    <row r="24" spans="1:12" ht="24" x14ac:dyDescent="0.2">
      <c r="A24" s="1814"/>
      <c r="B24" s="1816"/>
      <c r="C24" s="1854"/>
      <c r="D24" s="1804"/>
      <c r="E24" s="1864"/>
      <c r="F24" s="490" t="s">
        <v>236</v>
      </c>
      <c r="G24" s="702" t="s">
        <v>1021</v>
      </c>
      <c r="H24" s="402">
        <v>0.05</v>
      </c>
      <c r="I24" s="163" t="s">
        <v>167</v>
      </c>
      <c r="J24" s="403"/>
      <c r="K24" s="500">
        <f t="shared" si="1"/>
        <v>0.05</v>
      </c>
      <c r="L24" s="844"/>
    </row>
    <row r="25" spans="1:12" ht="48" x14ac:dyDescent="0.2">
      <c r="A25" s="1814"/>
      <c r="B25" s="1816"/>
      <c r="C25" s="1854"/>
      <c r="D25" s="1804"/>
      <c r="E25" s="1864"/>
      <c r="F25" s="490" t="s">
        <v>238</v>
      </c>
      <c r="G25" s="702" t="s">
        <v>1022</v>
      </c>
      <c r="H25" s="402">
        <v>0.05</v>
      </c>
      <c r="I25" s="163" t="s">
        <v>167</v>
      </c>
      <c r="J25" s="403"/>
      <c r="K25" s="500">
        <f t="shared" si="1"/>
        <v>0.05</v>
      </c>
      <c r="L25" s="844"/>
    </row>
    <row r="26" spans="1:12" ht="15" customHeight="1" x14ac:dyDescent="0.2">
      <c r="A26" s="1814"/>
      <c r="B26" s="1816"/>
      <c r="C26" s="1854"/>
      <c r="D26" s="1804"/>
      <c r="E26" s="1864"/>
      <c r="F26" s="490" t="s">
        <v>240</v>
      </c>
      <c r="G26" s="702" t="s">
        <v>1023</v>
      </c>
      <c r="H26" s="402">
        <v>0.05</v>
      </c>
      <c r="I26" s="163" t="s">
        <v>167</v>
      </c>
      <c r="J26" s="403"/>
      <c r="K26" s="500">
        <f t="shared" si="1"/>
        <v>0.05</v>
      </c>
      <c r="L26" s="844"/>
    </row>
    <row r="27" spans="1:12" ht="24" x14ac:dyDescent="0.2">
      <c r="A27" s="1814"/>
      <c r="B27" s="1816"/>
      <c r="C27" s="1854"/>
      <c r="D27" s="1804"/>
      <c r="E27" s="1864"/>
      <c r="F27" s="490" t="s">
        <v>167</v>
      </c>
      <c r="G27" s="702" t="s">
        <v>1024</v>
      </c>
      <c r="H27" s="402">
        <v>0.05</v>
      </c>
      <c r="I27" s="163" t="s">
        <v>167</v>
      </c>
      <c r="J27" s="403"/>
      <c r="K27" s="500">
        <f t="shared" si="1"/>
        <v>0.05</v>
      </c>
      <c r="L27" s="844"/>
    </row>
    <row r="28" spans="1:12" ht="24" x14ac:dyDescent="0.2">
      <c r="A28" s="1814"/>
      <c r="B28" s="1816"/>
      <c r="C28" s="1854"/>
      <c r="D28" s="1804"/>
      <c r="E28" s="1864"/>
      <c r="F28" s="490" t="s">
        <v>243</v>
      </c>
      <c r="G28" s="702" t="s">
        <v>1025</v>
      </c>
      <c r="H28" s="402">
        <v>0.05</v>
      </c>
      <c r="I28" s="163" t="s">
        <v>167</v>
      </c>
      <c r="J28" s="403"/>
      <c r="K28" s="500">
        <f t="shared" si="1"/>
        <v>0.05</v>
      </c>
      <c r="L28" s="844"/>
    </row>
    <row r="29" spans="1:12" ht="15" customHeight="1" x14ac:dyDescent="0.2">
      <c r="A29" s="1814"/>
      <c r="B29" s="1816"/>
      <c r="C29" s="1854"/>
      <c r="D29" s="1804"/>
      <c r="E29" s="1864"/>
      <c r="F29" s="490" t="s">
        <v>245</v>
      </c>
      <c r="G29" s="702" t="s">
        <v>1026</v>
      </c>
      <c r="H29" s="402">
        <v>0.05</v>
      </c>
      <c r="I29" s="163" t="s">
        <v>167</v>
      </c>
      <c r="J29" s="403"/>
      <c r="K29" s="500">
        <f t="shared" si="1"/>
        <v>0.05</v>
      </c>
      <c r="L29" s="844"/>
    </row>
    <row r="30" spans="1:12" ht="15" customHeight="1" x14ac:dyDescent="0.2">
      <c r="A30" s="1814"/>
      <c r="B30" s="1816"/>
      <c r="C30" s="1854"/>
      <c r="D30" s="1804"/>
      <c r="E30" s="1864"/>
      <c r="F30" s="490" t="s">
        <v>246</v>
      </c>
      <c r="G30" s="702" t="s">
        <v>1027</v>
      </c>
      <c r="H30" s="402">
        <v>0.04</v>
      </c>
      <c r="I30" s="163" t="s">
        <v>167</v>
      </c>
      <c r="J30" s="403"/>
      <c r="K30" s="500">
        <f>IF(I30="X",4%,"0")</f>
        <v>0.04</v>
      </c>
      <c r="L30" s="844"/>
    </row>
    <row r="31" spans="1:12" ht="24.75" thickBot="1" x14ac:dyDescent="0.25">
      <c r="A31" s="1814"/>
      <c r="B31" s="1816"/>
      <c r="C31" s="1854"/>
      <c r="D31" s="1804"/>
      <c r="E31" s="1865"/>
      <c r="F31" s="491" t="s">
        <v>248</v>
      </c>
      <c r="G31" s="703" t="s">
        <v>1028</v>
      </c>
      <c r="H31" s="422">
        <v>0</v>
      </c>
      <c r="I31" s="465"/>
      <c r="J31" s="403"/>
      <c r="K31" s="501" t="str">
        <f>IF(I31="X","0","0")</f>
        <v>0</v>
      </c>
      <c r="L31" s="844"/>
    </row>
    <row r="32" spans="1:12" ht="15.75" thickBot="1" x14ac:dyDescent="0.25">
      <c r="A32" s="1814"/>
      <c r="B32" s="1816"/>
      <c r="C32" s="1854"/>
      <c r="D32" s="1805"/>
      <c r="E32" s="1760" t="s">
        <v>2467</v>
      </c>
      <c r="F32" s="1761"/>
      <c r="G32" s="1761"/>
      <c r="H32" s="1761"/>
      <c r="I32" s="1761"/>
      <c r="J32" s="1761"/>
      <c r="K32" s="502">
        <f>SUM(K10:K30)</f>
        <v>0.9500000000000004</v>
      </c>
      <c r="L32" s="844"/>
    </row>
    <row r="33" spans="1:12" ht="12" customHeight="1" x14ac:dyDescent="0.2">
      <c r="A33" s="1814"/>
      <c r="B33" s="1816"/>
      <c r="C33" s="1854"/>
      <c r="D33" s="1806">
        <v>7.4999999999999997E-2</v>
      </c>
      <c r="E33" s="1748" t="s">
        <v>1029</v>
      </c>
      <c r="F33" s="399" t="s">
        <v>250</v>
      </c>
      <c r="G33" s="704" t="s">
        <v>1030</v>
      </c>
      <c r="H33" s="353">
        <v>0.2</v>
      </c>
      <c r="I33" s="440" t="s">
        <v>167</v>
      </c>
      <c r="J33" s="495"/>
      <c r="K33" s="503">
        <f>IF(I33="X",20%,0)</f>
        <v>0.2</v>
      </c>
      <c r="L33" s="844"/>
    </row>
    <row r="34" spans="1:12" ht="15" customHeight="1" x14ac:dyDescent="0.2">
      <c r="A34" s="1814"/>
      <c r="B34" s="1816"/>
      <c r="C34" s="1854"/>
      <c r="D34" s="1806"/>
      <c r="E34" s="1749"/>
      <c r="F34" s="400" t="s">
        <v>252</v>
      </c>
      <c r="G34" s="705" t="s">
        <v>1031</v>
      </c>
      <c r="H34" s="26">
        <v>0.2</v>
      </c>
      <c r="I34" s="163" t="s">
        <v>167</v>
      </c>
      <c r="J34" s="403"/>
      <c r="K34" s="504">
        <f>IF(I34="X",20%,0)</f>
        <v>0.2</v>
      </c>
      <c r="L34" s="844"/>
    </row>
    <row r="35" spans="1:12" ht="15" customHeight="1" x14ac:dyDescent="0.2">
      <c r="A35" s="1814"/>
      <c r="B35" s="1816"/>
      <c r="C35" s="1854"/>
      <c r="D35" s="1806"/>
      <c r="E35" s="1749"/>
      <c r="F35" s="400" t="s">
        <v>254</v>
      </c>
      <c r="G35" s="705" t="s">
        <v>1032</v>
      </c>
      <c r="H35" s="26">
        <v>0.1</v>
      </c>
      <c r="I35" s="163" t="s">
        <v>167</v>
      </c>
      <c r="J35" s="403"/>
      <c r="K35" s="505">
        <f>IF(I35="X",10%,0)</f>
        <v>0.1</v>
      </c>
      <c r="L35" s="844"/>
    </row>
    <row r="36" spans="1:12" ht="15" customHeight="1" x14ac:dyDescent="0.2">
      <c r="A36" s="1814"/>
      <c r="B36" s="1816"/>
      <c r="C36" s="1854"/>
      <c r="D36" s="1806"/>
      <c r="E36" s="1749"/>
      <c r="F36" s="400" t="s">
        <v>255</v>
      </c>
      <c r="G36" s="705" t="s">
        <v>1033</v>
      </c>
      <c r="H36" s="26">
        <v>0.2</v>
      </c>
      <c r="I36" s="163" t="s">
        <v>167</v>
      </c>
      <c r="J36" s="1716" t="s">
        <v>2468</v>
      </c>
      <c r="K36" s="500">
        <f>IF(I36="X",20%,0)</f>
        <v>0.2</v>
      </c>
      <c r="L36" s="844"/>
    </row>
    <row r="37" spans="1:12" ht="15" customHeight="1" x14ac:dyDescent="0.2">
      <c r="A37" s="1814"/>
      <c r="B37" s="1816"/>
      <c r="C37" s="1854"/>
      <c r="D37" s="1806"/>
      <c r="E37" s="1749"/>
      <c r="F37" s="400" t="s">
        <v>257</v>
      </c>
      <c r="G37" s="705" t="s">
        <v>1034</v>
      </c>
      <c r="H37" s="26">
        <v>0.1</v>
      </c>
      <c r="I37" s="163" t="s">
        <v>167</v>
      </c>
      <c r="J37" s="1716"/>
      <c r="K37" s="500">
        <f>IF(I37="X",10%,0)</f>
        <v>0.1</v>
      </c>
      <c r="L37" s="844"/>
    </row>
    <row r="38" spans="1:12" ht="24" x14ac:dyDescent="0.2">
      <c r="A38" s="1814"/>
      <c r="B38" s="1816"/>
      <c r="C38" s="1854"/>
      <c r="D38" s="1806"/>
      <c r="E38" s="1749"/>
      <c r="F38" s="400" t="s">
        <v>259</v>
      </c>
      <c r="G38" s="705" t="s">
        <v>1035</v>
      </c>
      <c r="H38" s="26">
        <v>0.2</v>
      </c>
      <c r="I38" s="163" t="s">
        <v>167</v>
      </c>
      <c r="J38" s="403"/>
      <c r="K38" s="500">
        <f>IF(I38="X",20%,0)</f>
        <v>0.2</v>
      </c>
      <c r="L38" s="844"/>
    </row>
    <row r="39" spans="1:12" ht="24.75" thickBot="1" x14ac:dyDescent="0.25">
      <c r="A39" s="1814"/>
      <c r="B39" s="1816"/>
      <c r="C39" s="1854"/>
      <c r="D39" s="1806"/>
      <c r="E39" s="1750"/>
      <c r="F39" s="401" t="s">
        <v>261</v>
      </c>
      <c r="G39" s="706" t="s">
        <v>1036</v>
      </c>
      <c r="H39" s="354">
        <v>0</v>
      </c>
      <c r="I39" s="439"/>
      <c r="J39" s="496"/>
      <c r="K39" s="501" t="str">
        <f>IF(I39="X",0,"0")</f>
        <v>0</v>
      </c>
      <c r="L39" s="844"/>
    </row>
    <row r="40" spans="1:12" ht="15.75" thickBot="1" x14ac:dyDescent="0.25">
      <c r="A40" s="1814"/>
      <c r="B40" s="1816"/>
      <c r="C40" s="1854"/>
      <c r="D40" s="1807"/>
      <c r="E40" s="1774" t="s">
        <v>2467</v>
      </c>
      <c r="F40" s="1775"/>
      <c r="G40" s="1775"/>
      <c r="H40" s="1775"/>
      <c r="I40" s="1775"/>
      <c r="J40" s="1775"/>
      <c r="K40" s="502">
        <f>SUM(K33:K38)</f>
        <v>1</v>
      </c>
      <c r="L40" s="844"/>
    </row>
    <row r="41" spans="1:12" ht="20.25" customHeight="1" x14ac:dyDescent="0.2">
      <c r="A41" s="1814"/>
      <c r="B41" s="1816"/>
      <c r="C41" s="1854"/>
      <c r="D41" s="1800">
        <v>0.2</v>
      </c>
      <c r="E41" s="1809" t="s">
        <v>1037</v>
      </c>
      <c r="F41" s="396" t="s">
        <v>262</v>
      </c>
      <c r="G41" s="707" t="s">
        <v>1038</v>
      </c>
      <c r="H41" s="221">
        <v>0</v>
      </c>
      <c r="I41" s="368"/>
      <c r="J41" s="403"/>
      <c r="K41" s="506">
        <f>IF(I41="X",0,0)</f>
        <v>0</v>
      </c>
      <c r="L41" s="844"/>
    </row>
    <row r="42" spans="1:12" ht="36" x14ac:dyDescent="0.2">
      <c r="A42" s="1814"/>
      <c r="B42" s="1816"/>
      <c r="C42" s="1854"/>
      <c r="D42" s="1801"/>
      <c r="E42" s="1725"/>
      <c r="F42" s="39" t="s">
        <v>264</v>
      </c>
      <c r="G42" s="708" t="s">
        <v>1039</v>
      </c>
      <c r="H42" s="223">
        <v>0.6</v>
      </c>
      <c r="I42" s="163"/>
      <c r="J42" s="494" t="s">
        <v>2466</v>
      </c>
      <c r="K42" s="507">
        <f>IF(I42="X",60%,0)</f>
        <v>0</v>
      </c>
      <c r="L42" s="844"/>
    </row>
    <row r="43" spans="1:12" ht="24" x14ac:dyDescent="0.2">
      <c r="A43" s="1814"/>
      <c r="B43" s="1816"/>
      <c r="C43" s="1854"/>
      <c r="D43" s="1801"/>
      <c r="E43" s="1725"/>
      <c r="F43" s="39" t="s">
        <v>266</v>
      </c>
      <c r="G43" s="708" t="s">
        <v>1040</v>
      </c>
      <c r="H43" s="223">
        <v>0.2</v>
      </c>
      <c r="I43" s="163" t="s">
        <v>167</v>
      </c>
      <c r="J43" s="403"/>
      <c r="K43" s="507">
        <f>IF(I43="X",20%,0)</f>
        <v>0.2</v>
      </c>
      <c r="L43" s="844"/>
    </row>
    <row r="44" spans="1:12" ht="24.75" thickBot="1" x14ac:dyDescent="0.25">
      <c r="A44" s="1814"/>
      <c r="B44" s="1816"/>
      <c r="C44" s="1854"/>
      <c r="D44" s="1801"/>
      <c r="E44" s="1751"/>
      <c r="F44" s="406" t="s">
        <v>268</v>
      </c>
      <c r="G44" s="709" t="s">
        <v>1041</v>
      </c>
      <c r="H44" s="220">
        <v>0.2</v>
      </c>
      <c r="I44" s="367"/>
      <c r="J44" s="403"/>
      <c r="K44" s="508">
        <f>IF(I44="X",20%,0)</f>
        <v>0</v>
      </c>
      <c r="L44" s="844"/>
    </row>
    <row r="45" spans="1:12" ht="15.75" customHeight="1" thickBot="1" x14ac:dyDescent="0.25">
      <c r="A45" s="1814"/>
      <c r="B45" s="1816"/>
      <c r="C45" s="1854"/>
      <c r="D45" s="1808"/>
      <c r="E45" s="1760" t="s">
        <v>2467</v>
      </c>
      <c r="F45" s="1715"/>
      <c r="G45" s="1715"/>
      <c r="H45" s="1715"/>
      <c r="I45" s="1715"/>
      <c r="J45" s="1715"/>
      <c r="K45" s="433">
        <f>SUM(K41:K44)</f>
        <v>0.2</v>
      </c>
      <c r="L45" s="1074"/>
    </row>
    <row r="46" spans="1:12" ht="12" customHeight="1" x14ac:dyDescent="0.2">
      <c r="A46" s="1814"/>
      <c r="B46" s="1816"/>
      <c r="C46" s="1854"/>
      <c r="D46" s="1797">
        <v>0.15</v>
      </c>
      <c r="E46" s="1748" t="s">
        <v>1042</v>
      </c>
      <c r="F46" s="399" t="s">
        <v>270</v>
      </c>
      <c r="G46" s="704" t="s">
        <v>410</v>
      </c>
      <c r="H46" s="407">
        <v>0</v>
      </c>
      <c r="I46" s="440"/>
      <c r="J46" s="495"/>
      <c r="K46" s="506">
        <f>IF(I46="X",0,0)</f>
        <v>0</v>
      </c>
      <c r="L46" s="844"/>
    </row>
    <row r="47" spans="1:12" ht="15" customHeight="1" x14ac:dyDescent="0.2">
      <c r="A47" s="1814"/>
      <c r="B47" s="1816"/>
      <c r="C47" s="1854"/>
      <c r="D47" s="1798"/>
      <c r="E47" s="1749"/>
      <c r="F47" s="400" t="s">
        <v>272</v>
      </c>
      <c r="G47" s="705" t="s">
        <v>411</v>
      </c>
      <c r="H47" s="223">
        <v>0.4</v>
      </c>
      <c r="I47" s="163" t="s">
        <v>167</v>
      </c>
      <c r="J47" s="403"/>
      <c r="K47" s="507">
        <f>IF(I47="X",40%,0)</f>
        <v>0.4</v>
      </c>
      <c r="L47" s="844"/>
    </row>
    <row r="48" spans="1:12" ht="15" customHeight="1" x14ac:dyDescent="0.2">
      <c r="A48" s="1814"/>
      <c r="B48" s="1816"/>
      <c r="C48" s="1854"/>
      <c r="D48" s="1798"/>
      <c r="E48" s="1749"/>
      <c r="F48" s="400" t="s">
        <v>274</v>
      </c>
      <c r="G48" s="705" t="s">
        <v>1043</v>
      </c>
      <c r="H48" s="223">
        <v>0.2</v>
      </c>
      <c r="I48" s="163"/>
      <c r="J48" s="1716" t="s">
        <v>2469</v>
      </c>
      <c r="K48" s="507">
        <f>IF(I48="X",20%,0)</f>
        <v>0</v>
      </c>
      <c r="L48" s="844"/>
    </row>
    <row r="49" spans="1:14" ht="15" customHeight="1" x14ac:dyDescent="0.2">
      <c r="A49" s="1814"/>
      <c r="B49" s="1816"/>
      <c r="C49" s="1854"/>
      <c r="D49" s="1798"/>
      <c r="E49" s="1749"/>
      <c r="F49" s="400" t="s">
        <v>276</v>
      </c>
      <c r="G49" s="705" t="s">
        <v>1044</v>
      </c>
      <c r="H49" s="223">
        <v>0.2</v>
      </c>
      <c r="I49" s="163"/>
      <c r="J49" s="1716"/>
      <c r="K49" s="507">
        <f t="shared" ref="K49:K50" si="2">IF(I49="X",20%,0)</f>
        <v>0</v>
      </c>
      <c r="L49" s="844"/>
    </row>
    <row r="50" spans="1:14" ht="24.75" thickBot="1" x14ac:dyDescent="0.25">
      <c r="A50" s="1814"/>
      <c r="B50" s="1816"/>
      <c r="C50" s="1854"/>
      <c r="D50" s="1798"/>
      <c r="E50" s="1750"/>
      <c r="F50" s="401" t="s">
        <v>278</v>
      </c>
      <c r="G50" s="706" t="s">
        <v>1045</v>
      </c>
      <c r="H50" s="408">
        <v>0.2</v>
      </c>
      <c r="I50" s="439"/>
      <c r="J50" s="496"/>
      <c r="K50" s="501">
        <f t="shared" si="2"/>
        <v>0</v>
      </c>
      <c r="L50" s="844"/>
    </row>
    <row r="51" spans="1:14" ht="15.75" customHeight="1" thickBot="1" x14ac:dyDescent="0.25">
      <c r="A51" s="1814"/>
      <c r="B51" s="1816"/>
      <c r="C51" s="1854"/>
      <c r="D51" s="1799"/>
      <c r="E51" s="1774" t="s">
        <v>2467</v>
      </c>
      <c r="F51" s="1721"/>
      <c r="G51" s="1721"/>
      <c r="H51" s="1721"/>
      <c r="I51" s="1721"/>
      <c r="J51" s="1721"/>
      <c r="K51" s="502">
        <f>SUM(K46:K50)</f>
        <v>0.4</v>
      </c>
      <c r="L51" s="1074"/>
    </row>
    <row r="52" spans="1:14" ht="12" customHeight="1" x14ac:dyDescent="0.2">
      <c r="A52" s="1814"/>
      <c r="B52" s="1816"/>
      <c r="C52" s="1854"/>
      <c r="D52" s="1800">
        <v>0.15</v>
      </c>
      <c r="E52" s="1724" t="s">
        <v>1046</v>
      </c>
      <c r="F52" s="397" t="s">
        <v>280</v>
      </c>
      <c r="G52" s="710" t="s">
        <v>1047</v>
      </c>
      <c r="H52" s="407">
        <v>0</v>
      </c>
      <c r="I52" s="440"/>
      <c r="J52" s="495"/>
      <c r="K52" s="506" t="str">
        <f>IF(I52="X","0","0")</f>
        <v>0</v>
      </c>
      <c r="L52" s="844"/>
    </row>
    <row r="53" spans="1:14" ht="15" customHeight="1" x14ac:dyDescent="0.2">
      <c r="A53" s="1814"/>
      <c r="B53" s="1816"/>
      <c r="C53" s="1854"/>
      <c r="D53" s="1801"/>
      <c r="E53" s="1725"/>
      <c r="F53" s="39" t="s">
        <v>282</v>
      </c>
      <c r="G53" s="708" t="s">
        <v>407</v>
      </c>
      <c r="H53" s="223">
        <v>0.4</v>
      </c>
      <c r="I53" s="163" t="s">
        <v>167</v>
      </c>
      <c r="J53" s="403"/>
      <c r="K53" s="507">
        <f>IF(I53="X",40%,0)</f>
        <v>0.4</v>
      </c>
      <c r="L53" s="844"/>
    </row>
    <row r="54" spans="1:14" ht="15" customHeight="1" x14ac:dyDescent="0.2">
      <c r="A54" s="1814"/>
      <c r="B54" s="1816"/>
      <c r="C54" s="1854"/>
      <c r="D54" s="1801"/>
      <c r="E54" s="1725"/>
      <c r="F54" s="39" t="s">
        <v>284</v>
      </c>
      <c r="G54" s="708" t="s">
        <v>408</v>
      </c>
      <c r="H54" s="223">
        <v>0.15</v>
      </c>
      <c r="I54" s="163" t="s">
        <v>167</v>
      </c>
      <c r="J54" s="1716" t="s">
        <v>2470</v>
      </c>
      <c r="K54" s="500">
        <f>IF(I54="X",15%,0)</f>
        <v>0.15</v>
      </c>
      <c r="L54" s="844"/>
    </row>
    <row r="55" spans="1:14" ht="15" customHeight="1" x14ac:dyDescent="0.2">
      <c r="A55" s="1814"/>
      <c r="B55" s="1816"/>
      <c r="C55" s="1854"/>
      <c r="D55" s="1801"/>
      <c r="E55" s="1725"/>
      <c r="F55" s="39" t="s">
        <v>286</v>
      </c>
      <c r="G55" s="708" t="s">
        <v>1048</v>
      </c>
      <c r="H55" s="223">
        <v>0.15</v>
      </c>
      <c r="I55" s="163"/>
      <c r="J55" s="1716"/>
      <c r="K55" s="500">
        <f t="shared" ref="K55:K57" si="3">IF(I55="X",15%,0)</f>
        <v>0</v>
      </c>
      <c r="L55" s="844" t="s">
        <v>2852</v>
      </c>
    </row>
    <row r="56" spans="1:14" ht="15" customHeight="1" x14ac:dyDescent="0.2">
      <c r="A56" s="1814"/>
      <c r="B56" s="1816"/>
      <c r="C56" s="1854"/>
      <c r="D56" s="1801"/>
      <c r="E56" s="1725"/>
      <c r="F56" s="39" t="s">
        <v>288</v>
      </c>
      <c r="G56" s="708" t="s">
        <v>409</v>
      </c>
      <c r="H56" s="223">
        <v>0.15</v>
      </c>
      <c r="I56" s="163" t="s">
        <v>167</v>
      </c>
      <c r="J56" s="403"/>
      <c r="K56" s="500">
        <f t="shared" si="3"/>
        <v>0.15</v>
      </c>
      <c r="L56" s="844"/>
    </row>
    <row r="57" spans="1:14" ht="24.75" thickBot="1" x14ac:dyDescent="0.25">
      <c r="A57" s="1814"/>
      <c r="B57" s="1816"/>
      <c r="C57" s="1854"/>
      <c r="D57" s="1801"/>
      <c r="E57" s="1751"/>
      <c r="F57" s="406" t="s">
        <v>290</v>
      </c>
      <c r="G57" s="709" t="s">
        <v>1049</v>
      </c>
      <c r="H57" s="220">
        <v>0.15</v>
      </c>
      <c r="I57" s="367" t="s">
        <v>167</v>
      </c>
      <c r="J57" s="403"/>
      <c r="K57" s="509">
        <f t="shared" si="3"/>
        <v>0.15</v>
      </c>
      <c r="L57" s="844"/>
      <c r="N57" s="40"/>
    </row>
    <row r="58" spans="1:14" ht="15" customHeight="1" thickBot="1" x14ac:dyDescent="0.25">
      <c r="A58" s="1814"/>
      <c r="B58" s="1816"/>
      <c r="C58" s="1855"/>
      <c r="D58" s="1801"/>
      <c r="E58" s="1802" t="s">
        <v>2467</v>
      </c>
      <c r="F58" s="1803"/>
      <c r="G58" s="1803"/>
      <c r="H58" s="1803"/>
      <c r="I58" s="1803"/>
      <c r="J58" s="1803"/>
      <c r="K58" s="510">
        <f>SUM(K52:K57)</f>
        <v>0.85000000000000009</v>
      </c>
      <c r="L58" s="844"/>
      <c r="N58" s="40"/>
    </row>
    <row r="59" spans="1:14" ht="15.75" customHeight="1" thickBot="1" x14ac:dyDescent="0.25">
      <c r="A59" s="1814"/>
      <c r="B59" s="1817"/>
      <c r="C59" s="1811" t="s">
        <v>1050</v>
      </c>
      <c r="D59" s="1812"/>
      <c r="E59" s="1812"/>
      <c r="F59" s="1812"/>
      <c r="G59" s="1812"/>
      <c r="H59" s="1812"/>
      <c r="I59" s="1812"/>
      <c r="J59" s="1813"/>
      <c r="K59" s="511">
        <f>(K4*0.1)+(K6*0.1)+(K8*0.15)+(K32*0.075)+(K40*0.075)+(K45*0.2)+(K51*0.15)+(K58*0.15)</f>
        <v>0.57375000000000009</v>
      </c>
      <c r="L59" s="1074"/>
    </row>
    <row r="60" spans="1:14" ht="12" customHeight="1" x14ac:dyDescent="0.2">
      <c r="A60" s="1707" t="s">
        <v>1051</v>
      </c>
      <c r="B60" s="1708">
        <v>0.6</v>
      </c>
      <c r="C60" s="1856" t="s">
        <v>1052</v>
      </c>
      <c r="D60" s="1762">
        <v>0.05</v>
      </c>
      <c r="E60" s="1862" t="s">
        <v>1053</v>
      </c>
      <c r="F60" s="492" t="s">
        <v>82</v>
      </c>
      <c r="G60" s="700" t="s">
        <v>1054</v>
      </c>
      <c r="H60" s="221">
        <v>0.03</v>
      </c>
      <c r="I60" s="442" t="s">
        <v>167</v>
      </c>
      <c r="J60" s="419"/>
      <c r="K60" s="512">
        <f>IF(I60="X",3%,0)</f>
        <v>0.03</v>
      </c>
      <c r="L60" s="844"/>
    </row>
    <row r="61" spans="1:14" ht="15" customHeight="1" x14ac:dyDescent="0.2">
      <c r="A61" s="1707"/>
      <c r="B61" s="1709"/>
      <c r="C61" s="1857"/>
      <c r="D61" s="1762"/>
      <c r="E61" s="1863"/>
      <c r="F61" s="489" t="s">
        <v>84</v>
      </c>
      <c r="G61" s="701" t="s">
        <v>1055</v>
      </c>
      <c r="H61" s="223">
        <v>0.03</v>
      </c>
      <c r="I61" s="161" t="s">
        <v>167</v>
      </c>
      <c r="J61" s="419"/>
      <c r="K61" s="504">
        <f t="shared" ref="K61:K76" si="4">IF(I61="X",3%,0)</f>
        <v>0.03</v>
      </c>
      <c r="L61" s="844"/>
    </row>
    <row r="62" spans="1:14" ht="15" customHeight="1" x14ac:dyDescent="0.2">
      <c r="A62" s="1707"/>
      <c r="B62" s="1709"/>
      <c r="C62" s="1857"/>
      <c r="D62" s="1762"/>
      <c r="E62" s="1863"/>
      <c r="F62" s="489" t="s">
        <v>86</v>
      </c>
      <c r="G62" s="701" t="s">
        <v>1056</v>
      </c>
      <c r="H62" s="223">
        <v>0.03</v>
      </c>
      <c r="I62" s="161"/>
      <c r="J62" s="419"/>
      <c r="K62" s="504">
        <f t="shared" si="4"/>
        <v>0</v>
      </c>
      <c r="L62" s="844"/>
    </row>
    <row r="63" spans="1:14" ht="15" customHeight="1" x14ac:dyDescent="0.2">
      <c r="A63" s="1707"/>
      <c r="B63" s="1709"/>
      <c r="C63" s="1857"/>
      <c r="D63" s="1762"/>
      <c r="E63" s="1863"/>
      <c r="F63" s="489" t="s">
        <v>87</v>
      </c>
      <c r="G63" s="701" t="s">
        <v>1057</v>
      </c>
      <c r="H63" s="223">
        <v>0.04</v>
      </c>
      <c r="I63" s="161" t="s">
        <v>167</v>
      </c>
      <c r="J63" s="419"/>
      <c r="K63" s="504">
        <f>IF(I63="X",4%,0)</f>
        <v>0.04</v>
      </c>
      <c r="L63" s="844"/>
    </row>
    <row r="64" spans="1:14" ht="15" customHeight="1" x14ac:dyDescent="0.2">
      <c r="A64" s="1707"/>
      <c r="B64" s="1709"/>
      <c r="C64" s="1857"/>
      <c r="D64" s="1762"/>
      <c r="E64" s="1863"/>
      <c r="F64" s="489" t="s">
        <v>95</v>
      </c>
      <c r="G64" s="701" t="s">
        <v>1058</v>
      </c>
      <c r="H64" s="223">
        <v>0.03</v>
      </c>
      <c r="I64" s="161" t="s">
        <v>167</v>
      </c>
      <c r="J64" s="419"/>
      <c r="K64" s="504">
        <f t="shared" si="4"/>
        <v>0.03</v>
      </c>
      <c r="L64" s="844"/>
    </row>
    <row r="65" spans="1:14" ht="48" x14ac:dyDescent="0.2">
      <c r="A65" s="1707"/>
      <c r="B65" s="1709"/>
      <c r="C65" s="1857"/>
      <c r="D65" s="1762"/>
      <c r="E65" s="1863"/>
      <c r="F65" s="489" t="s">
        <v>97</v>
      </c>
      <c r="G65" s="701" t="s">
        <v>1018</v>
      </c>
      <c r="H65" s="223">
        <v>0.03</v>
      </c>
      <c r="I65" s="161" t="s">
        <v>167</v>
      </c>
      <c r="J65" s="419"/>
      <c r="K65" s="504">
        <f t="shared" si="4"/>
        <v>0.03</v>
      </c>
      <c r="L65" s="844"/>
      <c r="N65" s="41"/>
    </row>
    <row r="66" spans="1:14" ht="48" x14ac:dyDescent="0.2">
      <c r="A66" s="1707"/>
      <c r="B66" s="1709"/>
      <c r="C66" s="1857"/>
      <c r="D66" s="1762"/>
      <c r="E66" s="1863"/>
      <c r="F66" s="489" t="s">
        <v>99</v>
      </c>
      <c r="G66" s="701" t="s">
        <v>1059</v>
      </c>
      <c r="H66" s="223">
        <v>0.03</v>
      </c>
      <c r="I66" s="161" t="s">
        <v>167</v>
      </c>
      <c r="J66" s="419"/>
      <c r="K66" s="504">
        <f t="shared" si="4"/>
        <v>0.03</v>
      </c>
      <c r="L66" s="844"/>
    </row>
    <row r="67" spans="1:14" ht="24" x14ac:dyDescent="0.2">
      <c r="A67" s="1707"/>
      <c r="B67" s="1709"/>
      <c r="C67" s="1857"/>
      <c r="D67" s="1762"/>
      <c r="E67" s="1863"/>
      <c r="F67" s="489" t="s">
        <v>101</v>
      </c>
      <c r="G67" s="701" t="s">
        <v>1060</v>
      </c>
      <c r="H67" s="223">
        <v>0.04</v>
      </c>
      <c r="I67" s="161" t="s">
        <v>167</v>
      </c>
      <c r="J67" s="419"/>
      <c r="K67" s="504">
        <f>IF(I67="X",4%,0)</f>
        <v>0.04</v>
      </c>
      <c r="L67" s="844"/>
    </row>
    <row r="68" spans="1:14" ht="24" x14ac:dyDescent="0.2">
      <c r="A68" s="1707"/>
      <c r="B68" s="1709"/>
      <c r="C68" s="1857"/>
      <c r="D68" s="1762"/>
      <c r="E68" s="1863"/>
      <c r="F68" s="489" t="s">
        <v>103</v>
      </c>
      <c r="G68" s="701" t="s">
        <v>1061</v>
      </c>
      <c r="H68" s="223">
        <v>0.03</v>
      </c>
      <c r="I68" s="161" t="s">
        <v>167</v>
      </c>
      <c r="J68" s="419"/>
      <c r="K68" s="504">
        <f t="shared" si="4"/>
        <v>0.03</v>
      </c>
      <c r="L68" s="844"/>
    </row>
    <row r="69" spans="1:14" ht="24" x14ac:dyDescent="0.2">
      <c r="A69" s="1707"/>
      <c r="B69" s="1709"/>
      <c r="C69" s="1857"/>
      <c r="D69" s="1762"/>
      <c r="E69" s="1863"/>
      <c r="F69" s="489" t="s">
        <v>151</v>
      </c>
      <c r="G69" s="701" t="s">
        <v>1062</v>
      </c>
      <c r="H69" s="223">
        <v>0.03</v>
      </c>
      <c r="I69" s="161" t="s">
        <v>167</v>
      </c>
      <c r="J69" s="419"/>
      <c r="K69" s="504">
        <f t="shared" si="4"/>
        <v>0.03</v>
      </c>
      <c r="L69" s="844"/>
    </row>
    <row r="70" spans="1:14" ht="15" customHeight="1" x14ac:dyDescent="0.2">
      <c r="A70" s="1707"/>
      <c r="B70" s="1709"/>
      <c r="C70" s="1857"/>
      <c r="D70" s="1762"/>
      <c r="E70" s="1863"/>
      <c r="F70" s="489" t="s">
        <v>152</v>
      </c>
      <c r="G70" s="701" t="s">
        <v>1063</v>
      </c>
      <c r="H70" s="223">
        <v>0.03</v>
      </c>
      <c r="I70" s="161"/>
      <c r="J70" s="419"/>
      <c r="K70" s="504">
        <f t="shared" si="4"/>
        <v>0</v>
      </c>
      <c r="L70" s="844"/>
    </row>
    <row r="71" spans="1:14" ht="24" x14ac:dyDescent="0.2">
      <c r="A71" s="1707"/>
      <c r="B71" s="1709"/>
      <c r="C71" s="1857"/>
      <c r="D71" s="1762"/>
      <c r="E71" s="1863"/>
      <c r="F71" s="490" t="s">
        <v>218</v>
      </c>
      <c r="G71" s="702" t="s">
        <v>1064</v>
      </c>
      <c r="H71" s="223">
        <v>0.04</v>
      </c>
      <c r="I71" s="161" t="s">
        <v>167</v>
      </c>
      <c r="J71" s="419"/>
      <c r="K71" s="504">
        <f>IF(I71="X",4%,0)</f>
        <v>0.04</v>
      </c>
      <c r="L71" s="844"/>
    </row>
    <row r="72" spans="1:14" ht="15" customHeight="1" x14ac:dyDescent="0.2">
      <c r="A72" s="1707"/>
      <c r="B72" s="1709"/>
      <c r="C72" s="1857"/>
      <c r="D72" s="1762"/>
      <c r="E72" s="1863"/>
      <c r="F72" s="490" t="s">
        <v>220</v>
      </c>
      <c r="G72" s="702" t="s">
        <v>1065</v>
      </c>
      <c r="H72" s="223">
        <v>0.03</v>
      </c>
      <c r="I72" s="161" t="s">
        <v>167</v>
      </c>
      <c r="J72" s="419"/>
      <c r="K72" s="504">
        <f t="shared" si="4"/>
        <v>0.03</v>
      </c>
      <c r="L72" s="844"/>
    </row>
    <row r="73" spans="1:14" ht="24" x14ac:dyDescent="0.2">
      <c r="A73" s="1707"/>
      <c r="B73" s="1709"/>
      <c r="C73" s="1857"/>
      <c r="D73" s="1762"/>
      <c r="E73" s="1863"/>
      <c r="F73" s="490" t="s">
        <v>222</v>
      </c>
      <c r="G73" s="702" t="s">
        <v>1066</v>
      </c>
      <c r="H73" s="223">
        <v>0.04</v>
      </c>
      <c r="I73" s="161" t="s">
        <v>167</v>
      </c>
      <c r="J73" s="419"/>
      <c r="K73" s="504">
        <f>IF(I73="X",4%,0)</f>
        <v>0.04</v>
      </c>
      <c r="L73" s="844"/>
    </row>
    <row r="74" spans="1:14" ht="24" x14ac:dyDescent="0.2">
      <c r="A74" s="1707"/>
      <c r="B74" s="1709"/>
      <c r="C74" s="1857"/>
      <c r="D74" s="1762"/>
      <c r="E74" s="1863"/>
      <c r="F74" s="490" t="s">
        <v>224</v>
      </c>
      <c r="G74" s="702" t="s">
        <v>1925</v>
      </c>
      <c r="H74" s="223">
        <v>0.03</v>
      </c>
      <c r="I74" s="161" t="s">
        <v>167</v>
      </c>
      <c r="J74" s="419"/>
      <c r="K74" s="504">
        <f t="shared" si="4"/>
        <v>0.03</v>
      </c>
      <c r="L74" s="844"/>
    </row>
    <row r="75" spans="1:14" ht="24" x14ac:dyDescent="0.2">
      <c r="A75" s="1707"/>
      <c r="B75" s="1709"/>
      <c r="C75" s="1857"/>
      <c r="D75" s="1762"/>
      <c r="E75" s="1863"/>
      <c r="F75" s="490" t="s">
        <v>226</v>
      </c>
      <c r="G75" s="702" t="s">
        <v>1067</v>
      </c>
      <c r="H75" s="223">
        <v>0.04</v>
      </c>
      <c r="I75" s="161" t="s">
        <v>167</v>
      </c>
      <c r="J75" s="419"/>
      <c r="K75" s="504">
        <f>IF(I75="X",4%,0)</f>
        <v>0.04</v>
      </c>
      <c r="L75" s="844"/>
    </row>
    <row r="76" spans="1:14" ht="24" x14ac:dyDescent="0.2">
      <c r="A76" s="1707"/>
      <c r="B76" s="1709"/>
      <c r="C76" s="1857"/>
      <c r="D76" s="1762"/>
      <c r="E76" s="1863"/>
      <c r="F76" s="490" t="s">
        <v>228</v>
      </c>
      <c r="G76" s="702" t="s">
        <v>1068</v>
      </c>
      <c r="H76" s="223">
        <v>0.03</v>
      </c>
      <c r="I76" s="161" t="s">
        <v>167</v>
      </c>
      <c r="J76" s="436" t="s">
        <v>2474</v>
      </c>
      <c r="K76" s="504">
        <f t="shared" si="4"/>
        <v>0.03</v>
      </c>
      <c r="L76" s="844"/>
    </row>
    <row r="77" spans="1:14" ht="24" x14ac:dyDescent="0.2">
      <c r="A77" s="1707"/>
      <c r="B77" s="1709"/>
      <c r="C77" s="1857"/>
      <c r="D77" s="1762"/>
      <c r="E77" s="1863"/>
      <c r="F77" s="490" t="s">
        <v>230</v>
      </c>
      <c r="G77" s="702" t="s">
        <v>1069</v>
      </c>
      <c r="H77" s="223">
        <v>0.04</v>
      </c>
      <c r="I77" s="161" t="s">
        <v>167</v>
      </c>
      <c r="J77" s="419"/>
      <c r="K77" s="504">
        <f>IF(I77="X",4%,0)</f>
        <v>0.04</v>
      </c>
      <c r="L77" s="844"/>
    </row>
    <row r="78" spans="1:14" ht="15" customHeight="1" x14ac:dyDescent="0.2">
      <c r="A78" s="1707"/>
      <c r="B78" s="1709"/>
      <c r="C78" s="1857"/>
      <c r="D78" s="1762"/>
      <c r="E78" s="1863"/>
      <c r="F78" s="490" t="s">
        <v>232</v>
      </c>
      <c r="G78" s="702" t="s">
        <v>1070</v>
      </c>
      <c r="H78" s="223">
        <v>0.04</v>
      </c>
      <c r="I78" s="161" t="s">
        <v>167</v>
      </c>
      <c r="J78" s="419"/>
      <c r="K78" s="504">
        <f t="shared" ref="K78:K87" si="5">IF(I78="X",4%,0)</f>
        <v>0.04</v>
      </c>
      <c r="L78" s="844"/>
    </row>
    <row r="79" spans="1:14" ht="15" customHeight="1" x14ac:dyDescent="0.2">
      <c r="A79" s="1707"/>
      <c r="B79" s="1709"/>
      <c r="C79" s="1857"/>
      <c r="D79" s="1762"/>
      <c r="E79" s="1863"/>
      <c r="F79" s="490" t="s">
        <v>234</v>
      </c>
      <c r="G79" s="702" t="s">
        <v>1071</v>
      </c>
      <c r="H79" s="223">
        <v>0.04</v>
      </c>
      <c r="I79" s="161" t="s">
        <v>167</v>
      </c>
      <c r="J79" s="419"/>
      <c r="K79" s="504">
        <f t="shared" si="5"/>
        <v>0.04</v>
      </c>
      <c r="L79" s="844"/>
    </row>
    <row r="80" spans="1:14" ht="15" customHeight="1" x14ac:dyDescent="0.2">
      <c r="A80" s="1707"/>
      <c r="B80" s="1709"/>
      <c r="C80" s="1857"/>
      <c r="D80" s="1762"/>
      <c r="E80" s="1863"/>
      <c r="F80" s="490" t="s">
        <v>236</v>
      </c>
      <c r="G80" s="702" t="s">
        <v>1072</v>
      </c>
      <c r="H80" s="223">
        <v>0.04</v>
      </c>
      <c r="I80" s="161" t="s">
        <v>167</v>
      </c>
      <c r="J80" s="419"/>
      <c r="K80" s="504">
        <f t="shared" si="5"/>
        <v>0.04</v>
      </c>
      <c r="L80" s="844"/>
    </row>
    <row r="81" spans="1:12" ht="36" x14ac:dyDescent="0.2">
      <c r="A81" s="1707"/>
      <c r="B81" s="1709"/>
      <c r="C81" s="1857"/>
      <c r="D81" s="1762"/>
      <c r="E81" s="1863"/>
      <c r="F81" s="490" t="s">
        <v>238</v>
      </c>
      <c r="G81" s="702" t="s">
        <v>1073</v>
      </c>
      <c r="H81" s="223">
        <v>0.04</v>
      </c>
      <c r="I81" s="161" t="s">
        <v>167</v>
      </c>
      <c r="J81" s="419"/>
      <c r="K81" s="504">
        <f t="shared" si="5"/>
        <v>0.04</v>
      </c>
      <c r="L81" s="844"/>
    </row>
    <row r="82" spans="1:12" ht="24" x14ac:dyDescent="0.2">
      <c r="A82" s="1707"/>
      <c r="B82" s="1709"/>
      <c r="C82" s="1857"/>
      <c r="D82" s="1762"/>
      <c r="E82" s="1863"/>
      <c r="F82" s="489" t="s">
        <v>167</v>
      </c>
      <c r="G82" s="701" t="s">
        <v>1074</v>
      </c>
      <c r="H82" s="223">
        <v>0.04</v>
      </c>
      <c r="I82" s="161" t="s">
        <v>167</v>
      </c>
      <c r="J82" s="419"/>
      <c r="K82" s="504">
        <f t="shared" si="5"/>
        <v>0.04</v>
      </c>
      <c r="L82" s="844"/>
    </row>
    <row r="83" spans="1:12" ht="24" x14ac:dyDescent="0.2">
      <c r="A83" s="1707"/>
      <c r="B83" s="1709"/>
      <c r="C83" s="1857"/>
      <c r="D83" s="1762"/>
      <c r="E83" s="1863"/>
      <c r="F83" s="489" t="s">
        <v>243</v>
      </c>
      <c r="G83" s="701" t="s">
        <v>1075</v>
      </c>
      <c r="H83" s="223">
        <v>0.04</v>
      </c>
      <c r="I83" s="161" t="s">
        <v>167</v>
      </c>
      <c r="J83" s="419"/>
      <c r="K83" s="504">
        <f t="shared" si="5"/>
        <v>0.04</v>
      </c>
      <c r="L83" s="844"/>
    </row>
    <row r="84" spans="1:12" ht="24" x14ac:dyDescent="0.2">
      <c r="A84" s="1707"/>
      <c r="B84" s="1709"/>
      <c r="C84" s="1857"/>
      <c r="D84" s="1762"/>
      <c r="E84" s="1863"/>
      <c r="F84" s="489" t="s">
        <v>245</v>
      </c>
      <c r="G84" s="701" t="s">
        <v>1076</v>
      </c>
      <c r="H84" s="223">
        <v>0.04</v>
      </c>
      <c r="I84" s="161" t="s">
        <v>167</v>
      </c>
      <c r="J84" s="419"/>
      <c r="K84" s="504">
        <f t="shared" si="5"/>
        <v>0.04</v>
      </c>
      <c r="L84" s="844"/>
    </row>
    <row r="85" spans="1:12" ht="24" x14ac:dyDescent="0.2">
      <c r="A85" s="1707"/>
      <c r="B85" s="1709"/>
      <c r="C85" s="1857"/>
      <c r="D85" s="1762"/>
      <c r="E85" s="1863"/>
      <c r="F85" s="489" t="s">
        <v>246</v>
      </c>
      <c r="G85" s="701" t="s">
        <v>1077</v>
      </c>
      <c r="H85" s="223">
        <v>0.04</v>
      </c>
      <c r="I85" s="161" t="s">
        <v>167</v>
      </c>
      <c r="J85" s="419"/>
      <c r="K85" s="504">
        <f t="shared" si="5"/>
        <v>0.04</v>
      </c>
      <c r="L85" s="844"/>
    </row>
    <row r="86" spans="1:12" ht="24" x14ac:dyDescent="0.2">
      <c r="A86" s="1707"/>
      <c r="B86" s="1709"/>
      <c r="C86" s="1857"/>
      <c r="D86" s="1762"/>
      <c r="E86" s="1863"/>
      <c r="F86" s="489" t="s">
        <v>248</v>
      </c>
      <c r="G86" s="701" t="s">
        <v>1078</v>
      </c>
      <c r="H86" s="223">
        <v>0.04</v>
      </c>
      <c r="I86" s="161" t="s">
        <v>167</v>
      </c>
      <c r="J86" s="419"/>
      <c r="K86" s="504">
        <f t="shared" si="5"/>
        <v>0.04</v>
      </c>
      <c r="L86" s="844"/>
    </row>
    <row r="87" spans="1:12" ht="15.75" customHeight="1" thickBot="1" x14ac:dyDescent="0.25">
      <c r="A87" s="1707"/>
      <c r="B87" s="1709"/>
      <c r="C87" s="1857"/>
      <c r="D87" s="1762"/>
      <c r="E87" s="695"/>
      <c r="F87" s="493" t="s">
        <v>250</v>
      </c>
      <c r="G87" s="711" t="s">
        <v>1079</v>
      </c>
      <c r="H87" s="220">
        <v>0.04</v>
      </c>
      <c r="I87" s="165" t="s">
        <v>167</v>
      </c>
      <c r="J87" s="419"/>
      <c r="K87" s="513">
        <f t="shared" si="5"/>
        <v>0.04</v>
      </c>
      <c r="L87" s="844"/>
    </row>
    <row r="88" spans="1:12" ht="15.75" customHeight="1" thickBot="1" x14ac:dyDescent="0.25">
      <c r="A88" s="1707"/>
      <c r="B88" s="1709"/>
      <c r="C88" s="1858"/>
      <c r="D88" s="1763"/>
      <c r="E88" s="1760" t="s">
        <v>2467</v>
      </c>
      <c r="F88" s="1761"/>
      <c r="G88" s="1761"/>
      <c r="H88" s="1761"/>
      <c r="I88" s="1761"/>
      <c r="J88" s="1761"/>
      <c r="K88" s="420">
        <f>SUM(K60:K87)</f>
        <v>0.94000000000000028</v>
      </c>
      <c r="L88" s="844"/>
    </row>
    <row r="89" spans="1:12" ht="24" x14ac:dyDescent="0.2">
      <c r="A89" s="1707"/>
      <c r="B89" s="1709"/>
      <c r="C89" s="1876" t="s">
        <v>1080</v>
      </c>
      <c r="D89" s="1764">
        <v>0.05</v>
      </c>
      <c r="E89" s="1748" t="s">
        <v>1081</v>
      </c>
      <c r="F89" s="399" t="s">
        <v>252</v>
      </c>
      <c r="G89" s="704" t="s">
        <v>1082</v>
      </c>
      <c r="H89" s="223">
        <v>0.4</v>
      </c>
      <c r="I89" s="441" t="s">
        <v>167</v>
      </c>
      <c r="J89" s="421"/>
      <c r="K89" s="506">
        <f>IF(I89="X",40%,0)</f>
        <v>0.4</v>
      </c>
      <c r="L89" s="844"/>
    </row>
    <row r="90" spans="1:12" ht="24" x14ac:dyDescent="0.2">
      <c r="A90" s="1707"/>
      <c r="B90" s="1709"/>
      <c r="C90" s="1877"/>
      <c r="D90" s="1765"/>
      <c r="E90" s="1749"/>
      <c r="F90" s="400" t="s">
        <v>254</v>
      </c>
      <c r="G90" s="705" t="s">
        <v>1083</v>
      </c>
      <c r="H90" s="223">
        <v>0.3</v>
      </c>
      <c r="I90" s="161" t="s">
        <v>167</v>
      </c>
      <c r="J90" s="436" t="s">
        <v>2475</v>
      </c>
      <c r="K90" s="500">
        <f>IF(I90="X",30%,0)</f>
        <v>0.3</v>
      </c>
      <c r="L90" s="844"/>
    </row>
    <row r="91" spans="1:12" ht="24.75" thickBot="1" x14ac:dyDescent="0.25">
      <c r="A91" s="1707"/>
      <c r="B91" s="1709"/>
      <c r="C91" s="1877"/>
      <c r="D91" s="1765"/>
      <c r="E91" s="1750"/>
      <c r="F91" s="401" t="s">
        <v>255</v>
      </c>
      <c r="G91" s="706" t="s">
        <v>1084</v>
      </c>
      <c r="H91" s="223">
        <v>0.3</v>
      </c>
      <c r="I91" s="376" t="s">
        <v>167</v>
      </c>
      <c r="J91" s="497"/>
      <c r="K91" s="509">
        <f>IF(I91="X",30%,0)</f>
        <v>0.3</v>
      </c>
      <c r="L91" s="844"/>
    </row>
    <row r="92" spans="1:12" ht="15.75" customHeight="1" thickBot="1" x14ac:dyDescent="0.25">
      <c r="A92" s="1707"/>
      <c r="B92" s="1709"/>
      <c r="C92" s="694"/>
      <c r="D92" s="1765"/>
      <c r="E92" s="1766" t="s">
        <v>2467</v>
      </c>
      <c r="F92" s="1767"/>
      <c r="G92" s="1767"/>
      <c r="H92" s="1767"/>
      <c r="I92" s="1767"/>
      <c r="J92" s="1767"/>
      <c r="K92" s="423">
        <f>SUM(K89:K91)</f>
        <v>1</v>
      </c>
      <c r="L92" s="844"/>
    </row>
    <row r="93" spans="1:12" ht="12" customHeight="1" x14ac:dyDescent="0.2">
      <c r="A93" s="1707"/>
      <c r="B93" s="1709"/>
      <c r="C93" s="1856" t="s">
        <v>1085</v>
      </c>
      <c r="D93" s="1794">
        <v>-0.04</v>
      </c>
      <c r="E93" s="1839" t="s">
        <v>1086</v>
      </c>
      <c r="F93" s="392" t="s">
        <v>257</v>
      </c>
      <c r="G93" s="696" t="s">
        <v>85</v>
      </c>
      <c r="H93" s="427">
        <v>0</v>
      </c>
      <c r="I93" s="1835" t="s">
        <v>85</v>
      </c>
      <c r="J93" s="425" t="s">
        <v>2471</v>
      </c>
      <c r="K93" s="1683">
        <f>IF(I93="Si y es un fondo documental de la Entidad",-100%,IF(I93="Si y proviene de otra Entidad",-100%,0))</f>
        <v>0</v>
      </c>
      <c r="L93" s="844"/>
    </row>
    <row r="94" spans="1:12" ht="15" customHeight="1" x14ac:dyDescent="0.2">
      <c r="A94" s="1707"/>
      <c r="B94" s="1709"/>
      <c r="C94" s="1857"/>
      <c r="D94" s="1795"/>
      <c r="E94" s="1840"/>
      <c r="F94" s="38" t="s">
        <v>259</v>
      </c>
      <c r="G94" s="712" t="s">
        <v>1087</v>
      </c>
      <c r="H94" s="428">
        <v>-1</v>
      </c>
      <c r="I94" s="1836"/>
      <c r="J94" s="424" t="s">
        <v>2472</v>
      </c>
      <c r="K94" s="1838"/>
      <c r="L94" s="844"/>
    </row>
    <row r="95" spans="1:12" ht="15.75" customHeight="1" thickBot="1" x14ac:dyDescent="0.25">
      <c r="A95" s="1707"/>
      <c r="B95" s="1709"/>
      <c r="C95" s="1857"/>
      <c r="D95" s="1796"/>
      <c r="E95" s="1841"/>
      <c r="F95" s="393" t="s">
        <v>261</v>
      </c>
      <c r="G95" s="697" t="s">
        <v>1088</v>
      </c>
      <c r="H95" s="429">
        <v>-1</v>
      </c>
      <c r="I95" s="1837"/>
      <c r="J95" s="426" t="s">
        <v>2473</v>
      </c>
      <c r="K95" s="1687"/>
      <c r="L95" s="844"/>
    </row>
    <row r="96" spans="1:12" ht="17.25" customHeight="1" x14ac:dyDescent="0.2">
      <c r="A96" s="1707"/>
      <c r="B96" s="1709"/>
      <c r="C96" s="1857"/>
      <c r="D96" s="1768">
        <v>0.04</v>
      </c>
      <c r="E96" s="1809" t="s">
        <v>1089</v>
      </c>
      <c r="F96" s="396" t="s">
        <v>262</v>
      </c>
      <c r="G96" s="707" t="s">
        <v>1090</v>
      </c>
      <c r="H96" s="223">
        <v>0</v>
      </c>
      <c r="I96" s="442"/>
      <c r="J96" s="419"/>
      <c r="K96" s="514" t="str">
        <f>IF(I96="X",0,"0")</f>
        <v>0</v>
      </c>
      <c r="L96" s="844"/>
    </row>
    <row r="97" spans="1:12" ht="24" x14ac:dyDescent="0.2">
      <c r="A97" s="1707"/>
      <c r="B97" s="1709"/>
      <c r="C97" s="1857"/>
      <c r="D97" s="1769"/>
      <c r="E97" s="1725"/>
      <c r="F97" s="39" t="s">
        <v>264</v>
      </c>
      <c r="G97" s="708" t="s">
        <v>1091</v>
      </c>
      <c r="H97" s="223">
        <v>0.1</v>
      </c>
      <c r="I97" s="161" t="s">
        <v>167</v>
      </c>
      <c r="J97" s="419"/>
      <c r="K97" s="500">
        <f>IF(I97="X",10%,0)</f>
        <v>0.1</v>
      </c>
      <c r="L97" s="844"/>
    </row>
    <row r="98" spans="1:12" ht="15" customHeight="1" x14ac:dyDescent="0.2">
      <c r="A98" s="1707"/>
      <c r="B98" s="1709"/>
      <c r="C98" s="1857"/>
      <c r="D98" s="1769"/>
      <c r="E98" s="1725"/>
      <c r="F98" s="39" t="s">
        <v>266</v>
      </c>
      <c r="G98" s="708" t="s">
        <v>1092</v>
      </c>
      <c r="H98" s="223">
        <v>0.1</v>
      </c>
      <c r="I98" s="161"/>
      <c r="J98" s="1716" t="s">
        <v>2476</v>
      </c>
      <c r="K98" s="500">
        <f>IF(I98="X",10%,0)</f>
        <v>0</v>
      </c>
      <c r="L98" s="844"/>
    </row>
    <row r="99" spans="1:12" ht="15" customHeight="1" x14ac:dyDescent="0.2">
      <c r="A99" s="1707"/>
      <c r="B99" s="1709"/>
      <c r="C99" s="1857"/>
      <c r="D99" s="1769"/>
      <c r="E99" s="1725"/>
      <c r="F99" s="39" t="s">
        <v>268</v>
      </c>
      <c r="G99" s="708" t="s">
        <v>1093</v>
      </c>
      <c r="H99" s="223">
        <v>0.2</v>
      </c>
      <c r="I99" s="161"/>
      <c r="J99" s="1716"/>
      <c r="K99" s="500">
        <f t="shared" ref="K99:K102" si="6">IF(I99="X",20%,0)</f>
        <v>0</v>
      </c>
      <c r="L99" s="844"/>
    </row>
    <row r="100" spans="1:12" ht="15" customHeight="1" x14ac:dyDescent="0.2">
      <c r="A100" s="1707"/>
      <c r="B100" s="1709"/>
      <c r="C100" s="1857"/>
      <c r="D100" s="1769"/>
      <c r="E100" s="1725"/>
      <c r="F100" s="39" t="s">
        <v>270</v>
      </c>
      <c r="G100" s="708" t="s">
        <v>1094</v>
      </c>
      <c r="H100" s="223">
        <v>0.2</v>
      </c>
      <c r="I100" s="161" t="s">
        <v>2853</v>
      </c>
      <c r="J100" s="419"/>
      <c r="K100" s="500">
        <f t="shared" si="6"/>
        <v>0</v>
      </c>
      <c r="L100" s="844"/>
    </row>
    <row r="101" spans="1:12" ht="15" customHeight="1" x14ac:dyDescent="0.2">
      <c r="A101" s="1707"/>
      <c r="B101" s="1709"/>
      <c r="C101" s="1857"/>
      <c r="D101" s="1769"/>
      <c r="E101" s="1725"/>
      <c r="F101" s="39" t="s">
        <v>272</v>
      </c>
      <c r="G101" s="708" t="s">
        <v>1095</v>
      </c>
      <c r="H101" s="223">
        <v>0.2</v>
      </c>
      <c r="I101" s="161"/>
      <c r="J101" s="419"/>
      <c r="K101" s="500">
        <f t="shared" si="6"/>
        <v>0</v>
      </c>
      <c r="L101" s="844"/>
    </row>
    <row r="102" spans="1:12" ht="15.75" customHeight="1" thickBot="1" x14ac:dyDescent="0.25">
      <c r="A102" s="1707"/>
      <c r="B102" s="1709"/>
      <c r="C102" s="1857"/>
      <c r="D102" s="1769"/>
      <c r="E102" s="1726"/>
      <c r="F102" s="398" t="s">
        <v>274</v>
      </c>
      <c r="G102" s="713" t="s">
        <v>1096</v>
      </c>
      <c r="H102" s="223">
        <v>0.2</v>
      </c>
      <c r="I102" s="376"/>
      <c r="J102" s="497"/>
      <c r="K102" s="509">
        <f t="shared" si="6"/>
        <v>0</v>
      </c>
      <c r="L102" s="844"/>
    </row>
    <row r="103" spans="1:12" ht="15.75" customHeight="1" thickBot="1" x14ac:dyDescent="0.25">
      <c r="A103" s="1707"/>
      <c r="B103" s="1709"/>
      <c r="C103" s="1857"/>
      <c r="D103" s="1770"/>
      <c r="E103" s="1760" t="s">
        <v>2467</v>
      </c>
      <c r="F103" s="1761"/>
      <c r="G103" s="1761"/>
      <c r="H103" s="1761"/>
      <c r="I103" s="1761"/>
      <c r="J103" s="1761"/>
      <c r="K103" s="420">
        <f>SUM(K97:K102)</f>
        <v>0.1</v>
      </c>
      <c r="L103" s="1074"/>
    </row>
    <row r="104" spans="1:12" ht="12" customHeight="1" x14ac:dyDescent="0.2">
      <c r="A104" s="1707"/>
      <c r="B104" s="1709"/>
      <c r="C104" s="1857"/>
      <c r="D104" s="1771">
        <v>7.1999999999999995E-2</v>
      </c>
      <c r="E104" s="1748" t="s">
        <v>1097</v>
      </c>
      <c r="F104" s="399" t="s">
        <v>276</v>
      </c>
      <c r="G104" s="704" t="s">
        <v>411</v>
      </c>
      <c r="H104" s="223">
        <v>0.6</v>
      </c>
      <c r="I104" s="441" t="s">
        <v>167</v>
      </c>
      <c r="J104" s="1776" t="s">
        <v>2478</v>
      </c>
      <c r="K104" s="499">
        <f>IF(I104="X",60%,0)</f>
        <v>0.6</v>
      </c>
      <c r="L104" s="844"/>
    </row>
    <row r="105" spans="1:12" ht="15" customHeight="1" x14ac:dyDescent="0.2">
      <c r="A105" s="1707"/>
      <c r="B105" s="1709"/>
      <c r="C105" s="1857"/>
      <c r="D105" s="1772"/>
      <c r="E105" s="1749"/>
      <c r="F105" s="400" t="s">
        <v>278</v>
      </c>
      <c r="G105" s="705" t="s">
        <v>1098</v>
      </c>
      <c r="H105" s="223">
        <v>0</v>
      </c>
      <c r="I105" s="161"/>
      <c r="J105" s="1716"/>
      <c r="K105" s="507" t="str">
        <f>IF(I105="X",0,"0")</f>
        <v>0</v>
      </c>
      <c r="L105" s="844"/>
    </row>
    <row r="106" spans="1:12" ht="15.75" customHeight="1" thickBot="1" x14ac:dyDescent="0.25">
      <c r="A106" s="1707"/>
      <c r="B106" s="1709"/>
      <c r="C106" s="1857"/>
      <c r="D106" s="1772"/>
      <c r="E106" s="1750"/>
      <c r="F106" s="401" t="s">
        <v>280</v>
      </c>
      <c r="G106" s="714" t="s">
        <v>2534</v>
      </c>
      <c r="H106" s="223">
        <v>0.4</v>
      </c>
      <c r="I106" s="376" t="s">
        <v>167</v>
      </c>
      <c r="J106" s="1777"/>
      <c r="K106" s="515">
        <f>IF(I106="X",40%,0)</f>
        <v>0.4</v>
      </c>
      <c r="L106" s="844"/>
    </row>
    <row r="107" spans="1:12" ht="15.75" customHeight="1" thickBot="1" x14ac:dyDescent="0.25">
      <c r="A107" s="1707"/>
      <c r="B107" s="1709"/>
      <c r="C107" s="1857"/>
      <c r="D107" s="1773"/>
      <c r="E107" s="1774" t="s">
        <v>2467</v>
      </c>
      <c r="F107" s="1775"/>
      <c r="G107" s="1775"/>
      <c r="H107" s="1775"/>
      <c r="I107" s="1775"/>
      <c r="J107" s="1775"/>
      <c r="K107" s="420">
        <f>SUM(K104:K106)</f>
        <v>1</v>
      </c>
      <c r="L107" s="844"/>
    </row>
    <row r="108" spans="1:12" ht="15" customHeight="1" x14ac:dyDescent="0.2">
      <c r="A108" s="1707"/>
      <c r="B108" s="1709"/>
      <c r="C108" s="1857"/>
      <c r="D108" s="1778">
        <v>7.1999999999999995E-2</v>
      </c>
      <c r="E108" s="1809" t="s">
        <v>1046</v>
      </c>
      <c r="F108" s="396" t="s">
        <v>282</v>
      </c>
      <c r="G108" s="707" t="s">
        <v>1047</v>
      </c>
      <c r="H108" s="223">
        <v>0</v>
      </c>
      <c r="I108" s="443"/>
      <c r="J108" s="419"/>
      <c r="K108" s="514">
        <f>IF(I108="X",0,0)</f>
        <v>0</v>
      </c>
      <c r="L108" s="844"/>
    </row>
    <row r="109" spans="1:12" ht="18" customHeight="1" x14ac:dyDescent="0.2">
      <c r="A109" s="1707"/>
      <c r="B109" s="1709"/>
      <c r="C109" s="1857"/>
      <c r="D109" s="1779"/>
      <c r="E109" s="1725"/>
      <c r="F109" s="39" t="s">
        <v>284</v>
      </c>
      <c r="G109" s="708" t="s">
        <v>407</v>
      </c>
      <c r="H109" s="430">
        <v>0.4</v>
      </c>
      <c r="I109" s="444" t="s">
        <v>167</v>
      </c>
      <c r="J109" s="498"/>
      <c r="K109" s="509">
        <f>IF(I109="X",40%,0)</f>
        <v>0.4</v>
      </c>
      <c r="L109" s="844"/>
    </row>
    <row r="110" spans="1:12" ht="24" x14ac:dyDescent="0.2">
      <c r="A110" s="1707"/>
      <c r="B110" s="1709"/>
      <c r="C110" s="1857"/>
      <c r="D110" s="1779"/>
      <c r="E110" s="1725"/>
      <c r="F110" s="39" t="s">
        <v>286</v>
      </c>
      <c r="G110" s="708" t="s">
        <v>1100</v>
      </c>
      <c r="H110" s="430">
        <v>0.15</v>
      </c>
      <c r="I110" s="444" t="s">
        <v>167</v>
      </c>
      <c r="J110" s="1744" t="s">
        <v>2477</v>
      </c>
      <c r="K110" s="504">
        <f>IF(I110="X",15%,0)</f>
        <v>0.15</v>
      </c>
      <c r="L110" s="844"/>
    </row>
    <row r="111" spans="1:12" ht="15" customHeight="1" x14ac:dyDescent="0.2">
      <c r="A111" s="1707"/>
      <c r="B111" s="1709"/>
      <c r="C111" s="1857"/>
      <c r="D111" s="1779"/>
      <c r="E111" s="1725"/>
      <c r="F111" s="39" t="s">
        <v>288</v>
      </c>
      <c r="G111" s="708" t="s">
        <v>1048</v>
      </c>
      <c r="H111" s="430">
        <v>0.15</v>
      </c>
      <c r="I111" s="444"/>
      <c r="J111" s="1744"/>
      <c r="K111" s="504">
        <f t="shared" ref="K111:K113" si="7">IF(I111="X",15%,0)</f>
        <v>0</v>
      </c>
      <c r="L111" s="844"/>
    </row>
    <row r="112" spans="1:12" ht="15" customHeight="1" x14ac:dyDescent="0.2">
      <c r="A112" s="1707"/>
      <c r="B112" s="1709"/>
      <c r="C112" s="1857"/>
      <c r="D112" s="1779"/>
      <c r="E112" s="1725"/>
      <c r="F112" s="39" t="s">
        <v>290</v>
      </c>
      <c r="G112" s="708" t="s">
        <v>409</v>
      </c>
      <c r="H112" s="430">
        <v>0.15</v>
      </c>
      <c r="I112" s="444" t="s">
        <v>167</v>
      </c>
      <c r="J112" s="1744"/>
      <c r="K112" s="504">
        <f t="shared" si="7"/>
        <v>0.15</v>
      </c>
      <c r="L112" s="844"/>
    </row>
    <row r="113" spans="1:12" ht="24.75" thickBot="1" x14ac:dyDescent="0.25">
      <c r="A113" s="1707"/>
      <c r="B113" s="1709"/>
      <c r="C113" s="1857"/>
      <c r="D113" s="1779"/>
      <c r="E113" s="1751"/>
      <c r="F113" s="406" t="s">
        <v>292</v>
      </c>
      <c r="G113" s="709" t="s">
        <v>1049</v>
      </c>
      <c r="H113" s="223">
        <v>0.15</v>
      </c>
      <c r="I113" s="443" t="s">
        <v>167</v>
      </c>
      <c r="J113" s="419"/>
      <c r="K113" s="505">
        <f t="shared" si="7"/>
        <v>0.15</v>
      </c>
      <c r="L113" s="844"/>
    </row>
    <row r="114" spans="1:12" ht="15.75" thickBot="1" x14ac:dyDescent="0.25">
      <c r="A114" s="1707"/>
      <c r="B114" s="1709"/>
      <c r="C114" s="1857"/>
      <c r="D114" s="1780"/>
      <c r="E114" s="1760" t="s">
        <v>2467</v>
      </c>
      <c r="F114" s="1761"/>
      <c r="G114" s="1761"/>
      <c r="H114" s="1761"/>
      <c r="I114" s="1761"/>
      <c r="J114" s="1761"/>
      <c r="K114" s="420">
        <f>SUM(K108:K113)</f>
        <v>0.85000000000000009</v>
      </c>
      <c r="L114" s="844"/>
    </row>
    <row r="115" spans="1:12" ht="24.75" thickBot="1" x14ac:dyDescent="0.25">
      <c r="A115" s="1707"/>
      <c r="B115" s="1709"/>
      <c r="C115" s="1857"/>
      <c r="D115" s="1771">
        <v>7.1999999999999995E-2</v>
      </c>
      <c r="E115" s="1748" t="s">
        <v>1101</v>
      </c>
      <c r="F115" s="399" t="s">
        <v>294</v>
      </c>
      <c r="G115" s="704" t="s">
        <v>1102</v>
      </c>
      <c r="H115" s="223">
        <v>0.5</v>
      </c>
      <c r="I115" s="441" t="s">
        <v>167</v>
      </c>
      <c r="J115" s="1776" t="s">
        <v>2537</v>
      </c>
      <c r="K115" s="506">
        <f>IF(I115="X",50%,0)</f>
        <v>0.5</v>
      </c>
      <c r="L115" s="844"/>
    </row>
    <row r="116" spans="1:12" ht="15" customHeight="1" x14ac:dyDescent="0.2">
      <c r="A116" s="1707"/>
      <c r="B116" s="1709"/>
      <c r="C116" s="1857"/>
      <c r="D116" s="1772"/>
      <c r="E116" s="1749"/>
      <c r="F116" s="400" t="s">
        <v>296</v>
      </c>
      <c r="G116" s="705" t="s">
        <v>1103</v>
      </c>
      <c r="H116" s="223">
        <v>0.5</v>
      </c>
      <c r="I116" s="161" t="s">
        <v>167</v>
      </c>
      <c r="J116" s="1716"/>
      <c r="K116" s="506">
        <f>IF(I116="X",50%,0)</f>
        <v>0.5</v>
      </c>
      <c r="L116" s="844"/>
    </row>
    <row r="117" spans="1:12" ht="24.75" thickBot="1" x14ac:dyDescent="0.25">
      <c r="A117" s="1707"/>
      <c r="B117" s="1709"/>
      <c r="C117" s="1857"/>
      <c r="D117" s="1772"/>
      <c r="E117" s="1810"/>
      <c r="F117" s="431" t="s">
        <v>298</v>
      </c>
      <c r="G117" s="715" t="s">
        <v>1104</v>
      </c>
      <c r="H117" s="220">
        <v>0</v>
      </c>
      <c r="I117" s="165"/>
      <c r="J117" s="1777"/>
      <c r="K117" s="501">
        <f>IF(I117="X",0,0)</f>
        <v>0</v>
      </c>
      <c r="L117" s="844"/>
    </row>
    <row r="118" spans="1:12" ht="15.75" customHeight="1" thickBot="1" x14ac:dyDescent="0.25">
      <c r="A118" s="1707"/>
      <c r="B118" s="1709"/>
      <c r="C118" s="1857"/>
      <c r="D118" s="1793"/>
      <c r="E118" s="1774" t="s">
        <v>2467</v>
      </c>
      <c r="F118" s="1775"/>
      <c r="G118" s="1775"/>
      <c r="H118" s="1775"/>
      <c r="I118" s="1775"/>
      <c r="J118" s="1775"/>
      <c r="K118" s="502">
        <f>SUM(K115:K117)</f>
        <v>1</v>
      </c>
      <c r="L118" s="844"/>
    </row>
    <row r="119" spans="1:12" ht="15" customHeight="1" x14ac:dyDescent="0.2">
      <c r="A119" s="1707"/>
      <c r="B119" s="1709"/>
      <c r="C119" s="1857"/>
      <c r="D119" s="1785">
        <v>7.1999999999999995E-2</v>
      </c>
      <c r="E119" s="1878" t="s">
        <v>1105</v>
      </c>
      <c r="F119" s="391" t="s">
        <v>300</v>
      </c>
      <c r="G119" s="716" t="s">
        <v>1106</v>
      </c>
      <c r="H119" s="223">
        <v>0</v>
      </c>
      <c r="I119" s="1827" t="s">
        <v>1108</v>
      </c>
      <c r="J119" s="436" t="s">
        <v>2480</v>
      </c>
      <c r="K119" s="1830">
        <f>IF(I119="En menos del 30%",20%,IF(I119="Entre el 30% y  menos  60%",50%,IF(I119="Entre el 60% y menos del 90%",80%,IF(I119="Más del 90%",100%,0))))</f>
        <v>0.5</v>
      </c>
      <c r="L119" s="844"/>
    </row>
    <row r="120" spans="1:12" ht="15" customHeight="1" x14ac:dyDescent="0.2">
      <c r="A120" s="1707"/>
      <c r="B120" s="1709"/>
      <c r="C120" s="1857"/>
      <c r="D120" s="1786"/>
      <c r="E120" s="1755"/>
      <c r="F120" s="38" t="s">
        <v>302</v>
      </c>
      <c r="G120" s="712" t="s">
        <v>1107</v>
      </c>
      <c r="H120" s="223">
        <v>0.2</v>
      </c>
      <c r="I120" s="1827"/>
      <c r="J120" s="436" t="s">
        <v>2481</v>
      </c>
      <c r="K120" s="1831"/>
      <c r="L120" s="844"/>
    </row>
    <row r="121" spans="1:12" ht="15" customHeight="1" x14ac:dyDescent="0.2">
      <c r="A121" s="1707"/>
      <c r="B121" s="1709"/>
      <c r="C121" s="1857"/>
      <c r="D121" s="1786"/>
      <c r="E121" s="1755"/>
      <c r="F121" s="38" t="s">
        <v>304</v>
      </c>
      <c r="G121" s="712" t="s">
        <v>1108</v>
      </c>
      <c r="H121" s="223">
        <v>0.5</v>
      </c>
      <c r="I121" s="1827"/>
      <c r="J121" s="436" t="s">
        <v>2482</v>
      </c>
      <c r="K121" s="1831"/>
      <c r="L121" s="844"/>
    </row>
    <row r="122" spans="1:12" ht="15" customHeight="1" x14ac:dyDescent="0.2">
      <c r="A122" s="1707"/>
      <c r="B122" s="1709"/>
      <c r="C122" s="1857"/>
      <c r="D122" s="1786"/>
      <c r="E122" s="1755"/>
      <c r="F122" s="38" t="s">
        <v>306</v>
      </c>
      <c r="G122" s="712" t="s">
        <v>1109</v>
      </c>
      <c r="H122" s="223">
        <v>0.8</v>
      </c>
      <c r="I122" s="1827"/>
      <c r="J122" s="436" t="s">
        <v>2483</v>
      </c>
      <c r="K122" s="1831"/>
      <c r="L122" s="844"/>
    </row>
    <row r="123" spans="1:12" ht="15.75" customHeight="1" thickBot="1" x14ac:dyDescent="0.25">
      <c r="A123" s="1707"/>
      <c r="B123" s="1709"/>
      <c r="C123" s="1857"/>
      <c r="D123" s="1787"/>
      <c r="E123" s="1699"/>
      <c r="F123" s="432" t="s">
        <v>308</v>
      </c>
      <c r="G123" s="717" t="s">
        <v>1110</v>
      </c>
      <c r="H123" s="220">
        <v>1</v>
      </c>
      <c r="I123" s="1827"/>
      <c r="J123" s="436" t="s">
        <v>2484</v>
      </c>
      <c r="K123" s="1831"/>
      <c r="L123" s="844"/>
    </row>
    <row r="124" spans="1:12" ht="15" customHeight="1" x14ac:dyDescent="0.2">
      <c r="A124" s="1707"/>
      <c r="B124" s="1709"/>
      <c r="C124" s="1857"/>
      <c r="D124" s="1788">
        <v>7.1999999999999995E-2</v>
      </c>
      <c r="E124" s="1869" t="s">
        <v>1111</v>
      </c>
      <c r="F124" s="394" t="s">
        <v>310</v>
      </c>
      <c r="G124" s="718" t="s">
        <v>1106</v>
      </c>
      <c r="H124" s="353">
        <v>0</v>
      </c>
      <c r="I124" s="1828" t="s">
        <v>1110</v>
      </c>
      <c r="J124" s="477" t="s">
        <v>2485</v>
      </c>
      <c r="K124" s="1830">
        <f>IF(I124="En menos del 30%",20%,IF(I124="Entre el 30% y  menos  60%",50%,IF(I124="Entre el 60% y menos del 90%",80%,IF(I124="Más del 90%",100%,0))))</f>
        <v>1</v>
      </c>
      <c r="L124" s="844"/>
    </row>
    <row r="125" spans="1:12" ht="15" customHeight="1" x14ac:dyDescent="0.2">
      <c r="A125" s="1707"/>
      <c r="B125" s="1709"/>
      <c r="C125" s="1857"/>
      <c r="D125" s="1789"/>
      <c r="E125" s="1870"/>
      <c r="F125" s="416" t="s">
        <v>312</v>
      </c>
      <c r="G125" s="719" t="s">
        <v>1107</v>
      </c>
      <c r="H125" s="26">
        <v>0.2</v>
      </c>
      <c r="I125" s="1827"/>
      <c r="J125" s="436" t="s">
        <v>2486</v>
      </c>
      <c r="K125" s="1831"/>
      <c r="L125" s="844"/>
    </row>
    <row r="126" spans="1:12" ht="15" customHeight="1" x14ac:dyDescent="0.2">
      <c r="A126" s="1707"/>
      <c r="B126" s="1709"/>
      <c r="C126" s="1857"/>
      <c r="D126" s="1789"/>
      <c r="E126" s="1870"/>
      <c r="F126" s="416" t="s">
        <v>314</v>
      </c>
      <c r="G126" s="719" t="s">
        <v>1108</v>
      </c>
      <c r="H126" s="26">
        <v>0.5</v>
      </c>
      <c r="I126" s="1827"/>
      <c r="J126" s="436" t="s">
        <v>2487</v>
      </c>
      <c r="K126" s="1831"/>
      <c r="L126" s="844"/>
    </row>
    <row r="127" spans="1:12" ht="15" customHeight="1" x14ac:dyDescent="0.2">
      <c r="A127" s="1707"/>
      <c r="B127" s="1709"/>
      <c r="C127" s="1857"/>
      <c r="D127" s="1789"/>
      <c r="E127" s="1870"/>
      <c r="F127" s="416" t="s">
        <v>316</v>
      </c>
      <c r="G127" s="719" t="s">
        <v>1109</v>
      </c>
      <c r="H127" s="26">
        <v>0.8</v>
      </c>
      <c r="I127" s="1827"/>
      <c r="J127" s="436" t="s">
        <v>2488</v>
      </c>
      <c r="K127" s="1831"/>
      <c r="L127" s="844"/>
    </row>
    <row r="128" spans="1:12" ht="13.5" customHeight="1" thickBot="1" x14ac:dyDescent="0.25">
      <c r="A128" s="1707"/>
      <c r="B128" s="1709"/>
      <c r="C128" s="1858"/>
      <c r="D128" s="1790"/>
      <c r="E128" s="1871"/>
      <c r="F128" s="395" t="s">
        <v>318</v>
      </c>
      <c r="G128" s="720" t="s">
        <v>1110</v>
      </c>
      <c r="H128" s="354">
        <v>1</v>
      </c>
      <c r="I128" s="1829"/>
      <c r="J128" s="478" t="s">
        <v>2489</v>
      </c>
      <c r="K128" s="1832"/>
      <c r="L128" s="844"/>
    </row>
    <row r="129" spans="1:15" ht="22.5" customHeight="1" x14ac:dyDescent="0.2">
      <c r="A129" s="1707"/>
      <c r="B129" s="1709"/>
      <c r="C129" s="1872" t="s">
        <v>1112</v>
      </c>
      <c r="D129" s="1693">
        <v>0.06</v>
      </c>
      <c r="E129" s="1698" t="s">
        <v>1113</v>
      </c>
      <c r="F129" s="392" t="s">
        <v>1114</v>
      </c>
      <c r="G129" s="696" t="s">
        <v>83</v>
      </c>
      <c r="H129" s="353">
        <v>1</v>
      </c>
      <c r="I129" s="1685" t="s">
        <v>388</v>
      </c>
      <c r="J129" s="436" t="s">
        <v>2490</v>
      </c>
      <c r="K129" s="1683">
        <f>IF(I129="Si",100%,0)</f>
        <v>1</v>
      </c>
      <c r="L129" s="844"/>
    </row>
    <row r="130" spans="1:15" ht="22.5" customHeight="1" thickBot="1" x14ac:dyDescent="0.25">
      <c r="A130" s="1707"/>
      <c r="B130" s="1709"/>
      <c r="C130" s="1873"/>
      <c r="D130" s="1783"/>
      <c r="E130" s="1699"/>
      <c r="F130" s="432" t="s">
        <v>322</v>
      </c>
      <c r="G130" s="717" t="s">
        <v>85</v>
      </c>
      <c r="H130" s="415">
        <v>0</v>
      </c>
      <c r="I130" s="1697"/>
      <c r="J130" s="436" t="s">
        <v>2538</v>
      </c>
      <c r="K130" s="1684"/>
      <c r="L130" s="844"/>
    </row>
    <row r="131" spans="1:15" ht="21.75" customHeight="1" x14ac:dyDescent="0.2">
      <c r="A131" s="1707"/>
      <c r="B131" s="1709"/>
      <c r="C131" s="1873"/>
      <c r="D131" s="1781" t="s">
        <v>2479</v>
      </c>
      <c r="E131" s="1732" t="s">
        <v>1115</v>
      </c>
      <c r="F131" s="394" t="s">
        <v>1116</v>
      </c>
      <c r="G131" s="718" t="s">
        <v>83</v>
      </c>
      <c r="H131" s="353">
        <v>1</v>
      </c>
      <c r="I131" s="1685" t="s">
        <v>388</v>
      </c>
      <c r="J131" s="477" t="s">
        <v>2491</v>
      </c>
      <c r="K131" s="1791">
        <f>IF(I131="Si",100%,0)</f>
        <v>1</v>
      </c>
      <c r="L131" s="844"/>
    </row>
    <row r="132" spans="1:15" ht="17.25" customHeight="1" thickBot="1" x14ac:dyDescent="0.25">
      <c r="A132" s="1707"/>
      <c r="B132" s="1709"/>
      <c r="C132" s="1873"/>
      <c r="D132" s="1782"/>
      <c r="E132" s="1733"/>
      <c r="F132" s="395" t="s">
        <v>1117</v>
      </c>
      <c r="G132" s="720" t="s">
        <v>85</v>
      </c>
      <c r="H132" s="354">
        <v>0</v>
      </c>
      <c r="I132" s="1686"/>
      <c r="J132" s="478" t="s">
        <v>2492</v>
      </c>
      <c r="K132" s="1792"/>
      <c r="L132" s="844"/>
    </row>
    <row r="133" spans="1:15" ht="15" customHeight="1" x14ac:dyDescent="0.2">
      <c r="A133" s="1707"/>
      <c r="B133" s="1709"/>
      <c r="C133" s="1873"/>
      <c r="D133" s="1693">
        <v>0.14000000000000001</v>
      </c>
      <c r="E133" s="1698" t="s">
        <v>1118</v>
      </c>
      <c r="F133" s="392" t="s">
        <v>1119</v>
      </c>
      <c r="G133" s="696" t="s">
        <v>1120</v>
      </c>
      <c r="H133" s="353">
        <v>0</v>
      </c>
      <c r="I133" s="1738" t="s">
        <v>1130</v>
      </c>
      <c r="J133" s="477" t="s">
        <v>2493</v>
      </c>
      <c r="K133" s="1741">
        <f>IF(I133="Espacio insuficiente y se entregó inventariado los archivos",10%,IF(I133="Aplicación de TRD o TVD",100%,0))</f>
        <v>1</v>
      </c>
      <c r="L133" s="844"/>
    </row>
    <row r="134" spans="1:15" ht="24" x14ac:dyDescent="0.2">
      <c r="A134" s="1707"/>
      <c r="B134" s="1709"/>
      <c r="C134" s="1873"/>
      <c r="D134" s="1783"/>
      <c r="E134" s="1755"/>
      <c r="F134" s="38" t="s">
        <v>1121</v>
      </c>
      <c r="G134" s="712" t="s">
        <v>1122</v>
      </c>
      <c r="H134" s="26">
        <v>0.1</v>
      </c>
      <c r="I134" s="1739"/>
      <c r="J134" s="436" t="s">
        <v>2494</v>
      </c>
      <c r="K134" s="1742"/>
      <c r="L134" s="844"/>
    </row>
    <row r="135" spans="1:15" ht="15" customHeight="1" thickBot="1" x14ac:dyDescent="0.25">
      <c r="A135" s="1707"/>
      <c r="B135" s="1709"/>
      <c r="C135" s="1873"/>
      <c r="D135" s="1694"/>
      <c r="E135" s="1756"/>
      <c r="F135" s="393" t="s">
        <v>1123</v>
      </c>
      <c r="G135" s="697" t="s">
        <v>1130</v>
      </c>
      <c r="H135" s="354">
        <v>1</v>
      </c>
      <c r="I135" s="1740"/>
      <c r="J135" s="478" t="s">
        <v>2495</v>
      </c>
      <c r="K135" s="1743"/>
      <c r="L135" s="844"/>
    </row>
    <row r="136" spans="1:15" ht="15.75" customHeight="1" x14ac:dyDescent="0.2">
      <c r="A136" s="1707"/>
      <c r="B136" s="1709"/>
      <c r="C136" s="1873"/>
      <c r="D136" s="1781" t="s">
        <v>2479</v>
      </c>
      <c r="E136" s="1732" t="s">
        <v>1124</v>
      </c>
      <c r="F136" s="394" t="s">
        <v>1125</v>
      </c>
      <c r="G136" s="718" t="s">
        <v>1126</v>
      </c>
      <c r="H136" s="353">
        <v>0</v>
      </c>
      <c r="I136" s="1738" t="s">
        <v>1130</v>
      </c>
      <c r="J136" s="477" t="s">
        <v>2496</v>
      </c>
      <c r="K136" s="1757">
        <f>IF(I136="Espacio insuficiente y se entregó inventariado los archivos",10%,IF(I136="Aplicación de TRD o TVD",100%,0))</f>
        <v>1</v>
      </c>
      <c r="L136" s="844"/>
    </row>
    <row r="137" spans="1:15" ht="21" customHeight="1" x14ac:dyDescent="0.2">
      <c r="A137" s="1707"/>
      <c r="B137" s="1709"/>
      <c r="C137" s="1873"/>
      <c r="D137" s="1784"/>
      <c r="E137" s="1875"/>
      <c r="F137" s="416" t="s">
        <v>1127</v>
      </c>
      <c r="G137" s="719" t="s">
        <v>1128</v>
      </c>
      <c r="H137" s="26">
        <v>0.1</v>
      </c>
      <c r="I137" s="1739"/>
      <c r="J137" s="436" t="s">
        <v>2497</v>
      </c>
      <c r="K137" s="1758"/>
      <c r="L137" s="844"/>
    </row>
    <row r="138" spans="1:15" ht="15.75" customHeight="1" thickBot="1" x14ac:dyDescent="0.25">
      <c r="A138" s="1707"/>
      <c r="B138" s="1709"/>
      <c r="C138" s="1874"/>
      <c r="D138" s="1782"/>
      <c r="E138" s="1733"/>
      <c r="F138" s="395" t="s">
        <v>1129</v>
      </c>
      <c r="G138" s="720" t="s">
        <v>1130</v>
      </c>
      <c r="H138" s="354">
        <v>1</v>
      </c>
      <c r="I138" s="1740"/>
      <c r="J138" s="478" t="s">
        <v>2498</v>
      </c>
      <c r="K138" s="1759"/>
      <c r="L138" s="844"/>
    </row>
    <row r="139" spans="1:15" ht="15.75" customHeight="1" x14ac:dyDescent="0.2">
      <c r="A139" s="1707"/>
      <c r="B139" s="1709"/>
      <c r="C139" s="1859" t="s">
        <v>2085</v>
      </c>
      <c r="D139" s="1734">
        <v>0.05</v>
      </c>
      <c r="E139" s="1724" t="s">
        <v>1131</v>
      </c>
      <c r="F139" s="397" t="s">
        <v>1132</v>
      </c>
      <c r="G139" s="710" t="s">
        <v>1133</v>
      </c>
      <c r="H139" s="223">
        <v>0</v>
      </c>
      <c r="I139" s="441" t="s">
        <v>167</v>
      </c>
      <c r="J139" s="421"/>
      <c r="K139" s="506">
        <f>IF(I139="X",0,0)</f>
        <v>0</v>
      </c>
      <c r="L139" s="844"/>
      <c r="O139" s="46"/>
    </row>
    <row r="140" spans="1:15" ht="15.75" customHeight="1" x14ac:dyDescent="0.2">
      <c r="A140" s="1707"/>
      <c r="B140" s="1709"/>
      <c r="C140" s="1860"/>
      <c r="D140" s="1735"/>
      <c r="E140" s="1725"/>
      <c r="F140" s="39" t="s">
        <v>1134</v>
      </c>
      <c r="G140" s="708" t="s">
        <v>1135</v>
      </c>
      <c r="H140" s="223">
        <v>0.4</v>
      </c>
      <c r="I140" s="161"/>
      <c r="J140" s="419"/>
      <c r="K140" s="507">
        <f>IF(I140="X",40%,0)</f>
        <v>0</v>
      </c>
      <c r="L140" s="844"/>
      <c r="O140" s="46"/>
    </row>
    <row r="141" spans="1:15" ht="15.75" customHeight="1" x14ac:dyDescent="0.2">
      <c r="A141" s="1707"/>
      <c r="B141" s="1709"/>
      <c r="C141" s="1860"/>
      <c r="D141" s="1735"/>
      <c r="E141" s="1725"/>
      <c r="F141" s="39" t="s">
        <v>1136</v>
      </c>
      <c r="G141" s="708" t="s">
        <v>1137</v>
      </c>
      <c r="H141" s="223">
        <v>0.3</v>
      </c>
      <c r="I141" s="161"/>
      <c r="J141" s="1744" t="s">
        <v>2499</v>
      </c>
      <c r="K141" s="507">
        <f>IF(I141="X",30%,0)</f>
        <v>0</v>
      </c>
      <c r="L141" s="844"/>
      <c r="O141" s="46"/>
    </row>
    <row r="142" spans="1:15" ht="36" x14ac:dyDescent="0.2">
      <c r="A142" s="1707"/>
      <c r="B142" s="1709"/>
      <c r="C142" s="1860"/>
      <c r="D142" s="1735"/>
      <c r="E142" s="1725"/>
      <c r="F142" s="39" t="s">
        <v>1138</v>
      </c>
      <c r="G142" s="708" t="s">
        <v>1139</v>
      </c>
      <c r="H142" s="223">
        <v>0.05</v>
      </c>
      <c r="I142" s="161"/>
      <c r="J142" s="1744"/>
      <c r="K142" s="507">
        <f>IF(I142="X",5%,0)</f>
        <v>0</v>
      </c>
      <c r="L142" s="844"/>
    </row>
    <row r="143" spans="1:15" ht="39.75" customHeight="1" x14ac:dyDescent="0.2">
      <c r="A143" s="1707"/>
      <c r="B143" s="1709"/>
      <c r="C143" s="1860"/>
      <c r="D143" s="1735"/>
      <c r="E143" s="1725"/>
      <c r="F143" s="39" t="s">
        <v>1140</v>
      </c>
      <c r="G143" s="708" t="s">
        <v>1141</v>
      </c>
      <c r="H143" s="223">
        <v>0.05</v>
      </c>
      <c r="I143" s="161"/>
      <c r="J143" s="1744"/>
      <c r="K143" s="507">
        <f>IF(I143="X",5%,0)</f>
        <v>0</v>
      </c>
      <c r="L143" s="844"/>
    </row>
    <row r="144" spans="1:15" ht="18.75" customHeight="1" thickBot="1" x14ac:dyDescent="0.25">
      <c r="A144" s="1707"/>
      <c r="B144" s="1709"/>
      <c r="C144" s="1860"/>
      <c r="D144" s="1735"/>
      <c r="E144" s="1751"/>
      <c r="F144" s="406" t="s">
        <v>1142</v>
      </c>
      <c r="G144" s="709" t="s">
        <v>1143</v>
      </c>
      <c r="H144" s="220">
        <v>0.2</v>
      </c>
      <c r="I144" s="165"/>
      <c r="J144" s="419"/>
      <c r="K144" s="508">
        <f>IF(I144="X",20%,0)</f>
        <v>0</v>
      </c>
      <c r="L144" s="844"/>
    </row>
    <row r="145" spans="1:12" ht="18.75" customHeight="1" thickBot="1" x14ac:dyDescent="0.25">
      <c r="A145" s="1707"/>
      <c r="B145" s="1709"/>
      <c r="C145" s="1860"/>
      <c r="D145" s="1736"/>
      <c r="E145" s="1760" t="s">
        <v>2467</v>
      </c>
      <c r="F145" s="1761"/>
      <c r="G145" s="1761"/>
      <c r="H145" s="1761"/>
      <c r="I145" s="1761"/>
      <c r="J145" s="1761"/>
      <c r="K145" s="433">
        <f>SUM(K139:K144)</f>
        <v>0</v>
      </c>
      <c r="L145" s="1074"/>
    </row>
    <row r="146" spans="1:12" ht="24.75" thickBot="1" x14ac:dyDescent="0.25">
      <c r="A146" s="1707"/>
      <c r="B146" s="1709"/>
      <c r="C146" s="1860"/>
      <c r="D146" s="532" t="s">
        <v>2479</v>
      </c>
      <c r="E146" s="721" t="s">
        <v>1144</v>
      </c>
      <c r="F146" s="417" t="s">
        <v>1145</v>
      </c>
      <c r="G146" s="722"/>
      <c r="H146" s="418">
        <v>0</v>
      </c>
      <c r="I146" s="443"/>
      <c r="J146" s="419"/>
      <c r="K146" s="516" t="str">
        <f>IF(I146="X","0","0")</f>
        <v>0</v>
      </c>
      <c r="L146" s="844"/>
    </row>
    <row r="147" spans="1:12" ht="12" customHeight="1" x14ac:dyDescent="0.2">
      <c r="A147" s="1707"/>
      <c r="B147" s="1709"/>
      <c r="C147" s="1860"/>
      <c r="D147" s="1745">
        <v>0.05</v>
      </c>
      <c r="E147" s="1698" t="s">
        <v>1146</v>
      </c>
      <c r="F147" s="392" t="s">
        <v>1147</v>
      </c>
      <c r="G147" s="696" t="s">
        <v>1148</v>
      </c>
      <c r="H147" s="353">
        <v>0</v>
      </c>
      <c r="I147" s="1738" t="s">
        <v>1150</v>
      </c>
      <c r="J147" s="477" t="s">
        <v>2500</v>
      </c>
      <c r="K147" s="1741">
        <f>IF(I147="Aplica la  TRD o TVD",100%,0)</f>
        <v>1</v>
      </c>
      <c r="L147" s="844"/>
    </row>
    <row r="148" spans="1:12" ht="15" customHeight="1" x14ac:dyDescent="0.2">
      <c r="A148" s="1707"/>
      <c r="B148" s="1709"/>
      <c r="C148" s="1860"/>
      <c r="D148" s="1746"/>
      <c r="E148" s="1755"/>
      <c r="F148" s="38" t="s">
        <v>1149</v>
      </c>
      <c r="G148" s="712" t="s">
        <v>1150</v>
      </c>
      <c r="H148" s="26">
        <v>1</v>
      </c>
      <c r="I148" s="1739"/>
      <c r="J148" s="436" t="s">
        <v>2501</v>
      </c>
      <c r="K148" s="1742"/>
      <c r="L148" s="844"/>
    </row>
    <row r="149" spans="1:12" ht="24.75" thickBot="1" x14ac:dyDescent="0.25">
      <c r="A149" s="1707"/>
      <c r="B149" s="1709"/>
      <c r="C149" s="1861"/>
      <c r="D149" s="1747"/>
      <c r="E149" s="1756"/>
      <c r="F149" s="393" t="s">
        <v>1151</v>
      </c>
      <c r="G149" s="697" t="s">
        <v>1152</v>
      </c>
      <c r="H149" s="354">
        <v>0</v>
      </c>
      <c r="I149" s="1740"/>
      <c r="J149" s="478" t="s">
        <v>2502</v>
      </c>
      <c r="K149" s="1743"/>
      <c r="L149" s="844"/>
    </row>
    <row r="150" spans="1:12" ht="16.5" customHeight="1" x14ac:dyDescent="0.2">
      <c r="A150" s="1707"/>
      <c r="B150" s="1709"/>
      <c r="C150" s="1859" t="s">
        <v>2097</v>
      </c>
      <c r="D150" s="1734">
        <v>0.08</v>
      </c>
      <c r="E150" s="1724" t="s">
        <v>1153</v>
      </c>
      <c r="F150" s="397" t="s">
        <v>1154</v>
      </c>
      <c r="G150" s="710" t="s">
        <v>1155</v>
      </c>
      <c r="H150" s="223">
        <v>0</v>
      </c>
      <c r="I150" s="441"/>
      <c r="J150" s="421"/>
      <c r="K150" s="506">
        <f>IF(I150="X",0,0)</f>
        <v>0</v>
      </c>
      <c r="L150" s="844"/>
    </row>
    <row r="151" spans="1:12" ht="15" customHeight="1" x14ac:dyDescent="0.2">
      <c r="A151" s="1707"/>
      <c r="B151" s="1709"/>
      <c r="C151" s="1860"/>
      <c r="D151" s="1735"/>
      <c r="E151" s="1725"/>
      <c r="F151" s="39" t="s">
        <v>1156</v>
      </c>
      <c r="G151" s="708" t="s">
        <v>411</v>
      </c>
      <c r="H151" s="223">
        <v>0.4</v>
      </c>
      <c r="I151" s="161" t="s">
        <v>167</v>
      </c>
      <c r="J151" s="1716" t="s">
        <v>2503</v>
      </c>
      <c r="K151" s="507">
        <f>IF(I151="X",40%,0)</f>
        <v>0.4</v>
      </c>
      <c r="L151" s="844"/>
    </row>
    <row r="152" spans="1:12" ht="24" x14ac:dyDescent="0.2">
      <c r="A152" s="1707"/>
      <c r="B152" s="1709"/>
      <c r="C152" s="1860"/>
      <c r="D152" s="1735"/>
      <c r="E152" s="1725"/>
      <c r="F152" s="39" t="s">
        <v>1157</v>
      </c>
      <c r="G152" s="708" t="s">
        <v>1158</v>
      </c>
      <c r="H152" s="223">
        <v>0.2</v>
      </c>
      <c r="I152" s="161"/>
      <c r="J152" s="1716"/>
      <c r="K152" s="507">
        <f>IF(I152="X",20%,0)</f>
        <v>0</v>
      </c>
      <c r="L152" s="844"/>
    </row>
    <row r="153" spans="1:12" ht="15" customHeight="1" x14ac:dyDescent="0.2">
      <c r="A153" s="1707"/>
      <c r="B153" s="1709"/>
      <c r="C153" s="1860"/>
      <c r="D153" s="1735"/>
      <c r="E153" s="1725"/>
      <c r="F153" s="39" t="s">
        <v>1159</v>
      </c>
      <c r="G153" s="708" t="s">
        <v>1099</v>
      </c>
      <c r="H153" s="223">
        <v>0.2</v>
      </c>
      <c r="I153" s="161"/>
      <c r="J153" s="419"/>
      <c r="K153" s="507">
        <f t="shared" ref="K153:K154" si="8">IF(I153="X",20%,0)</f>
        <v>0</v>
      </c>
      <c r="L153" s="844"/>
    </row>
    <row r="154" spans="1:12" ht="15.75" customHeight="1" thickBot="1" x14ac:dyDescent="0.25">
      <c r="A154" s="1707"/>
      <c r="B154" s="1709"/>
      <c r="C154" s="1860"/>
      <c r="D154" s="1735"/>
      <c r="E154" s="1751"/>
      <c r="F154" s="406" t="s">
        <v>1160</v>
      </c>
      <c r="G154" s="709" t="s">
        <v>1044</v>
      </c>
      <c r="H154" s="220">
        <v>0.2</v>
      </c>
      <c r="I154" s="165"/>
      <c r="J154" s="497"/>
      <c r="K154" s="508">
        <f t="shared" si="8"/>
        <v>0</v>
      </c>
      <c r="L154" s="844"/>
    </row>
    <row r="155" spans="1:12" ht="15.75" customHeight="1" thickBot="1" x14ac:dyDescent="0.25">
      <c r="A155" s="1707"/>
      <c r="B155" s="1709"/>
      <c r="C155" s="1860"/>
      <c r="D155" s="1736"/>
      <c r="E155" s="1737" t="s">
        <v>2467</v>
      </c>
      <c r="F155" s="1715"/>
      <c r="G155" s="1715"/>
      <c r="H155" s="1715"/>
      <c r="I155" s="1715"/>
      <c r="J155" s="1715"/>
      <c r="K155" s="433">
        <f>SUM(K150:K154)</f>
        <v>0.4</v>
      </c>
      <c r="L155" s="844"/>
    </row>
    <row r="156" spans="1:12" ht="12" customHeight="1" x14ac:dyDescent="0.2">
      <c r="A156" s="1707"/>
      <c r="B156" s="1709"/>
      <c r="C156" s="1860"/>
      <c r="D156" s="1752">
        <v>0.06</v>
      </c>
      <c r="E156" s="1748" t="s">
        <v>1161</v>
      </c>
      <c r="F156" s="399" t="s">
        <v>1162</v>
      </c>
      <c r="G156" s="704" t="s">
        <v>1163</v>
      </c>
      <c r="H156" s="223">
        <v>0</v>
      </c>
      <c r="I156" s="441"/>
      <c r="J156" s="421"/>
      <c r="K156" s="506">
        <f>IF(I156="X",0,0)</f>
        <v>0</v>
      </c>
      <c r="L156" s="844"/>
    </row>
    <row r="157" spans="1:12" ht="24" x14ac:dyDescent="0.2">
      <c r="A157" s="1707"/>
      <c r="B157" s="1709"/>
      <c r="C157" s="1860"/>
      <c r="D157" s="1753"/>
      <c r="E157" s="1749"/>
      <c r="F157" s="400" t="s">
        <v>1164</v>
      </c>
      <c r="G157" s="705" t="s">
        <v>1165</v>
      </c>
      <c r="H157" s="223">
        <v>0.1</v>
      </c>
      <c r="I157" s="161" t="s">
        <v>167</v>
      </c>
      <c r="J157" s="419"/>
      <c r="K157" s="508">
        <f>IF(I157="X",10%,0)</f>
        <v>0.1</v>
      </c>
      <c r="L157" s="844"/>
    </row>
    <row r="158" spans="1:12" ht="36" x14ac:dyDescent="0.2">
      <c r="A158" s="1707"/>
      <c r="B158" s="1709"/>
      <c r="C158" s="1860"/>
      <c r="D158" s="1753"/>
      <c r="E158" s="1749"/>
      <c r="F158" s="400" t="s">
        <v>1166</v>
      </c>
      <c r="G158" s="705" t="s">
        <v>1167</v>
      </c>
      <c r="H158" s="223">
        <v>0.1</v>
      </c>
      <c r="I158" s="161" t="s">
        <v>167</v>
      </c>
      <c r="J158" s="419"/>
      <c r="K158" s="508">
        <f>IF(I158="X",10%,0)</f>
        <v>0.1</v>
      </c>
      <c r="L158" s="844"/>
    </row>
    <row r="159" spans="1:12" ht="36" x14ac:dyDescent="0.2">
      <c r="A159" s="1707"/>
      <c r="B159" s="1709"/>
      <c r="C159" s="1860"/>
      <c r="D159" s="1753"/>
      <c r="E159" s="1749"/>
      <c r="F159" s="400" t="s">
        <v>1168</v>
      </c>
      <c r="G159" s="705" t="s">
        <v>1169</v>
      </c>
      <c r="H159" s="223">
        <v>0.14000000000000001</v>
      </c>
      <c r="I159" s="161" t="s">
        <v>167</v>
      </c>
      <c r="J159" s="419"/>
      <c r="K159" s="508">
        <f>IF(I159="X",14%,0)</f>
        <v>0.14000000000000001</v>
      </c>
      <c r="L159" s="844"/>
    </row>
    <row r="160" spans="1:12" ht="24" x14ac:dyDescent="0.2">
      <c r="A160" s="1707"/>
      <c r="B160" s="1709"/>
      <c r="C160" s="1860"/>
      <c r="D160" s="1753"/>
      <c r="E160" s="1749"/>
      <c r="F160" s="400" t="s">
        <v>1170</v>
      </c>
      <c r="G160" s="705" t="s">
        <v>1171</v>
      </c>
      <c r="H160" s="223">
        <v>0.1</v>
      </c>
      <c r="I160" s="161" t="s">
        <v>167</v>
      </c>
      <c r="J160" s="1716" t="s">
        <v>2504</v>
      </c>
      <c r="K160" s="508">
        <f>IF(I160="X",10%,0)</f>
        <v>0.1</v>
      </c>
      <c r="L160" s="844"/>
    </row>
    <row r="161" spans="1:12" ht="24" x14ac:dyDescent="0.2">
      <c r="A161" s="1707"/>
      <c r="B161" s="1709"/>
      <c r="C161" s="1860"/>
      <c r="D161" s="1753"/>
      <c r="E161" s="1749"/>
      <c r="F161" s="400" t="s">
        <v>1172</v>
      </c>
      <c r="G161" s="705" t="s">
        <v>1173</v>
      </c>
      <c r="H161" s="223">
        <v>0.14000000000000001</v>
      </c>
      <c r="I161" s="161" t="s">
        <v>167</v>
      </c>
      <c r="J161" s="1716"/>
      <c r="K161" s="508">
        <f>IF(I161="X",14%,0)</f>
        <v>0.14000000000000001</v>
      </c>
      <c r="L161" s="844"/>
    </row>
    <row r="162" spans="1:12" ht="24" x14ac:dyDescent="0.2">
      <c r="A162" s="1707"/>
      <c r="B162" s="1709"/>
      <c r="C162" s="1860"/>
      <c r="D162" s="1753"/>
      <c r="E162" s="1749"/>
      <c r="F162" s="400" t="s">
        <v>1174</v>
      </c>
      <c r="G162" s="705" t="s">
        <v>1175</v>
      </c>
      <c r="H162" s="223">
        <v>0.12</v>
      </c>
      <c r="I162" s="161" t="s">
        <v>167</v>
      </c>
      <c r="J162" s="419"/>
      <c r="K162" s="508">
        <f>IF(I162="X",12%,0)</f>
        <v>0.12</v>
      </c>
      <c r="L162" s="844"/>
    </row>
    <row r="163" spans="1:12" ht="15" customHeight="1" x14ac:dyDescent="0.2">
      <c r="A163" s="1707"/>
      <c r="B163" s="1709"/>
      <c r="C163" s="1860"/>
      <c r="D163" s="1753"/>
      <c r="E163" s="1749"/>
      <c r="F163" s="400" t="s">
        <v>1176</v>
      </c>
      <c r="G163" s="705" t="s">
        <v>1177</v>
      </c>
      <c r="H163" s="223">
        <v>0.1</v>
      </c>
      <c r="I163" s="161" t="s">
        <v>167</v>
      </c>
      <c r="J163" s="419"/>
      <c r="K163" s="508">
        <f>IF(I163="X",10%,0)</f>
        <v>0.1</v>
      </c>
      <c r="L163" s="844"/>
    </row>
    <row r="164" spans="1:12" ht="24" x14ac:dyDescent="0.2">
      <c r="A164" s="1707"/>
      <c r="B164" s="1709"/>
      <c r="C164" s="1860"/>
      <c r="D164" s="1753"/>
      <c r="E164" s="1749"/>
      <c r="F164" s="400" t="s">
        <v>1178</v>
      </c>
      <c r="G164" s="705" t="s">
        <v>1179</v>
      </c>
      <c r="H164" s="223">
        <v>0.1</v>
      </c>
      <c r="I164" s="161" t="s">
        <v>167</v>
      </c>
      <c r="J164" s="419"/>
      <c r="K164" s="508">
        <f t="shared" ref="K164:K165" si="9">IF(I164="X",10%,0)</f>
        <v>0.1</v>
      </c>
      <c r="L164" s="844"/>
    </row>
    <row r="165" spans="1:12" ht="24.75" thickBot="1" x14ac:dyDescent="0.25">
      <c r="A165" s="1707"/>
      <c r="B165" s="1709"/>
      <c r="C165" s="1860"/>
      <c r="D165" s="1753"/>
      <c r="E165" s="1750"/>
      <c r="F165" s="401" t="s">
        <v>1180</v>
      </c>
      <c r="G165" s="706" t="s">
        <v>1181</v>
      </c>
      <c r="H165" s="223">
        <v>0.1</v>
      </c>
      <c r="I165" s="376"/>
      <c r="J165" s="497"/>
      <c r="K165" s="508">
        <f t="shared" si="9"/>
        <v>0</v>
      </c>
      <c r="L165" s="844"/>
    </row>
    <row r="166" spans="1:12" ht="15.75" customHeight="1" thickBot="1" x14ac:dyDescent="0.25">
      <c r="A166" s="1707"/>
      <c r="B166" s="1709"/>
      <c r="C166" s="1860"/>
      <c r="D166" s="1754"/>
      <c r="E166" s="1720" t="s">
        <v>2467</v>
      </c>
      <c r="F166" s="1721"/>
      <c r="G166" s="1721"/>
      <c r="H166" s="1721"/>
      <c r="I166" s="1721"/>
      <c r="J166" s="1721"/>
      <c r="K166" s="433">
        <f>SUM(K156:K165)</f>
        <v>0.9</v>
      </c>
      <c r="L166" s="844"/>
    </row>
    <row r="167" spans="1:12" ht="12" customHeight="1" x14ac:dyDescent="0.2">
      <c r="A167" s="1707"/>
      <c r="B167" s="1709"/>
      <c r="C167" s="1860"/>
      <c r="D167" s="1734">
        <v>0.06</v>
      </c>
      <c r="E167" s="1724" t="s">
        <v>1182</v>
      </c>
      <c r="F167" s="397" t="s">
        <v>1183</v>
      </c>
      <c r="G167" s="710" t="s">
        <v>1184</v>
      </c>
      <c r="H167" s="223">
        <v>0</v>
      </c>
      <c r="I167" s="441"/>
      <c r="J167" s="421"/>
      <c r="K167" s="506">
        <f>IF(I167="X",0,0)</f>
        <v>0</v>
      </c>
      <c r="L167" s="844"/>
    </row>
    <row r="168" spans="1:12" ht="24" x14ac:dyDescent="0.2">
      <c r="A168" s="1707"/>
      <c r="B168" s="1709"/>
      <c r="C168" s="1860"/>
      <c r="D168" s="1735"/>
      <c r="E168" s="1725"/>
      <c r="F168" s="39" t="s">
        <v>1185</v>
      </c>
      <c r="G168" s="708" t="s">
        <v>1186</v>
      </c>
      <c r="H168" s="223">
        <v>0.4</v>
      </c>
      <c r="I168" s="161" t="s">
        <v>2785</v>
      </c>
      <c r="J168" s="419"/>
      <c r="K168" s="508">
        <f>IF(I168="X",40%,0)</f>
        <v>0.4</v>
      </c>
      <c r="L168" s="844" t="s">
        <v>2825</v>
      </c>
    </row>
    <row r="169" spans="1:12" ht="15" customHeight="1" x14ac:dyDescent="0.2">
      <c r="A169" s="1707"/>
      <c r="B169" s="1709"/>
      <c r="C169" s="1860"/>
      <c r="D169" s="1735"/>
      <c r="E169" s="1725"/>
      <c r="F169" s="39" t="s">
        <v>1187</v>
      </c>
      <c r="G169" s="708" t="s">
        <v>1188</v>
      </c>
      <c r="H169" s="223">
        <v>0.15</v>
      </c>
      <c r="I169" s="161"/>
      <c r="J169" s="1716" t="s">
        <v>2506</v>
      </c>
      <c r="K169" s="508">
        <f>IF(I169="X",15%,0)</f>
        <v>0</v>
      </c>
      <c r="L169" s="844"/>
    </row>
    <row r="170" spans="1:12" ht="15" customHeight="1" x14ac:dyDescent="0.2">
      <c r="A170" s="1707"/>
      <c r="B170" s="1709"/>
      <c r="C170" s="1860"/>
      <c r="D170" s="1735"/>
      <c r="E170" s="1725"/>
      <c r="F170" s="39" t="s">
        <v>1189</v>
      </c>
      <c r="G170" s="708" t="s">
        <v>1190</v>
      </c>
      <c r="H170" s="223">
        <v>0.15</v>
      </c>
      <c r="I170" s="161"/>
      <c r="J170" s="1716"/>
      <c r="K170" s="508">
        <f t="shared" ref="K170:K172" si="10">IF(I170="X",15%,0)</f>
        <v>0</v>
      </c>
      <c r="L170" s="844"/>
    </row>
    <row r="171" spans="1:12" ht="15" customHeight="1" x14ac:dyDescent="0.2">
      <c r="A171" s="1707"/>
      <c r="B171" s="1709"/>
      <c r="C171" s="1860"/>
      <c r="D171" s="1735"/>
      <c r="E171" s="1725"/>
      <c r="F171" s="39" t="s">
        <v>1191</v>
      </c>
      <c r="G171" s="708" t="s">
        <v>1192</v>
      </c>
      <c r="H171" s="223">
        <v>0.15</v>
      </c>
      <c r="I171" s="161"/>
      <c r="J171" s="419"/>
      <c r="K171" s="508">
        <f t="shared" si="10"/>
        <v>0</v>
      </c>
      <c r="L171" s="844"/>
    </row>
    <row r="172" spans="1:12" ht="15.75" customHeight="1" thickBot="1" x14ac:dyDescent="0.25">
      <c r="A172" s="1707"/>
      <c r="B172" s="1709"/>
      <c r="C172" s="1860"/>
      <c r="D172" s="1735"/>
      <c r="E172" s="1726"/>
      <c r="F172" s="398" t="s">
        <v>1193</v>
      </c>
      <c r="G172" s="713" t="s">
        <v>1194</v>
      </c>
      <c r="H172" s="223">
        <v>0.15</v>
      </c>
      <c r="I172" s="376"/>
      <c r="J172" s="497"/>
      <c r="K172" s="508">
        <f t="shared" si="10"/>
        <v>0</v>
      </c>
      <c r="L172" s="844"/>
    </row>
    <row r="173" spans="1:12" ht="15" customHeight="1" thickBot="1" x14ac:dyDescent="0.25">
      <c r="A173" s="1707"/>
      <c r="B173" s="1709"/>
      <c r="C173" s="1861"/>
      <c r="D173" s="1736"/>
      <c r="E173" s="1737" t="s">
        <v>2467</v>
      </c>
      <c r="F173" s="1715"/>
      <c r="G173" s="1715"/>
      <c r="H173" s="1715"/>
      <c r="I173" s="1715"/>
      <c r="J173" s="1715"/>
      <c r="K173" s="433">
        <f>SUM(K167:K172)</f>
        <v>0.4</v>
      </c>
      <c r="L173" s="844"/>
    </row>
    <row r="174" spans="1:12" ht="15.75" customHeight="1" thickBot="1" x14ac:dyDescent="0.25">
      <c r="A174" s="1707"/>
      <c r="B174" s="1710"/>
      <c r="C174" s="1842" t="s">
        <v>2505</v>
      </c>
      <c r="D174" s="1842"/>
      <c r="E174" s="1842"/>
      <c r="F174" s="1842"/>
      <c r="G174" s="1842"/>
      <c r="H174" s="1842"/>
      <c r="I174" s="1842"/>
      <c r="J174" s="1843"/>
      <c r="K174" s="511">
        <f>(K88*0.05)+(K92*0.05)+(K93*0.04)+(K103*0.04)+(K107*0.072)+(K114*0.072)+(K118*0.072)+(K119*0.072)+(K124*0.072)+(K129*0.06)+(K133*0.14)+(K145*0.05)+(K147*0.05)+(K155*0.08)+(K166*0.06)+(K173*0.06)</f>
        <v>0.77420000000000022</v>
      </c>
      <c r="L174" s="844"/>
    </row>
    <row r="175" spans="1:12" ht="27" customHeight="1" x14ac:dyDescent="0.2">
      <c r="A175" s="1638" t="s">
        <v>2086</v>
      </c>
      <c r="B175" s="1708">
        <v>0.05</v>
      </c>
      <c r="C175" s="1856"/>
      <c r="D175" s="1727">
        <v>0.1</v>
      </c>
      <c r="E175" s="1698" t="s">
        <v>1195</v>
      </c>
      <c r="F175" s="392" t="s">
        <v>82</v>
      </c>
      <c r="G175" s="723" t="s">
        <v>388</v>
      </c>
      <c r="H175" s="353">
        <v>1</v>
      </c>
      <c r="I175" s="1685" t="s">
        <v>85</v>
      </c>
      <c r="J175" s="477" t="s">
        <v>2510</v>
      </c>
      <c r="K175" s="1683">
        <f t="shared" ref="K175" si="11">IF(I175="Si",100%,0)</f>
        <v>0</v>
      </c>
      <c r="L175" s="844"/>
    </row>
    <row r="176" spans="1:12" ht="20.25" customHeight="1" thickBot="1" x14ac:dyDescent="0.25">
      <c r="A176" s="1638"/>
      <c r="B176" s="1709"/>
      <c r="C176" s="1857"/>
      <c r="D176" s="1728"/>
      <c r="E176" s="1756"/>
      <c r="F176" s="393" t="s">
        <v>84</v>
      </c>
      <c r="G176" s="724" t="s">
        <v>85</v>
      </c>
      <c r="H176" s="354">
        <v>0</v>
      </c>
      <c r="I176" s="1697"/>
      <c r="J176" s="436" t="s">
        <v>1226</v>
      </c>
      <c r="K176" s="1684"/>
      <c r="L176" s="844"/>
    </row>
    <row r="177" spans="1:12" ht="25.5" customHeight="1" x14ac:dyDescent="0.2">
      <c r="A177" s="1638"/>
      <c r="B177" s="1709"/>
      <c r="C177" s="1857"/>
      <c r="D177" s="1729">
        <v>0.4</v>
      </c>
      <c r="E177" s="1732" t="s">
        <v>1196</v>
      </c>
      <c r="F177" s="394" t="s">
        <v>86</v>
      </c>
      <c r="G177" s="698" t="s">
        <v>388</v>
      </c>
      <c r="H177" s="353">
        <v>1</v>
      </c>
      <c r="I177" s="1685" t="s">
        <v>85</v>
      </c>
      <c r="J177" s="477" t="s">
        <v>2509</v>
      </c>
      <c r="K177" s="1683">
        <f t="shared" ref="K177" si="12">IF(I177="Si",100%,0)</f>
        <v>0</v>
      </c>
      <c r="L177" s="844"/>
    </row>
    <row r="178" spans="1:12" ht="20.25" customHeight="1" thickBot="1" x14ac:dyDescent="0.25">
      <c r="A178" s="1638"/>
      <c r="B178" s="1709"/>
      <c r="C178" s="1857"/>
      <c r="D178" s="1730"/>
      <c r="E178" s="1733"/>
      <c r="F178" s="395" t="s">
        <v>87</v>
      </c>
      <c r="G178" s="699" t="s">
        <v>85</v>
      </c>
      <c r="H178" s="354">
        <v>0</v>
      </c>
      <c r="I178" s="1697"/>
      <c r="J178" s="436" t="s">
        <v>2461</v>
      </c>
      <c r="K178" s="1684"/>
      <c r="L178" s="844"/>
    </row>
    <row r="179" spans="1:12" ht="21" customHeight="1" x14ac:dyDescent="0.2">
      <c r="A179" s="1638"/>
      <c r="B179" s="1709"/>
      <c r="C179" s="1857"/>
      <c r="D179" s="1727">
        <v>0.1</v>
      </c>
      <c r="E179" s="1698" t="s">
        <v>1197</v>
      </c>
      <c r="F179" s="392" t="s">
        <v>95</v>
      </c>
      <c r="G179" s="723" t="s">
        <v>388</v>
      </c>
      <c r="H179" s="353">
        <v>1</v>
      </c>
      <c r="I179" s="1685" t="s">
        <v>85</v>
      </c>
      <c r="J179" s="477" t="s">
        <v>2508</v>
      </c>
      <c r="K179" s="1683">
        <f t="shared" ref="K179" si="13">IF(I179="Si",100%,0)</f>
        <v>0</v>
      </c>
      <c r="L179" s="844"/>
    </row>
    <row r="180" spans="1:12" ht="15.75" customHeight="1" thickBot="1" x14ac:dyDescent="0.25">
      <c r="A180" s="1638"/>
      <c r="B180" s="1709"/>
      <c r="C180" s="1857"/>
      <c r="D180" s="1728"/>
      <c r="E180" s="1756"/>
      <c r="F180" s="393" t="s">
        <v>97</v>
      </c>
      <c r="G180" s="724" t="s">
        <v>85</v>
      </c>
      <c r="H180" s="354">
        <v>0</v>
      </c>
      <c r="I180" s="1697"/>
      <c r="J180" s="436" t="s">
        <v>2463</v>
      </c>
      <c r="K180" s="1684"/>
      <c r="L180" s="844"/>
    </row>
    <row r="181" spans="1:12" ht="21" customHeight="1" x14ac:dyDescent="0.2">
      <c r="A181" s="1638"/>
      <c r="B181" s="1709"/>
      <c r="C181" s="1857"/>
      <c r="D181" s="1729">
        <v>0.4</v>
      </c>
      <c r="E181" s="1732" t="s">
        <v>1198</v>
      </c>
      <c r="F181" s="394" t="s">
        <v>99</v>
      </c>
      <c r="G181" s="698" t="s">
        <v>388</v>
      </c>
      <c r="H181" s="353">
        <v>1</v>
      </c>
      <c r="I181" s="1685" t="s">
        <v>85</v>
      </c>
      <c r="J181" s="477" t="s">
        <v>2507</v>
      </c>
      <c r="K181" s="1683">
        <f t="shared" ref="K181" si="14">IF(I181="Si",100%,0)</f>
        <v>0</v>
      </c>
      <c r="L181" s="844"/>
    </row>
    <row r="182" spans="1:12" ht="21" customHeight="1" thickBot="1" x14ac:dyDescent="0.25">
      <c r="A182" s="1638"/>
      <c r="B182" s="1709"/>
      <c r="C182" s="1858"/>
      <c r="D182" s="1731"/>
      <c r="E182" s="1823"/>
      <c r="F182" s="434" t="s">
        <v>101</v>
      </c>
      <c r="G182" s="725" t="s">
        <v>85</v>
      </c>
      <c r="H182" s="415">
        <v>0</v>
      </c>
      <c r="I182" s="1697"/>
      <c r="J182" s="436" t="s">
        <v>1231</v>
      </c>
      <c r="K182" s="1684"/>
      <c r="L182" s="844"/>
    </row>
    <row r="183" spans="1:12" ht="15.75" thickBot="1" x14ac:dyDescent="0.25">
      <c r="A183" s="1638"/>
      <c r="B183" s="1709"/>
      <c r="C183" s="1824" t="s">
        <v>1199</v>
      </c>
      <c r="D183" s="1825"/>
      <c r="E183" s="1825"/>
      <c r="F183" s="1825"/>
      <c r="G183" s="1825"/>
      <c r="H183" s="1825"/>
      <c r="I183" s="1825"/>
      <c r="J183" s="1826"/>
      <c r="K183" s="517">
        <f>(K175*0.1)+(K177*0.4)+(K179*0.1)+(K181*0.4)</f>
        <v>0</v>
      </c>
      <c r="L183" s="1074"/>
    </row>
    <row r="184" spans="1:12" ht="19.5" customHeight="1" x14ac:dyDescent="0.2">
      <c r="A184" s="1707" t="s">
        <v>1200</v>
      </c>
      <c r="B184" s="1708">
        <v>0.05</v>
      </c>
      <c r="C184" s="1856"/>
      <c r="D184" s="1711">
        <v>0.15</v>
      </c>
      <c r="E184" s="1722" t="s">
        <v>1201</v>
      </c>
      <c r="F184" s="392" t="s">
        <v>82</v>
      </c>
      <c r="G184" s="696" t="s">
        <v>388</v>
      </c>
      <c r="H184" s="353">
        <v>1</v>
      </c>
      <c r="I184" s="1685" t="s">
        <v>85</v>
      </c>
      <c r="J184" s="435" t="s">
        <v>2510</v>
      </c>
      <c r="K184" s="1683">
        <f t="shared" ref="K184" si="15">IF(I184="Si",100%,0)</f>
        <v>0</v>
      </c>
      <c r="L184" s="844"/>
    </row>
    <row r="185" spans="1:12" ht="15" customHeight="1" thickBot="1" x14ac:dyDescent="0.25">
      <c r="A185" s="1707"/>
      <c r="B185" s="1709"/>
      <c r="C185" s="1857"/>
      <c r="D185" s="1712"/>
      <c r="E185" s="1723"/>
      <c r="F185" s="393" t="s">
        <v>84</v>
      </c>
      <c r="G185" s="697" t="s">
        <v>85</v>
      </c>
      <c r="H185" s="354">
        <v>0</v>
      </c>
      <c r="I185" s="1697"/>
      <c r="J185" s="436" t="s">
        <v>1226</v>
      </c>
      <c r="K185" s="1687"/>
      <c r="L185" s="844"/>
    </row>
    <row r="186" spans="1:12" ht="24" customHeight="1" x14ac:dyDescent="0.2">
      <c r="A186" s="1707"/>
      <c r="B186" s="1709"/>
      <c r="C186" s="1857"/>
      <c r="D186" s="1713">
        <v>0.15</v>
      </c>
      <c r="E186" s="1724" t="s">
        <v>1202</v>
      </c>
      <c r="F186" s="397" t="s">
        <v>86</v>
      </c>
      <c r="G186" s="710" t="s">
        <v>1203</v>
      </c>
      <c r="H186" s="223">
        <v>0.6</v>
      </c>
      <c r="I186" s="441"/>
      <c r="J186" s="421"/>
      <c r="K186" s="516">
        <f>IF(I186="X",60%,0)</f>
        <v>0</v>
      </c>
      <c r="L186" s="844"/>
    </row>
    <row r="187" spans="1:12" ht="15" customHeight="1" x14ac:dyDescent="0.2">
      <c r="A187" s="1707"/>
      <c r="B187" s="1709"/>
      <c r="C187" s="1857"/>
      <c r="D187" s="1714"/>
      <c r="E187" s="1725"/>
      <c r="F187" s="39" t="s">
        <v>87</v>
      </c>
      <c r="G187" s="708" t="s">
        <v>1204</v>
      </c>
      <c r="H187" s="223">
        <v>0.2</v>
      </c>
      <c r="I187" s="161"/>
      <c r="J187" s="419"/>
      <c r="K187" s="508">
        <f>IF(I187="X",20%,0)</f>
        <v>0</v>
      </c>
      <c r="L187" s="844"/>
    </row>
    <row r="188" spans="1:12" ht="15" customHeight="1" x14ac:dyDescent="0.2">
      <c r="A188" s="1707"/>
      <c r="B188" s="1709"/>
      <c r="C188" s="1857"/>
      <c r="D188" s="1714"/>
      <c r="E188" s="1725"/>
      <c r="F188" s="39" t="s">
        <v>95</v>
      </c>
      <c r="G188" s="708" t="s">
        <v>1205</v>
      </c>
      <c r="H188" s="223">
        <v>0.1</v>
      </c>
      <c r="I188" s="161"/>
      <c r="J188" s="1716" t="s">
        <v>2511</v>
      </c>
      <c r="K188" s="508">
        <f>IF(I188="X",10%,0)</f>
        <v>0</v>
      </c>
      <c r="L188" s="844"/>
    </row>
    <row r="189" spans="1:12" ht="15" customHeight="1" x14ac:dyDescent="0.2">
      <c r="A189" s="1707"/>
      <c r="B189" s="1709"/>
      <c r="C189" s="1857"/>
      <c r="D189" s="1714"/>
      <c r="E189" s="1725"/>
      <c r="F189" s="39" t="s">
        <v>97</v>
      </c>
      <c r="G189" s="708" t="s">
        <v>1206</v>
      </c>
      <c r="H189" s="223">
        <v>0.1</v>
      </c>
      <c r="I189" s="161"/>
      <c r="J189" s="1716"/>
      <c r="K189" s="508">
        <f>IF(I189="X",10%,0)</f>
        <v>0</v>
      </c>
      <c r="L189" s="844"/>
    </row>
    <row r="190" spans="1:12" ht="15" customHeight="1" x14ac:dyDescent="0.2">
      <c r="A190" s="1707"/>
      <c r="B190" s="1709"/>
      <c r="C190" s="1857"/>
      <c r="D190" s="1714"/>
      <c r="E190" s="1725"/>
      <c r="F190" s="39" t="s">
        <v>99</v>
      </c>
      <c r="G190" s="708" t="s">
        <v>1207</v>
      </c>
      <c r="H190" s="223">
        <v>0</v>
      </c>
      <c r="I190" s="161"/>
      <c r="J190" s="419"/>
      <c r="K190" s="508">
        <f>IF(I190="X",0,0)</f>
        <v>0</v>
      </c>
      <c r="L190" s="844"/>
    </row>
    <row r="191" spans="1:12" ht="15.75" customHeight="1" thickBot="1" x14ac:dyDescent="0.25">
      <c r="A191" s="1707"/>
      <c r="B191" s="1709"/>
      <c r="C191" s="1857"/>
      <c r="D191" s="1714"/>
      <c r="E191" s="1726"/>
      <c r="F191" s="398" t="s">
        <v>101</v>
      </c>
      <c r="G191" s="713" t="s">
        <v>917</v>
      </c>
      <c r="H191" s="223">
        <v>0</v>
      </c>
      <c r="I191" s="376" t="s">
        <v>167</v>
      </c>
      <c r="J191" s="497"/>
      <c r="K191" s="508">
        <f>IF(I191="X",0%,0)</f>
        <v>0</v>
      </c>
      <c r="L191" s="844"/>
    </row>
    <row r="192" spans="1:12" ht="15.75" customHeight="1" thickBot="1" x14ac:dyDescent="0.25">
      <c r="A192" s="1707"/>
      <c r="B192" s="1709"/>
      <c r="C192" s="1857"/>
      <c r="D192" s="1690"/>
      <c r="E192" s="1715" t="s">
        <v>2467</v>
      </c>
      <c r="F192" s="1715"/>
      <c r="G192" s="1715"/>
      <c r="H192" s="1715"/>
      <c r="I192" s="1715"/>
      <c r="J192" s="1715"/>
      <c r="K192" s="433">
        <f>SUM(K186:K191)</f>
        <v>0</v>
      </c>
      <c r="L192" s="844"/>
    </row>
    <row r="193" spans="1:12" ht="12" customHeight="1" thickBot="1" x14ac:dyDescent="0.25">
      <c r="A193" s="1707"/>
      <c r="B193" s="1709"/>
      <c r="C193" s="1857"/>
      <c r="D193" s="1717">
        <v>0.2</v>
      </c>
      <c r="E193" s="1748" t="s">
        <v>1208</v>
      </c>
      <c r="F193" s="399" t="s">
        <v>103</v>
      </c>
      <c r="G193" s="704" t="s">
        <v>1209</v>
      </c>
      <c r="H193" s="223">
        <v>0.2</v>
      </c>
      <c r="I193" s="441" t="s">
        <v>167</v>
      </c>
      <c r="J193" s="421"/>
      <c r="K193" s="508">
        <f>IF(I193="X",20%,0)</f>
        <v>0.2</v>
      </c>
      <c r="L193" s="844"/>
    </row>
    <row r="194" spans="1:12" ht="15" customHeight="1" thickBot="1" x14ac:dyDescent="0.25">
      <c r="A194" s="1707"/>
      <c r="B194" s="1709"/>
      <c r="C194" s="1857"/>
      <c r="D194" s="1718"/>
      <c r="E194" s="1749"/>
      <c r="F194" s="400" t="s">
        <v>151</v>
      </c>
      <c r="G194" s="705" t="s">
        <v>1210</v>
      </c>
      <c r="H194" s="223">
        <v>0.2</v>
      </c>
      <c r="I194" s="441" t="s">
        <v>167</v>
      </c>
      <c r="J194" s="419"/>
      <c r="K194" s="508">
        <f>IF(I194="X",20%,0)</f>
        <v>0.2</v>
      </c>
      <c r="L194" s="844"/>
    </row>
    <row r="195" spans="1:12" ht="15" customHeight="1" thickBot="1" x14ac:dyDescent="0.25">
      <c r="A195" s="1707"/>
      <c r="B195" s="1709"/>
      <c r="C195" s="1857"/>
      <c r="D195" s="1718"/>
      <c r="E195" s="1749"/>
      <c r="F195" s="400" t="s">
        <v>152</v>
      </c>
      <c r="G195" s="705" t="s">
        <v>1211</v>
      </c>
      <c r="H195" s="223">
        <v>0.1</v>
      </c>
      <c r="I195" s="441" t="s">
        <v>167</v>
      </c>
      <c r="J195" s="419"/>
      <c r="K195" s="508">
        <f t="shared" ref="K195:K196" si="16">IF(I195="X",10%,0)</f>
        <v>0.1</v>
      </c>
      <c r="L195" s="844"/>
    </row>
    <row r="196" spans="1:12" ht="15" customHeight="1" thickBot="1" x14ac:dyDescent="0.25">
      <c r="A196" s="1707"/>
      <c r="B196" s="1709"/>
      <c r="C196" s="1857"/>
      <c r="D196" s="1718"/>
      <c r="E196" s="1749"/>
      <c r="F196" s="400" t="s">
        <v>218</v>
      </c>
      <c r="G196" s="705" t="s">
        <v>1212</v>
      </c>
      <c r="H196" s="223">
        <v>0.1</v>
      </c>
      <c r="I196" s="441" t="s">
        <v>167</v>
      </c>
      <c r="J196" s="1716" t="s">
        <v>2512</v>
      </c>
      <c r="K196" s="508">
        <f t="shared" si="16"/>
        <v>0.1</v>
      </c>
      <c r="L196" s="844"/>
    </row>
    <row r="197" spans="1:12" ht="15" customHeight="1" thickBot="1" x14ac:dyDescent="0.25">
      <c r="A197" s="1707"/>
      <c r="B197" s="1709"/>
      <c r="C197" s="1857"/>
      <c r="D197" s="1718"/>
      <c r="E197" s="1749"/>
      <c r="F197" s="400" t="s">
        <v>220</v>
      </c>
      <c r="G197" s="705" t="s">
        <v>1213</v>
      </c>
      <c r="H197" s="223">
        <v>0.2</v>
      </c>
      <c r="I197" s="441" t="s">
        <v>167</v>
      </c>
      <c r="J197" s="1716"/>
      <c r="K197" s="508">
        <f t="shared" ref="K197:K198" si="17">IF(I197="X",20%,0)</f>
        <v>0.2</v>
      </c>
      <c r="L197" s="844"/>
    </row>
    <row r="198" spans="1:12" ht="24" x14ac:dyDescent="0.2">
      <c r="A198" s="1707"/>
      <c r="B198" s="1709"/>
      <c r="C198" s="1857"/>
      <c r="D198" s="1718"/>
      <c r="E198" s="1749"/>
      <c r="F198" s="400" t="s">
        <v>222</v>
      </c>
      <c r="G198" s="705" t="s">
        <v>1214</v>
      </c>
      <c r="H198" s="223">
        <v>0.2</v>
      </c>
      <c r="I198" s="441"/>
      <c r="J198" s="419"/>
      <c r="K198" s="508">
        <f t="shared" si="17"/>
        <v>0</v>
      </c>
      <c r="L198" s="844"/>
    </row>
    <row r="199" spans="1:12" ht="15.75" customHeight="1" thickBot="1" x14ac:dyDescent="0.25">
      <c r="A199" s="1707"/>
      <c r="B199" s="1709"/>
      <c r="C199" s="1857"/>
      <c r="D199" s="1718"/>
      <c r="E199" s="1750"/>
      <c r="F199" s="401" t="s">
        <v>224</v>
      </c>
      <c r="G199" s="706" t="s">
        <v>917</v>
      </c>
      <c r="H199" s="223">
        <v>0</v>
      </c>
      <c r="I199" s="376"/>
      <c r="J199" s="497"/>
      <c r="K199" s="501">
        <f>IF(I199="X",0,0)</f>
        <v>0</v>
      </c>
      <c r="L199" s="844"/>
    </row>
    <row r="200" spans="1:12" ht="15.75" customHeight="1" thickBot="1" x14ac:dyDescent="0.25">
      <c r="A200" s="1707"/>
      <c r="B200" s="1709"/>
      <c r="C200" s="1857"/>
      <c r="D200" s="1719"/>
      <c r="E200" s="1720" t="s">
        <v>2467</v>
      </c>
      <c r="F200" s="1721"/>
      <c r="G200" s="1721"/>
      <c r="H200" s="1721"/>
      <c r="I200" s="1721"/>
      <c r="J200" s="1721"/>
      <c r="K200" s="502">
        <f>SUM(K193:K199)</f>
        <v>0.8</v>
      </c>
      <c r="L200" s="844"/>
    </row>
    <row r="201" spans="1:12" ht="24.75" customHeight="1" x14ac:dyDescent="0.2">
      <c r="A201" s="1707"/>
      <c r="B201" s="1709"/>
      <c r="C201" s="1857"/>
      <c r="D201" s="1693">
        <v>0.15</v>
      </c>
      <c r="E201" s="1698" t="s">
        <v>1215</v>
      </c>
      <c r="F201" s="392" t="s">
        <v>226</v>
      </c>
      <c r="G201" s="696" t="s">
        <v>691</v>
      </c>
      <c r="H201" s="353">
        <v>1</v>
      </c>
      <c r="I201" s="1685" t="s">
        <v>388</v>
      </c>
      <c r="J201" s="435" t="s">
        <v>2513</v>
      </c>
      <c r="K201" s="1683">
        <f t="shared" ref="K201" si="18">IF(I201="Si",100%,0)</f>
        <v>1</v>
      </c>
      <c r="L201" s="844"/>
    </row>
    <row r="202" spans="1:12" ht="15.75" customHeight="1" thickBot="1" x14ac:dyDescent="0.25">
      <c r="A202" s="1707"/>
      <c r="B202" s="1709"/>
      <c r="C202" s="1857"/>
      <c r="D202" s="1694"/>
      <c r="E202" s="1699"/>
      <c r="F202" s="432" t="s">
        <v>228</v>
      </c>
      <c r="G202" s="717" t="s">
        <v>85</v>
      </c>
      <c r="H202" s="415">
        <v>0</v>
      </c>
      <c r="I202" s="1697"/>
      <c r="J202" s="436" t="s">
        <v>2514</v>
      </c>
      <c r="K202" s="1684"/>
      <c r="L202" s="844"/>
    </row>
    <row r="203" spans="1:12" ht="12" customHeight="1" x14ac:dyDescent="0.2">
      <c r="A203" s="1707"/>
      <c r="B203" s="1709"/>
      <c r="C203" s="1857"/>
      <c r="D203" s="1688">
        <v>0.2</v>
      </c>
      <c r="E203" s="1700" t="s">
        <v>1216</v>
      </c>
      <c r="F203" s="523" t="s">
        <v>230</v>
      </c>
      <c r="G203" s="726" t="s">
        <v>1217</v>
      </c>
      <c r="H203" s="524">
        <v>0.4</v>
      </c>
      <c r="I203" s="525" t="s">
        <v>167</v>
      </c>
      <c r="J203" s="1866" t="s">
        <v>2536</v>
      </c>
      <c r="K203" s="526">
        <f>IF(I203="X",40%,0)</f>
        <v>0.4</v>
      </c>
      <c r="L203" s="844"/>
    </row>
    <row r="204" spans="1:12" ht="15" customHeight="1" x14ac:dyDescent="0.2">
      <c r="A204" s="1707"/>
      <c r="B204" s="1709"/>
      <c r="C204" s="1857"/>
      <c r="D204" s="1689"/>
      <c r="E204" s="1701"/>
      <c r="F204" s="490" t="s">
        <v>232</v>
      </c>
      <c r="G204" s="727" t="s">
        <v>1218</v>
      </c>
      <c r="H204" s="522">
        <v>0.3</v>
      </c>
      <c r="I204" s="520" t="s">
        <v>167</v>
      </c>
      <c r="J204" s="1867"/>
      <c r="K204" s="527">
        <f>IF(I204="X",30%,0)</f>
        <v>0.3</v>
      </c>
      <c r="L204" s="844"/>
    </row>
    <row r="205" spans="1:12" ht="15.75" customHeight="1" thickBot="1" x14ac:dyDescent="0.25">
      <c r="A205" s="1707"/>
      <c r="B205" s="1709"/>
      <c r="C205" s="1857"/>
      <c r="D205" s="1689"/>
      <c r="E205" s="1702"/>
      <c r="F205" s="528" t="s">
        <v>234</v>
      </c>
      <c r="G205" s="728" t="s">
        <v>1219</v>
      </c>
      <c r="H205" s="529">
        <v>0.3</v>
      </c>
      <c r="I205" s="530" t="s">
        <v>167</v>
      </c>
      <c r="J205" s="1868"/>
      <c r="K205" s="531">
        <f>IF(I205="X",30%,0)</f>
        <v>0.3</v>
      </c>
      <c r="L205" s="844"/>
    </row>
    <row r="206" spans="1:12" ht="15.75" customHeight="1" thickBot="1" x14ac:dyDescent="0.25">
      <c r="A206" s="1707"/>
      <c r="B206" s="1709"/>
      <c r="C206" s="1857"/>
      <c r="D206" s="1690"/>
      <c r="E206" s="1691" t="s">
        <v>2467</v>
      </c>
      <c r="F206" s="1692"/>
      <c r="G206" s="1692"/>
      <c r="H206" s="1692"/>
      <c r="I206" s="1692"/>
      <c r="J206" s="1692"/>
      <c r="K206" s="521">
        <f>SUM(K203:K205)</f>
        <v>1</v>
      </c>
      <c r="L206" s="844"/>
    </row>
    <row r="207" spans="1:12" ht="18.75" customHeight="1" x14ac:dyDescent="0.2">
      <c r="A207" s="1707"/>
      <c r="B207" s="1709"/>
      <c r="C207" s="1857"/>
      <c r="D207" s="1693">
        <v>0.15</v>
      </c>
      <c r="E207" s="1703" t="s">
        <v>1220</v>
      </c>
      <c r="F207" s="392" t="s">
        <v>236</v>
      </c>
      <c r="G207" s="723" t="s">
        <v>388</v>
      </c>
      <c r="H207" s="353">
        <v>1</v>
      </c>
      <c r="I207" s="1685" t="s">
        <v>388</v>
      </c>
      <c r="J207" s="435" t="s">
        <v>2513</v>
      </c>
      <c r="K207" s="1683">
        <f t="shared" ref="K207" si="19">IF(I207="Si",100%,0)</f>
        <v>1</v>
      </c>
      <c r="L207" s="844"/>
    </row>
    <row r="208" spans="1:12" ht="18" customHeight="1" thickBot="1" x14ac:dyDescent="0.25">
      <c r="A208" s="1707"/>
      <c r="B208" s="1709"/>
      <c r="C208" s="1858"/>
      <c r="D208" s="1694"/>
      <c r="E208" s="1704"/>
      <c r="F208" s="393" t="s">
        <v>238</v>
      </c>
      <c r="G208" s="724" t="s">
        <v>85</v>
      </c>
      <c r="H208" s="354">
        <v>0</v>
      </c>
      <c r="I208" s="1686"/>
      <c r="J208" s="437" t="s">
        <v>2514</v>
      </c>
      <c r="K208" s="1687"/>
      <c r="L208" s="844"/>
    </row>
    <row r="209" spans="1:12" ht="12.75" x14ac:dyDescent="0.2">
      <c r="A209" s="1707"/>
      <c r="B209" s="1710"/>
      <c r="C209" s="1705" t="s">
        <v>2095</v>
      </c>
      <c r="D209" s="1705"/>
      <c r="E209" s="1705"/>
      <c r="F209" s="1705"/>
      <c r="G209" s="1705"/>
      <c r="H209" s="1705"/>
      <c r="I209" s="1705"/>
      <c r="J209" s="1706"/>
      <c r="K209" s="518">
        <f>(K184*0.15)+(K192*0.15)+(K200*0.2)+(K201*0.15)+(K206*0.2)+(K207*0.15)</f>
        <v>0.66</v>
      </c>
      <c r="L209" s="844"/>
    </row>
    <row r="210" spans="1:12" ht="15" customHeight="1" thickBot="1" x14ac:dyDescent="0.25">
      <c r="A210" s="1695" t="s">
        <v>2096</v>
      </c>
      <c r="B210" s="1696"/>
      <c r="C210" s="1696"/>
      <c r="D210" s="1696"/>
      <c r="E210" s="1696"/>
      <c r="F210" s="1696"/>
      <c r="G210" s="1696"/>
      <c r="H210" s="1696"/>
      <c r="I210" s="1696" t="s">
        <v>1221</v>
      </c>
      <c r="J210" s="1696"/>
      <c r="K210" s="519">
        <f>IF(((K59*0.3)+(K174*0.6)+(K183*0.05)+(K209*0.05))&gt;1,1,(K59*0.3)+(K174*0.6)+(K183*0.05)+(K209*0.05))</f>
        <v>0.66964500000000016</v>
      </c>
      <c r="L210" s="844"/>
    </row>
    <row r="211" spans="1:12" ht="15" x14ac:dyDescent="0.2">
      <c r="K211" s="85"/>
    </row>
    <row r="212" spans="1:12" x14ac:dyDescent="0.2">
      <c r="A212" s="1547" t="s">
        <v>1964</v>
      </c>
      <c r="B212" s="1548"/>
      <c r="C212" s="1548"/>
      <c r="D212" s="1548"/>
      <c r="E212" s="1548"/>
    </row>
    <row r="213" spans="1:12" x14ac:dyDescent="0.2">
      <c r="A213" s="19"/>
      <c r="B213" s="1546" t="s">
        <v>2010</v>
      </c>
      <c r="C213" s="1546"/>
      <c r="D213" s="1546"/>
      <c r="E213" s="1546"/>
    </row>
    <row r="214" spans="1:12" x14ac:dyDescent="0.2">
      <c r="A214" s="20"/>
      <c r="B214" s="1546" t="s">
        <v>2011</v>
      </c>
      <c r="C214" s="1546"/>
      <c r="D214" s="1546"/>
      <c r="E214" s="1546"/>
    </row>
    <row r="215" spans="1:12" x14ac:dyDescent="0.2">
      <c r="A215" s="12"/>
      <c r="B215" s="1546" t="s">
        <v>2012</v>
      </c>
      <c r="C215" s="1546"/>
      <c r="D215" s="1546"/>
      <c r="E215" s="1546"/>
    </row>
    <row r="216" spans="1:12" x14ac:dyDescent="0.2">
      <c r="A216" s="4"/>
      <c r="B216" s="1546" t="s">
        <v>2098</v>
      </c>
      <c r="C216" s="1546"/>
      <c r="D216" s="1546"/>
      <c r="E216" s="1546"/>
    </row>
    <row r="217" spans="1:12" ht="12.75" thickBot="1" x14ac:dyDescent="0.25"/>
    <row r="218" spans="1:12" ht="12.75" thickBot="1" x14ac:dyDescent="0.25">
      <c r="A218" s="1181" t="s">
        <v>2227</v>
      </c>
      <c r="B218" s="1182"/>
      <c r="C218" s="1182"/>
      <c r="D218" s="1183"/>
    </row>
    <row r="219" spans="1:12" ht="15.75" customHeight="1" thickBot="1" x14ac:dyDescent="0.25">
      <c r="A219" s="94" t="s">
        <v>2228</v>
      </c>
      <c r="B219" s="119" t="s">
        <v>2229</v>
      </c>
      <c r="C219" s="95" t="s">
        <v>2230</v>
      </c>
      <c r="D219" s="95" t="s">
        <v>2231</v>
      </c>
    </row>
    <row r="220" spans="1:12" ht="24.75" thickBot="1" x14ac:dyDescent="0.25">
      <c r="A220" s="96">
        <v>1</v>
      </c>
      <c r="B220" s="97" t="s">
        <v>2232</v>
      </c>
      <c r="C220" s="97" t="s">
        <v>2233</v>
      </c>
      <c r="D220" s="98"/>
    </row>
    <row r="221" spans="1:12" ht="12.75" thickBot="1" x14ac:dyDescent="0.25">
      <c r="A221" s="96">
        <v>2</v>
      </c>
      <c r="B221" s="97" t="s">
        <v>2234</v>
      </c>
      <c r="C221" s="97" t="s">
        <v>2235</v>
      </c>
      <c r="D221" s="99"/>
    </row>
    <row r="222" spans="1:12" ht="16.5" customHeight="1" thickBot="1" x14ac:dyDescent="0.25">
      <c r="A222" s="96">
        <v>3</v>
      </c>
      <c r="B222" s="97" t="s">
        <v>2236</v>
      </c>
      <c r="C222" s="97" t="s">
        <v>2237</v>
      </c>
      <c r="D222" s="100"/>
    </row>
    <row r="223" spans="1:12" ht="12.75" thickBot="1" x14ac:dyDescent="0.25">
      <c r="A223" s="96">
        <v>4</v>
      </c>
      <c r="B223" s="97" t="s">
        <v>2238</v>
      </c>
      <c r="C223" s="97" t="s">
        <v>2239</v>
      </c>
      <c r="D223" s="101"/>
    </row>
    <row r="224" spans="1:12" ht="27" customHeight="1" thickBot="1" x14ac:dyDescent="0.25">
      <c r="A224" s="96">
        <v>5</v>
      </c>
      <c r="B224" s="97" t="s">
        <v>2240</v>
      </c>
      <c r="C224" s="97" t="s">
        <v>2241</v>
      </c>
      <c r="D224" s="102"/>
    </row>
    <row r="225" spans="1:5" ht="31.5" customHeight="1" x14ac:dyDescent="0.2"/>
    <row r="226" spans="1:5" ht="17.25" customHeight="1" x14ac:dyDescent="0.2">
      <c r="A226" s="1609" t="s">
        <v>2288</v>
      </c>
      <c r="B226" s="1610"/>
      <c r="C226" s="1610"/>
      <c r="D226" s="1610"/>
      <c r="E226" s="1611"/>
    </row>
    <row r="227" spans="1:5" ht="30" customHeight="1" x14ac:dyDescent="0.2">
      <c r="A227" s="1393" t="s">
        <v>2056</v>
      </c>
      <c r="B227" s="1394"/>
      <c r="C227" s="1394"/>
      <c r="D227" s="1394"/>
      <c r="E227" s="1395"/>
    </row>
    <row r="228" spans="1:5" ht="18.75" customHeight="1" x14ac:dyDescent="0.2">
      <c r="A228" s="1493" t="s">
        <v>2036</v>
      </c>
      <c r="B228" s="1494"/>
      <c r="C228" s="1494"/>
      <c r="D228" s="1494"/>
      <c r="E228" s="1495"/>
    </row>
    <row r="229" spans="1:5" ht="21.75" customHeight="1" x14ac:dyDescent="0.2">
      <c r="A229" s="1493" t="s">
        <v>2057</v>
      </c>
      <c r="B229" s="1494"/>
      <c r="C229" s="1494"/>
      <c r="D229" s="1494"/>
      <c r="E229" s="1495"/>
    </row>
    <row r="230" spans="1:5" ht="42.75" customHeight="1" x14ac:dyDescent="0.2">
      <c r="A230" s="1393" t="s">
        <v>2058</v>
      </c>
      <c r="B230" s="1394"/>
      <c r="C230" s="1394"/>
      <c r="D230" s="1394"/>
      <c r="E230" s="1395"/>
    </row>
    <row r="231" spans="1:5" ht="26.25" customHeight="1" x14ac:dyDescent="0.2">
      <c r="A231" s="1850" t="s">
        <v>2059</v>
      </c>
      <c r="B231" s="1851"/>
      <c r="C231" s="1851"/>
      <c r="D231" s="1851"/>
      <c r="E231" s="1852"/>
    </row>
    <row r="232" spans="1:5" ht="38.25" customHeight="1" x14ac:dyDescent="0.2">
      <c r="A232" s="1847" t="s">
        <v>2087</v>
      </c>
      <c r="B232" s="1848"/>
      <c r="C232" s="1848"/>
      <c r="D232" s="1848"/>
      <c r="E232" s="1849"/>
    </row>
    <row r="233" spans="1:5" ht="18.75" customHeight="1" x14ac:dyDescent="0.2">
      <c r="A233" s="1847" t="s">
        <v>2088</v>
      </c>
      <c r="B233" s="1848"/>
      <c r="C233" s="1848"/>
      <c r="D233" s="1848"/>
      <c r="E233" s="1849"/>
    </row>
    <row r="234" spans="1:5" ht="26.25" customHeight="1" x14ac:dyDescent="0.2">
      <c r="A234" s="1847" t="s">
        <v>2089</v>
      </c>
      <c r="B234" s="1848"/>
      <c r="C234" s="1848"/>
      <c r="D234" s="1848"/>
      <c r="E234" s="1849"/>
    </row>
    <row r="235" spans="1:5" ht="27.75" customHeight="1" x14ac:dyDescent="0.2">
      <c r="A235" s="1847" t="s">
        <v>2090</v>
      </c>
      <c r="B235" s="1848"/>
      <c r="C235" s="1848"/>
      <c r="D235" s="1848"/>
      <c r="E235" s="1849"/>
    </row>
    <row r="236" spans="1:5" ht="25.5" customHeight="1" x14ac:dyDescent="0.2">
      <c r="A236" s="1847" t="s">
        <v>2091</v>
      </c>
      <c r="B236" s="1848"/>
      <c r="C236" s="1848"/>
      <c r="D236" s="1848"/>
      <c r="E236" s="1849"/>
    </row>
    <row r="237" spans="1:5" ht="27.75" customHeight="1" x14ac:dyDescent="0.2">
      <c r="A237" s="1847" t="s">
        <v>2092</v>
      </c>
      <c r="B237" s="1848"/>
      <c r="C237" s="1848"/>
      <c r="D237" s="1848"/>
      <c r="E237" s="1849"/>
    </row>
    <row r="238" spans="1:5" x14ac:dyDescent="0.2">
      <c r="A238" s="1847" t="s">
        <v>2093</v>
      </c>
      <c r="B238" s="1848"/>
      <c r="C238" s="1848"/>
      <c r="D238" s="1848"/>
      <c r="E238" s="1849"/>
    </row>
    <row r="239" spans="1:5" ht="33" customHeight="1" x14ac:dyDescent="0.2">
      <c r="A239" s="1844" t="s">
        <v>2094</v>
      </c>
      <c r="B239" s="1845"/>
      <c r="C239" s="1845"/>
      <c r="D239" s="1845"/>
      <c r="E239" s="1846"/>
    </row>
  </sheetData>
  <sheetProtection password="B860" sheet="1" objects="1" scenarios="1"/>
  <mergeCells count="185">
    <mergeCell ref="J196:J197"/>
    <mergeCell ref="E193:E199"/>
    <mergeCell ref="C4:C58"/>
    <mergeCell ref="C60:C88"/>
    <mergeCell ref="C93:C128"/>
    <mergeCell ref="C139:C149"/>
    <mergeCell ref="C150:C173"/>
    <mergeCell ref="C175:C182"/>
    <mergeCell ref="C184:C208"/>
    <mergeCell ref="E60:E86"/>
    <mergeCell ref="E10:E31"/>
    <mergeCell ref="J203:J205"/>
    <mergeCell ref="E124:E128"/>
    <mergeCell ref="C129:C138"/>
    <mergeCell ref="E129:E130"/>
    <mergeCell ref="I129:I130"/>
    <mergeCell ref="I133:I135"/>
    <mergeCell ref="I131:I132"/>
    <mergeCell ref="I136:I138"/>
    <mergeCell ref="E131:E132"/>
    <mergeCell ref="E133:E135"/>
    <mergeCell ref="E136:E138"/>
    <mergeCell ref="C89:C91"/>
    <mergeCell ref="E119:E123"/>
    <mergeCell ref="B213:E213"/>
    <mergeCell ref="B214:E214"/>
    <mergeCell ref="B215:E215"/>
    <mergeCell ref="A212:E212"/>
    <mergeCell ref="B216:E216"/>
    <mergeCell ref="A236:E236"/>
    <mergeCell ref="A237:E237"/>
    <mergeCell ref="A238:E238"/>
    <mergeCell ref="A218:D218"/>
    <mergeCell ref="A239:E239"/>
    <mergeCell ref="A226:E226"/>
    <mergeCell ref="A233:E233"/>
    <mergeCell ref="A234:E234"/>
    <mergeCell ref="A229:E229"/>
    <mergeCell ref="A230:E230"/>
    <mergeCell ref="A235:E235"/>
    <mergeCell ref="A227:E227"/>
    <mergeCell ref="A228:E228"/>
    <mergeCell ref="A231:E231"/>
    <mergeCell ref="A232:E232"/>
    <mergeCell ref="A1:L1"/>
    <mergeCell ref="A2:L2"/>
    <mergeCell ref="B175:B183"/>
    <mergeCell ref="E175:E176"/>
    <mergeCell ref="E179:E180"/>
    <mergeCell ref="E181:E182"/>
    <mergeCell ref="C183:J183"/>
    <mergeCell ref="A175:A183"/>
    <mergeCell ref="A60:A174"/>
    <mergeCell ref="I119:I123"/>
    <mergeCell ref="I124:I128"/>
    <mergeCell ref="K119:K123"/>
    <mergeCell ref="K124:K128"/>
    <mergeCell ref="K4:K5"/>
    <mergeCell ref="K6:K7"/>
    <mergeCell ref="K8:K9"/>
    <mergeCell ref="I93:I95"/>
    <mergeCell ref="K93:K95"/>
    <mergeCell ref="J110:J112"/>
    <mergeCell ref="E118:J118"/>
    <mergeCell ref="J115:J117"/>
    <mergeCell ref="E93:E95"/>
    <mergeCell ref="B60:B174"/>
    <mergeCell ref="C174:J174"/>
    <mergeCell ref="A4:A59"/>
    <mergeCell ref="E4:E5"/>
    <mergeCell ref="E6:E7"/>
    <mergeCell ref="E8:E9"/>
    <mergeCell ref="E33:E39"/>
    <mergeCell ref="E41:E44"/>
    <mergeCell ref="E46:E50"/>
    <mergeCell ref="E52:E57"/>
    <mergeCell ref="I4:I5"/>
    <mergeCell ref="I6:I7"/>
    <mergeCell ref="I8:I9"/>
    <mergeCell ref="B4:B59"/>
    <mergeCell ref="D4:D5"/>
    <mergeCell ref="D6:D7"/>
    <mergeCell ref="D8:D9"/>
    <mergeCell ref="E32:J32"/>
    <mergeCell ref="E40:J40"/>
    <mergeCell ref="D115:D118"/>
    <mergeCell ref="D93:D95"/>
    <mergeCell ref="D46:D51"/>
    <mergeCell ref="E51:J51"/>
    <mergeCell ref="D52:D58"/>
    <mergeCell ref="E58:J58"/>
    <mergeCell ref="J48:J49"/>
    <mergeCell ref="J54:J55"/>
    <mergeCell ref="D10:D32"/>
    <mergeCell ref="D33:D40"/>
    <mergeCell ref="J36:J37"/>
    <mergeCell ref="D41:D45"/>
    <mergeCell ref="E45:J45"/>
    <mergeCell ref="E96:E102"/>
    <mergeCell ref="E104:E106"/>
    <mergeCell ref="E89:E91"/>
    <mergeCell ref="E108:E113"/>
    <mergeCell ref="E115:E117"/>
    <mergeCell ref="C59:J59"/>
    <mergeCell ref="K133:K135"/>
    <mergeCell ref="K136:K138"/>
    <mergeCell ref="D139:D145"/>
    <mergeCell ref="E145:J145"/>
    <mergeCell ref="D60:D88"/>
    <mergeCell ref="E88:J88"/>
    <mergeCell ref="D89:D92"/>
    <mergeCell ref="E92:J92"/>
    <mergeCell ref="D96:D103"/>
    <mergeCell ref="E103:J103"/>
    <mergeCell ref="J98:J99"/>
    <mergeCell ref="D104:D107"/>
    <mergeCell ref="E107:J107"/>
    <mergeCell ref="J104:J106"/>
    <mergeCell ref="D108:D114"/>
    <mergeCell ref="E114:J114"/>
    <mergeCell ref="D131:D132"/>
    <mergeCell ref="D133:D135"/>
    <mergeCell ref="D136:D138"/>
    <mergeCell ref="D119:D123"/>
    <mergeCell ref="D124:D128"/>
    <mergeCell ref="D129:D130"/>
    <mergeCell ref="K129:K130"/>
    <mergeCell ref="K131:K132"/>
    <mergeCell ref="D167:D173"/>
    <mergeCell ref="E173:J173"/>
    <mergeCell ref="I147:I149"/>
    <mergeCell ref="K147:K149"/>
    <mergeCell ref="J141:J143"/>
    <mergeCell ref="D150:D155"/>
    <mergeCell ref="E155:J155"/>
    <mergeCell ref="J151:J152"/>
    <mergeCell ref="D147:D149"/>
    <mergeCell ref="E156:E165"/>
    <mergeCell ref="E150:E154"/>
    <mergeCell ref="J169:J170"/>
    <mergeCell ref="E167:E172"/>
    <mergeCell ref="D156:D166"/>
    <mergeCell ref="E166:J166"/>
    <mergeCell ref="J160:J161"/>
    <mergeCell ref="E139:E144"/>
    <mergeCell ref="E147:E149"/>
    <mergeCell ref="E184:E185"/>
    <mergeCell ref="E186:E191"/>
    <mergeCell ref="K175:K176"/>
    <mergeCell ref="K177:K178"/>
    <mergeCell ref="K179:K180"/>
    <mergeCell ref="K181:K182"/>
    <mergeCell ref="D175:D176"/>
    <mergeCell ref="D177:D178"/>
    <mergeCell ref="D179:D180"/>
    <mergeCell ref="D181:D182"/>
    <mergeCell ref="I175:I176"/>
    <mergeCell ref="I177:I178"/>
    <mergeCell ref="I179:I180"/>
    <mergeCell ref="I181:I182"/>
    <mergeCell ref="E177:E178"/>
    <mergeCell ref="K201:K202"/>
    <mergeCell ref="I207:I208"/>
    <mergeCell ref="K207:K208"/>
    <mergeCell ref="D203:D206"/>
    <mergeCell ref="E206:J206"/>
    <mergeCell ref="D201:D202"/>
    <mergeCell ref="D207:D208"/>
    <mergeCell ref="A210:H210"/>
    <mergeCell ref="I210:J210"/>
    <mergeCell ref="I201:I202"/>
    <mergeCell ref="E201:E202"/>
    <mergeCell ref="E203:E205"/>
    <mergeCell ref="E207:E208"/>
    <mergeCell ref="C209:J209"/>
    <mergeCell ref="A184:A209"/>
    <mergeCell ref="B184:B209"/>
    <mergeCell ref="D184:D185"/>
    <mergeCell ref="I184:I185"/>
    <mergeCell ref="K184:K185"/>
    <mergeCell ref="D186:D192"/>
    <mergeCell ref="E192:J192"/>
    <mergeCell ref="J188:J189"/>
    <mergeCell ref="D193:D200"/>
    <mergeCell ref="E200:J200"/>
  </mergeCells>
  <conditionalFormatting sqref="K183 K209:K210 K174 K59">
    <cfRule type="cellIs" dxfId="59" priority="21" operator="greaterThan">
      <formula>0.91</formula>
    </cfRule>
    <cfRule type="cellIs" dxfId="58" priority="22" operator="between">
      <formula>0.75</formula>
      <formula>0.9</formula>
    </cfRule>
    <cfRule type="cellIs" dxfId="57" priority="23" operator="between">
      <formula>0.6</formula>
      <formula>0.749</formula>
    </cfRule>
    <cfRule type="cellIs" dxfId="56" priority="24" operator="between">
      <formula>0.41</formula>
      <formula>0.599</formula>
    </cfRule>
    <cfRule type="cellIs" dxfId="55" priority="25" operator="lessThan">
      <formula>0.4</formula>
    </cfRule>
  </conditionalFormatting>
  <dataValidations count="5">
    <dataValidation type="list" allowBlank="1" showInputMessage="1" showErrorMessage="1" sqref="I119:I128">
      <formula1>$G$119:$G$123</formula1>
    </dataValidation>
    <dataValidation type="list" allowBlank="1" showInputMessage="1" showErrorMessage="1" sqref="I93:I95">
      <formula1>$G$93:$G$95</formula1>
    </dataValidation>
    <dataValidation type="list" allowBlank="1" showInputMessage="1" showErrorMessage="1" sqref="I4:I9 I207:I208 I201:I202 I184:I185 I129:I132 I175:I182">
      <formula1>$G$4:$G$5</formula1>
    </dataValidation>
    <dataValidation type="list" allowBlank="1" showInputMessage="1" showErrorMessage="1" sqref="I133:I138">
      <formula1>$G$133:$G$135</formula1>
    </dataValidation>
    <dataValidation type="list" allowBlank="1" showInputMessage="1" showErrorMessage="1" sqref="I147:I149">
      <formula1>$G$147:$G$149</formula1>
    </dataValidation>
  </dataValidations>
  <hyperlinks>
    <hyperlink ref="A228:E228" r:id="rId1" display="http://estrategia.gobiernoenlinea.gov.co/623/articles-8250_Guiainnovacion.pdf"/>
    <hyperlink ref="A229:E229" r:id="rId2" display="http://estrategia.gobiernoenlinea.gov.co/623/articles-8248_Guia_Apertura_Datos.pdf "/>
    <hyperlink ref="A231:E231" r:id="rId3" display="http://www.funcionpublica.gov.co/documents/418537/9865585/Instructivo_ingreso_y_diligenciamineto_FURAG.pdf/fb25ad16-ce84-49ca-97f0-558a7b72cdcc "/>
  </hyperlinks>
  <pageMargins left="0.7" right="0.7" top="0.75" bottom="0.75" header="0.3" footer="0.3"/>
  <ignoredErrors>
    <ignoredError sqref="K36:K37 K35 K63 K67 K71 K73 K75 K159" formula="1"/>
  </ignoredError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9" tint="0.59999389629810485"/>
  </sheetPr>
  <dimension ref="A1:J60"/>
  <sheetViews>
    <sheetView showGridLines="0" topLeftCell="A16" zoomScaleNormal="100" workbookViewId="0">
      <selection activeCell="I48" sqref="I48"/>
    </sheetView>
  </sheetViews>
  <sheetFormatPr baseColWidth="10" defaultRowHeight="12" x14ac:dyDescent="0.2"/>
  <cols>
    <col min="1" max="1" width="20.28515625" style="10" customWidth="1"/>
    <col min="2" max="2" width="14.85546875" style="10" customWidth="1"/>
    <col min="3" max="3" width="38.85546875" style="10" customWidth="1"/>
    <col min="4" max="4" width="16.5703125" style="10" customWidth="1"/>
    <col min="5" max="5" width="43.5703125" style="10" customWidth="1"/>
    <col min="6" max="6" width="26.85546875" style="10" customWidth="1"/>
    <col min="7" max="7" width="17.140625" style="10" customWidth="1"/>
    <col min="8" max="8" width="31.7109375" style="10" customWidth="1"/>
    <col min="9" max="9" width="24.85546875" style="10" customWidth="1"/>
    <col min="10" max="10" width="60" style="10" customWidth="1"/>
    <col min="11" max="16384" width="11.42578125" style="10"/>
  </cols>
  <sheetData>
    <row r="1" spans="1:10" ht="18" customHeight="1" x14ac:dyDescent="0.2">
      <c r="A1" s="1570" t="s">
        <v>1999</v>
      </c>
      <c r="B1" s="1570"/>
      <c r="C1" s="1570"/>
      <c r="D1" s="1570"/>
      <c r="E1" s="1570"/>
      <c r="F1" s="1570"/>
      <c r="G1" s="1570"/>
      <c r="H1" s="1570"/>
      <c r="I1" s="1570"/>
      <c r="J1" s="1570"/>
    </row>
    <row r="2" spans="1:10" ht="19.5" customHeight="1" x14ac:dyDescent="0.2">
      <c r="A2" s="1589" t="s">
        <v>2099</v>
      </c>
      <c r="B2" s="1589"/>
      <c r="C2" s="1589"/>
      <c r="D2" s="1589"/>
      <c r="E2" s="1589"/>
      <c r="F2" s="1589"/>
      <c r="G2" s="1589"/>
      <c r="H2" s="1589"/>
      <c r="I2" s="1589"/>
      <c r="J2" s="1589"/>
    </row>
    <row r="3" spans="1:10" ht="36.75" thickBot="1" x14ac:dyDescent="0.25">
      <c r="A3" s="27" t="s">
        <v>170</v>
      </c>
      <c r="B3" s="28" t="s">
        <v>171</v>
      </c>
      <c r="C3" s="295" t="s">
        <v>172</v>
      </c>
      <c r="D3" s="295" t="s">
        <v>1998</v>
      </c>
      <c r="E3" s="295" t="s">
        <v>456</v>
      </c>
      <c r="F3" s="295" t="s">
        <v>762</v>
      </c>
      <c r="G3" s="295" t="s">
        <v>1222</v>
      </c>
      <c r="H3" s="295" t="s">
        <v>79</v>
      </c>
      <c r="I3" s="296" t="s">
        <v>4</v>
      </c>
      <c r="J3" s="28" t="s">
        <v>1907</v>
      </c>
    </row>
    <row r="4" spans="1:10" ht="26.25" customHeight="1" x14ac:dyDescent="0.2">
      <c r="A4" s="1581" t="s">
        <v>1223</v>
      </c>
      <c r="B4" s="1886">
        <v>0.33329999999999999</v>
      </c>
      <c r="C4" s="1888" t="s">
        <v>1224</v>
      </c>
      <c r="D4" s="449" t="s">
        <v>82</v>
      </c>
      <c r="E4" s="729" t="s">
        <v>388</v>
      </c>
      <c r="F4" s="1265" t="s">
        <v>388</v>
      </c>
      <c r="G4" s="1559" t="s">
        <v>2526</v>
      </c>
      <c r="H4" s="371" t="s">
        <v>1225</v>
      </c>
      <c r="I4" s="1549">
        <f>IF(F4="Si",100%,0)</f>
        <v>1</v>
      </c>
      <c r="J4" s="983"/>
    </row>
    <row r="5" spans="1:10" ht="31.5" customHeight="1" thickBot="1" x14ac:dyDescent="0.25">
      <c r="A5" s="1581"/>
      <c r="B5" s="1886"/>
      <c r="C5" s="1889"/>
      <c r="D5" s="450" t="s">
        <v>84</v>
      </c>
      <c r="E5" s="730" t="s">
        <v>85</v>
      </c>
      <c r="F5" s="1625"/>
      <c r="G5" s="1561"/>
      <c r="H5" s="373" t="s">
        <v>1226</v>
      </c>
      <c r="I5" s="1551"/>
      <c r="J5" s="983"/>
    </row>
    <row r="6" spans="1:10" ht="18.75" customHeight="1" x14ac:dyDescent="0.2">
      <c r="A6" s="1581"/>
      <c r="B6" s="1886"/>
      <c r="C6" s="1879" t="s">
        <v>1926</v>
      </c>
      <c r="D6" s="371" t="s">
        <v>86</v>
      </c>
      <c r="E6" s="731" t="s">
        <v>1227</v>
      </c>
      <c r="F6" s="276">
        <f>0/16*100</f>
        <v>0</v>
      </c>
      <c r="G6" s="1554" t="s">
        <v>2411</v>
      </c>
      <c r="H6" s="1559" t="s">
        <v>1228</v>
      </c>
      <c r="I6" s="1549">
        <f>IFERROR(((F8+F9)/(F6+F7)),"0")</f>
        <v>0</v>
      </c>
      <c r="J6" s="1009"/>
    </row>
    <row r="7" spans="1:10" ht="27" customHeight="1" x14ac:dyDescent="0.2">
      <c r="A7" s="1581"/>
      <c r="B7" s="1886"/>
      <c r="C7" s="1880"/>
      <c r="D7" s="372" t="s">
        <v>87</v>
      </c>
      <c r="E7" s="732" t="s">
        <v>1229</v>
      </c>
      <c r="F7" s="365">
        <v>1</v>
      </c>
      <c r="G7" s="1562"/>
      <c r="H7" s="1560"/>
      <c r="I7" s="1550"/>
      <c r="J7" s="1006"/>
    </row>
    <row r="8" spans="1:10" ht="12.75" customHeight="1" x14ac:dyDescent="0.2">
      <c r="A8" s="1581"/>
      <c r="B8" s="1886"/>
      <c r="C8" s="1880" t="s">
        <v>1927</v>
      </c>
      <c r="D8" s="372" t="s">
        <v>95</v>
      </c>
      <c r="E8" s="732" t="s">
        <v>1227</v>
      </c>
      <c r="F8" s="365"/>
      <c r="G8" s="1562"/>
      <c r="H8" s="1560"/>
      <c r="I8" s="1550"/>
      <c r="J8" s="1075"/>
    </row>
    <row r="9" spans="1:10" ht="26.25" customHeight="1" thickBot="1" x14ac:dyDescent="0.25">
      <c r="A9" s="1581"/>
      <c r="B9" s="1886"/>
      <c r="C9" s="1881"/>
      <c r="D9" s="373" t="s">
        <v>97</v>
      </c>
      <c r="E9" s="733" t="s">
        <v>1229</v>
      </c>
      <c r="F9" s="279"/>
      <c r="G9" s="1555"/>
      <c r="H9" s="1561"/>
      <c r="I9" s="1551"/>
      <c r="J9" s="983"/>
    </row>
    <row r="10" spans="1:10" ht="23.25" customHeight="1" x14ac:dyDescent="0.2">
      <c r="A10" s="1581"/>
      <c r="B10" s="1886"/>
      <c r="C10" s="1585" t="s">
        <v>1928</v>
      </c>
      <c r="D10" s="316" t="s">
        <v>99</v>
      </c>
      <c r="E10" s="653" t="s">
        <v>388</v>
      </c>
      <c r="F10" s="1265" t="s">
        <v>85</v>
      </c>
      <c r="G10" s="1559" t="s">
        <v>2526</v>
      </c>
      <c r="H10" s="371" t="s">
        <v>1230</v>
      </c>
      <c r="I10" s="1549">
        <f>IF(F10="Si",100%,0)</f>
        <v>0</v>
      </c>
      <c r="J10" s="983"/>
    </row>
    <row r="11" spans="1:10" ht="49.5" customHeight="1" thickBot="1" x14ac:dyDescent="0.25">
      <c r="A11" s="1581"/>
      <c r="B11" s="1886"/>
      <c r="C11" s="1587"/>
      <c r="D11" s="317" t="s">
        <v>101</v>
      </c>
      <c r="E11" s="654" t="s">
        <v>85</v>
      </c>
      <c r="F11" s="1625"/>
      <c r="G11" s="1561"/>
      <c r="H11" s="373" t="s">
        <v>1231</v>
      </c>
      <c r="I11" s="1551"/>
      <c r="J11" s="1075"/>
    </row>
    <row r="12" spans="1:10" ht="24.75" customHeight="1" x14ac:dyDescent="0.2">
      <c r="A12" s="1581"/>
      <c r="B12" s="1886"/>
      <c r="C12" s="1680" t="s">
        <v>1232</v>
      </c>
      <c r="D12" s="371" t="s">
        <v>2722</v>
      </c>
      <c r="E12" s="734" t="s">
        <v>1233</v>
      </c>
      <c r="F12" s="276">
        <v>10</v>
      </c>
      <c r="G12" s="1554" t="s">
        <v>2411</v>
      </c>
      <c r="H12" s="1559" t="s">
        <v>1234</v>
      </c>
      <c r="I12" s="1549">
        <f>IFERROR((F12+F13)/(F12+F13+F14),0)</f>
        <v>1</v>
      </c>
      <c r="J12" s="983"/>
    </row>
    <row r="13" spans="1:10" ht="24" customHeight="1" x14ac:dyDescent="0.2">
      <c r="A13" s="1581"/>
      <c r="B13" s="1886"/>
      <c r="C13" s="1681"/>
      <c r="D13" s="372" t="s">
        <v>2723</v>
      </c>
      <c r="E13" s="735" t="s">
        <v>1235</v>
      </c>
      <c r="F13" s="365">
        <v>10</v>
      </c>
      <c r="G13" s="1562"/>
      <c r="H13" s="1560"/>
      <c r="I13" s="1550"/>
      <c r="J13" s="983"/>
    </row>
    <row r="14" spans="1:10" ht="24.75" customHeight="1" thickBot="1" x14ac:dyDescent="0.25">
      <c r="A14" s="1581"/>
      <c r="B14" s="1886"/>
      <c r="C14" s="1682"/>
      <c r="D14" s="373" t="s">
        <v>2724</v>
      </c>
      <c r="E14" s="736" t="s">
        <v>1236</v>
      </c>
      <c r="F14" s="279"/>
      <c r="G14" s="1555"/>
      <c r="H14" s="1561"/>
      <c r="I14" s="1551"/>
      <c r="J14" s="983"/>
    </row>
    <row r="15" spans="1:10" ht="16.5" thickBot="1" x14ac:dyDescent="0.25">
      <c r="A15" s="1581"/>
      <c r="B15" s="1887"/>
      <c r="C15" s="1636" t="s">
        <v>2100</v>
      </c>
      <c r="D15" s="1636"/>
      <c r="E15" s="1636"/>
      <c r="F15" s="1636"/>
      <c r="G15" s="1636"/>
      <c r="H15" s="1636"/>
      <c r="I15" s="533">
        <f>(I4+I6+I10+I12)/4</f>
        <v>0.5</v>
      </c>
      <c r="J15" s="1077"/>
    </row>
    <row r="16" spans="1:10" ht="41.25" customHeight="1" x14ac:dyDescent="0.2">
      <c r="A16" s="1581" t="s">
        <v>1246</v>
      </c>
      <c r="B16" s="1886">
        <v>0.33329999999999999</v>
      </c>
      <c r="C16" s="1585" t="s">
        <v>1247</v>
      </c>
      <c r="D16" s="316" t="s">
        <v>82</v>
      </c>
      <c r="E16" s="729" t="s">
        <v>388</v>
      </c>
      <c r="F16" s="1265" t="s">
        <v>388</v>
      </c>
      <c r="G16" s="1882" t="s">
        <v>2526</v>
      </c>
      <c r="H16" s="371" t="s">
        <v>1225</v>
      </c>
      <c r="I16" s="1549">
        <f>IF(F16="Si",100%,0)</f>
        <v>1</v>
      </c>
      <c r="J16" s="983"/>
    </row>
    <row r="17" spans="1:10" ht="39.75" customHeight="1" thickBot="1" x14ac:dyDescent="0.25">
      <c r="A17" s="1581"/>
      <c r="B17" s="1886"/>
      <c r="C17" s="1587"/>
      <c r="D17" s="317" t="s">
        <v>84</v>
      </c>
      <c r="E17" s="730" t="s">
        <v>85</v>
      </c>
      <c r="F17" s="1625"/>
      <c r="G17" s="1883"/>
      <c r="H17" s="373" t="s">
        <v>1226</v>
      </c>
      <c r="I17" s="1551"/>
      <c r="J17" s="983"/>
    </row>
    <row r="18" spans="1:10" x14ac:dyDescent="0.2">
      <c r="A18" s="1581"/>
      <c r="B18" s="1886"/>
      <c r="C18" s="1556" t="s">
        <v>1248</v>
      </c>
      <c r="D18" s="445" t="s">
        <v>86</v>
      </c>
      <c r="E18" s="658" t="s">
        <v>1249</v>
      </c>
      <c r="F18" s="257" t="s">
        <v>2785</v>
      </c>
      <c r="G18" s="369">
        <v>1</v>
      </c>
      <c r="H18" s="1559" t="s">
        <v>1250</v>
      </c>
      <c r="I18" s="1549">
        <f>H28/11</f>
        <v>0.72727272727272729</v>
      </c>
      <c r="J18" s="983"/>
    </row>
    <row r="19" spans="1:10" x14ac:dyDescent="0.2">
      <c r="A19" s="1581"/>
      <c r="B19" s="1886"/>
      <c r="C19" s="1557"/>
      <c r="D19" s="14" t="s">
        <v>87</v>
      </c>
      <c r="E19" s="659" t="s">
        <v>1251</v>
      </c>
      <c r="F19" s="111" t="s">
        <v>2785</v>
      </c>
      <c r="G19" s="370">
        <v>1</v>
      </c>
      <c r="H19" s="1560"/>
      <c r="I19" s="1550"/>
      <c r="J19" s="983"/>
    </row>
    <row r="20" spans="1:10" x14ac:dyDescent="0.2">
      <c r="A20" s="1581"/>
      <c r="B20" s="1886"/>
      <c r="C20" s="1557"/>
      <c r="D20" s="14" t="s">
        <v>95</v>
      </c>
      <c r="E20" s="659" t="s">
        <v>1252</v>
      </c>
      <c r="F20" s="111"/>
      <c r="G20" s="370">
        <v>1</v>
      </c>
      <c r="H20" s="1560"/>
      <c r="I20" s="1550"/>
      <c r="J20" s="983"/>
    </row>
    <row r="21" spans="1:10" x14ac:dyDescent="0.2">
      <c r="A21" s="1581"/>
      <c r="B21" s="1886"/>
      <c r="C21" s="1557"/>
      <c r="D21" s="14" t="s">
        <v>97</v>
      </c>
      <c r="E21" s="659" t="s">
        <v>1253</v>
      </c>
      <c r="F21" s="111" t="s">
        <v>2785</v>
      </c>
      <c r="G21" s="370">
        <v>1</v>
      </c>
      <c r="H21" s="1560"/>
      <c r="I21" s="1550"/>
      <c r="J21" s="983"/>
    </row>
    <row r="22" spans="1:10" x14ac:dyDescent="0.2">
      <c r="A22" s="1581"/>
      <c r="B22" s="1886"/>
      <c r="C22" s="1557"/>
      <c r="D22" s="14" t="s">
        <v>99</v>
      </c>
      <c r="E22" s="659" t="s">
        <v>1929</v>
      </c>
      <c r="F22" s="111" t="s">
        <v>2785</v>
      </c>
      <c r="G22" s="370">
        <v>1</v>
      </c>
      <c r="H22" s="1560"/>
      <c r="I22" s="1550"/>
      <c r="J22" s="983"/>
    </row>
    <row r="23" spans="1:10" ht="24" x14ac:dyDescent="0.2">
      <c r="A23" s="1581"/>
      <c r="B23" s="1886"/>
      <c r="C23" s="1557"/>
      <c r="D23" s="14" t="s">
        <v>101</v>
      </c>
      <c r="E23" s="659" t="s">
        <v>1254</v>
      </c>
      <c r="F23" s="111" t="s">
        <v>2785</v>
      </c>
      <c r="G23" s="370">
        <v>1</v>
      </c>
      <c r="H23" s="1560"/>
      <c r="I23" s="1550"/>
      <c r="J23" s="983"/>
    </row>
    <row r="24" spans="1:10" x14ac:dyDescent="0.2">
      <c r="A24" s="1581"/>
      <c r="B24" s="1886"/>
      <c r="C24" s="1557"/>
      <c r="D24" s="14" t="s">
        <v>103</v>
      </c>
      <c r="E24" s="659" t="s">
        <v>1255</v>
      </c>
      <c r="F24" s="111" t="s">
        <v>2785</v>
      </c>
      <c r="G24" s="370">
        <v>1</v>
      </c>
      <c r="H24" s="1560"/>
      <c r="I24" s="1550"/>
      <c r="J24" s="983"/>
    </row>
    <row r="25" spans="1:10" x14ac:dyDescent="0.2">
      <c r="A25" s="1581"/>
      <c r="B25" s="1886"/>
      <c r="C25" s="1557"/>
      <c r="D25" s="14" t="s">
        <v>151</v>
      </c>
      <c r="E25" s="659" t="s">
        <v>1256</v>
      </c>
      <c r="F25" s="111" t="s">
        <v>2785</v>
      </c>
      <c r="G25" s="370">
        <v>1</v>
      </c>
      <c r="H25" s="1560"/>
      <c r="I25" s="1550"/>
      <c r="J25" s="983"/>
    </row>
    <row r="26" spans="1:10" x14ac:dyDescent="0.2">
      <c r="A26" s="1581"/>
      <c r="B26" s="1886"/>
      <c r="C26" s="1557"/>
      <c r="D26" s="14" t="s">
        <v>152</v>
      </c>
      <c r="E26" s="659" t="s">
        <v>1257</v>
      </c>
      <c r="F26" s="111"/>
      <c r="G26" s="370">
        <v>1</v>
      </c>
      <c r="H26" s="1560"/>
      <c r="I26" s="1550"/>
      <c r="J26" s="983"/>
    </row>
    <row r="27" spans="1:10" x14ac:dyDescent="0.2">
      <c r="A27" s="1581"/>
      <c r="B27" s="1886"/>
      <c r="C27" s="1557"/>
      <c r="D27" s="14" t="s">
        <v>218</v>
      </c>
      <c r="E27" s="659" t="s">
        <v>1258</v>
      </c>
      <c r="F27" s="111" t="s">
        <v>2785</v>
      </c>
      <c r="G27" s="370">
        <v>1</v>
      </c>
      <c r="H27" s="1560"/>
      <c r="I27" s="1550"/>
      <c r="J27" s="983"/>
    </row>
    <row r="28" spans="1:10" x14ac:dyDescent="0.2">
      <c r="A28" s="1581"/>
      <c r="B28" s="1886"/>
      <c r="C28" s="1557"/>
      <c r="D28" s="14" t="s">
        <v>220</v>
      </c>
      <c r="E28" s="659" t="s">
        <v>1259</v>
      </c>
      <c r="F28" s="111"/>
      <c r="G28" s="370">
        <v>1</v>
      </c>
      <c r="H28" s="1560">
        <f>SUMIF(F18:F29,"x",G18:G29)</f>
        <v>8</v>
      </c>
      <c r="I28" s="1550"/>
      <c r="J28" s="983"/>
    </row>
    <row r="29" spans="1:10" ht="12.75" thickBot="1" x14ac:dyDescent="0.25">
      <c r="A29" s="1581"/>
      <c r="B29" s="1886"/>
      <c r="C29" s="1885"/>
      <c r="D29" s="448" t="s">
        <v>222</v>
      </c>
      <c r="E29" s="737" t="s">
        <v>481</v>
      </c>
      <c r="F29" s="366"/>
      <c r="G29" s="374">
        <v>0</v>
      </c>
      <c r="H29" s="1649"/>
      <c r="I29" s="1884"/>
      <c r="J29" s="983"/>
    </row>
    <row r="30" spans="1:10" ht="45" customHeight="1" x14ac:dyDescent="0.2">
      <c r="A30" s="1581"/>
      <c r="B30" s="1886"/>
      <c r="C30" s="1585" t="s">
        <v>1930</v>
      </c>
      <c r="D30" s="316" t="s">
        <v>224</v>
      </c>
      <c r="E30" s="729" t="s">
        <v>388</v>
      </c>
      <c r="F30" s="1265" t="s">
        <v>388</v>
      </c>
      <c r="G30" s="1882" t="s">
        <v>2526</v>
      </c>
      <c r="H30" s="371" t="s">
        <v>1260</v>
      </c>
      <c r="I30" s="1549">
        <f>IF(F30="Si",100%,0)</f>
        <v>1</v>
      </c>
      <c r="J30" s="983"/>
    </row>
    <row r="31" spans="1:10" ht="29.25" customHeight="1" thickBot="1" x14ac:dyDescent="0.25">
      <c r="A31" s="1581"/>
      <c r="B31" s="1886"/>
      <c r="C31" s="1587"/>
      <c r="D31" s="317" t="s">
        <v>226</v>
      </c>
      <c r="E31" s="730" t="s">
        <v>85</v>
      </c>
      <c r="F31" s="1625"/>
      <c r="G31" s="1883"/>
      <c r="H31" s="373" t="s">
        <v>1261</v>
      </c>
      <c r="I31" s="1551"/>
      <c r="J31" s="983"/>
    </row>
    <row r="32" spans="1:10" ht="16.5" thickBot="1" x14ac:dyDescent="0.25">
      <c r="A32" s="1581"/>
      <c r="B32" s="1887"/>
      <c r="C32" s="1636" t="s">
        <v>2101</v>
      </c>
      <c r="D32" s="1636"/>
      <c r="E32" s="1636"/>
      <c r="F32" s="1636"/>
      <c r="G32" s="1636"/>
      <c r="H32" s="1636"/>
      <c r="I32" s="533">
        <f>(I16+I18+I30)/3</f>
        <v>0.90909090909090917</v>
      </c>
      <c r="J32" s="984"/>
    </row>
    <row r="33" spans="1:10" ht="29.25" customHeight="1" x14ac:dyDescent="0.2">
      <c r="A33" s="1581" t="s">
        <v>1262</v>
      </c>
      <c r="B33" s="1886">
        <v>0.33339999999999997</v>
      </c>
      <c r="C33" s="1659" t="s">
        <v>1931</v>
      </c>
      <c r="D33" s="340" t="s">
        <v>82</v>
      </c>
      <c r="E33" s="738" t="s">
        <v>388</v>
      </c>
      <c r="F33" s="1265" t="s">
        <v>388</v>
      </c>
      <c r="G33" s="1882" t="s">
        <v>2526</v>
      </c>
      <c r="H33" s="371" t="s">
        <v>1225</v>
      </c>
      <c r="I33" s="1549">
        <f t="shared" ref="I33" si="0">IF(F33="Si",100%,0)</f>
        <v>1</v>
      </c>
      <c r="J33" s="983"/>
    </row>
    <row r="34" spans="1:10" ht="28.5" customHeight="1" thickBot="1" x14ac:dyDescent="0.25">
      <c r="A34" s="1581"/>
      <c r="B34" s="1886"/>
      <c r="C34" s="1663"/>
      <c r="D34" s="341" t="s">
        <v>84</v>
      </c>
      <c r="E34" s="739" t="s">
        <v>85</v>
      </c>
      <c r="F34" s="1625"/>
      <c r="G34" s="1883"/>
      <c r="H34" s="373" t="s">
        <v>1226</v>
      </c>
      <c r="I34" s="1551"/>
      <c r="J34" s="983"/>
    </row>
    <row r="35" spans="1:10" ht="24" customHeight="1" x14ac:dyDescent="0.2">
      <c r="A35" s="1581"/>
      <c r="B35" s="1886"/>
      <c r="C35" s="1585" t="s">
        <v>1932</v>
      </c>
      <c r="D35" s="316" t="s">
        <v>86</v>
      </c>
      <c r="E35" s="729" t="s">
        <v>388</v>
      </c>
      <c r="F35" s="1265" t="s">
        <v>85</v>
      </c>
      <c r="G35" s="1882" t="s">
        <v>2526</v>
      </c>
      <c r="H35" s="371" t="s">
        <v>2539</v>
      </c>
      <c r="I35" s="1549">
        <f t="shared" ref="I35" si="1">IF(F35="Si",100%,0)</f>
        <v>0</v>
      </c>
      <c r="J35" s="983"/>
    </row>
    <row r="36" spans="1:10" ht="21.75" customHeight="1" thickBot="1" x14ac:dyDescent="0.25">
      <c r="A36" s="1581"/>
      <c r="B36" s="1886"/>
      <c r="C36" s="1587"/>
      <c r="D36" s="317" t="s">
        <v>87</v>
      </c>
      <c r="E36" s="730" t="s">
        <v>85</v>
      </c>
      <c r="F36" s="1625"/>
      <c r="G36" s="1883"/>
      <c r="H36" s="373" t="s">
        <v>2461</v>
      </c>
      <c r="I36" s="1551"/>
      <c r="J36" s="1075"/>
    </row>
    <row r="37" spans="1:10" ht="19.5" customHeight="1" x14ac:dyDescent="0.2">
      <c r="A37" s="1581"/>
      <c r="B37" s="1886"/>
      <c r="C37" s="1659" t="s">
        <v>1263</v>
      </c>
      <c r="D37" s="340" t="s">
        <v>95</v>
      </c>
      <c r="E37" s="738" t="s">
        <v>388</v>
      </c>
      <c r="F37" s="1265" t="s">
        <v>388</v>
      </c>
      <c r="G37" s="1882" t="s">
        <v>2526</v>
      </c>
      <c r="H37" s="371" t="s">
        <v>2540</v>
      </c>
      <c r="I37" s="1549">
        <f t="shared" ref="I37" si="2">IF(F37="Si",100%,0)</f>
        <v>1</v>
      </c>
      <c r="J37" s="983"/>
    </row>
    <row r="38" spans="1:10" ht="15" customHeight="1" thickBot="1" x14ac:dyDescent="0.25">
      <c r="A38" s="1581"/>
      <c r="B38" s="1886"/>
      <c r="C38" s="1663"/>
      <c r="D38" s="341" t="s">
        <v>97</v>
      </c>
      <c r="E38" s="739" t="s">
        <v>85</v>
      </c>
      <c r="F38" s="1625"/>
      <c r="G38" s="1883"/>
      <c r="H38" s="373" t="s">
        <v>2463</v>
      </c>
      <c r="I38" s="1551"/>
      <c r="J38" s="983"/>
    </row>
    <row r="39" spans="1:10" ht="17.25" customHeight="1" x14ac:dyDescent="0.25">
      <c r="A39" s="1581"/>
      <c r="B39" s="1887"/>
      <c r="C39" s="1890" t="s">
        <v>2515</v>
      </c>
      <c r="D39" s="1890"/>
      <c r="E39" s="1890"/>
      <c r="F39" s="1890"/>
      <c r="G39" s="1890"/>
      <c r="H39" s="1890"/>
      <c r="I39" s="534">
        <f>(I33+I35+I37)/3</f>
        <v>0.66666666666666663</v>
      </c>
      <c r="J39" s="984"/>
    </row>
    <row r="40" spans="1:10" ht="15.75" x14ac:dyDescent="0.2">
      <c r="A40" s="1592" t="s">
        <v>2102</v>
      </c>
      <c r="B40" s="1592"/>
      <c r="C40" s="1592"/>
      <c r="D40" s="1592"/>
      <c r="E40" s="1592"/>
      <c r="F40" s="1592"/>
      <c r="G40" s="1592" t="s">
        <v>2541</v>
      </c>
      <c r="H40" s="1592"/>
      <c r="I40" s="535">
        <f>IF(((I15*0.33)+(I32*0.33)+(I39*0.34))&gt;1,1,(I15*0.33)+(I32*0.33)+(I39*0.34))</f>
        <v>0.69166666666666676</v>
      </c>
      <c r="J40" s="1007"/>
    </row>
    <row r="41" spans="1:10" ht="15" x14ac:dyDescent="0.25">
      <c r="I41" s="86"/>
    </row>
    <row r="42" spans="1:10" x14ac:dyDescent="0.2">
      <c r="A42" s="1547" t="s">
        <v>1964</v>
      </c>
      <c r="B42" s="1548"/>
      <c r="C42" s="1548"/>
      <c r="D42" s="1548"/>
    </row>
    <row r="43" spans="1:10" x14ac:dyDescent="0.2">
      <c r="A43" s="19"/>
      <c r="B43" s="1546" t="s">
        <v>2010</v>
      </c>
      <c r="C43" s="1546"/>
      <c r="D43" s="1546"/>
    </row>
    <row r="44" spans="1:10" x14ac:dyDescent="0.2">
      <c r="A44" s="20"/>
      <c r="B44" s="1546" t="s">
        <v>2011</v>
      </c>
      <c r="C44" s="1546"/>
      <c r="D44" s="1546"/>
    </row>
    <row r="45" spans="1:10" x14ac:dyDescent="0.2">
      <c r="A45" s="12"/>
      <c r="B45" s="1546" t="s">
        <v>2012</v>
      </c>
      <c r="C45" s="1546"/>
      <c r="D45" s="1546"/>
      <c r="H45" s="123"/>
    </row>
    <row r="46" spans="1:10" x14ac:dyDescent="0.2">
      <c r="A46" s="4"/>
      <c r="B46" s="1546" t="s">
        <v>2103</v>
      </c>
      <c r="C46" s="1546"/>
      <c r="D46" s="1546"/>
    </row>
    <row r="48" spans="1:10" ht="12.75" thickBot="1" x14ac:dyDescent="0.25"/>
    <row r="49" spans="1:4" ht="20.25" customHeight="1" thickBot="1" x14ac:dyDescent="0.25">
      <c r="A49" s="1181" t="s">
        <v>2227</v>
      </c>
      <c r="B49" s="1182"/>
      <c r="C49" s="1182"/>
      <c r="D49" s="1183"/>
    </row>
    <row r="50" spans="1:4" ht="24.75" thickBot="1" x14ac:dyDescent="0.25">
      <c r="A50" s="94" t="s">
        <v>2228</v>
      </c>
      <c r="B50" s="119" t="s">
        <v>2229</v>
      </c>
      <c r="C50" s="95" t="s">
        <v>2230</v>
      </c>
      <c r="D50" s="95" t="s">
        <v>2231</v>
      </c>
    </row>
    <row r="51" spans="1:4" ht="12.75" thickBot="1" x14ac:dyDescent="0.25">
      <c r="A51" s="96">
        <v>1</v>
      </c>
      <c r="B51" s="97" t="s">
        <v>2232</v>
      </c>
      <c r="C51" s="97" t="s">
        <v>2233</v>
      </c>
      <c r="D51" s="98"/>
    </row>
    <row r="52" spans="1:4" ht="12.75" thickBot="1" x14ac:dyDescent="0.25">
      <c r="A52" s="96">
        <v>2</v>
      </c>
      <c r="B52" s="97" t="s">
        <v>2234</v>
      </c>
      <c r="C52" s="97" t="s">
        <v>2235</v>
      </c>
      <c r="D52" s="99"/>
    </row>
    <row r="53" spans="1:4" ht="12.75" thickBot="1" x14ac:dyDescent="0.25">
      <c r="A53" s="96">
        <v>3</v>
      </c>
      <c r="B53" s="97" t="s">
        <v>2236</v>
      </c>
      <c r="C53" s="97" t="s">
        <v>2237</v>
      </c>
      <c r="D53" s="100"/>
    </row>
    <row r="54" spans="1:4" ht="12.75" thickBot="1" x14ac:dyDescent="0.25">
      <c r="A54" s="96">
        <v>4</v>
      </c>
      <c r="B54" s="97" t="s">
        <v>2238</v>
      </c>
      <c r="C54" s="97" t="s">
        <v>2239</v>
      </c>
      <c r="D54" s="101"/>
    </row>
    <row r="55" spans="1:4" ht="12.75" thickBot="1" x14ac:dyDescent="0.25">
      <c r="A55" s="96">
        <v>5</v>
      </c>
      <c r="B55" s="97" t="s">
        <v>2240</v>
      </c>
      <c r="C55" s="97" t="s">
        <v>2241</v>
      </c>
      <c r="D55" s="102"/>
    </row>
    <row r="58" spans="1:4" x14ac:dyDescent="0.2">
      <c r="A58" s="1547" t="s">
        <v>2285</v>
      </c>
      <c r="B58" s="1548"/>
      <c r="C58" s="1548"/>
      <c r="D58" s="1548"/>
    </row>
    <row r="59" spans="1:4" ht="42.75" customHeight="1" x14ac:dyDescent="0.2">
      <c r="A59" s="1393" t="s">
        <v>2058</v>
      </c>
      <c r="B59" s="1394"/>
      <c r="C59" s="1394"/>
      <c r="D59" s="1395"/>
    </row>
    <row r="60" spans="1:4" x14ac:dyDescent="0.2">
      <c r="A60" s="1427" t="s">
        <v>2059</v>
      </c>
      <c r="B60" s="1428"/>
      <c r="C60" s="1428"/>
      <c r="D60" s="1429"/>
    </row>
  </sheetData>
  <sheetProtection password="B860" sheet="1" objects="1" scenarios="1"/>
  <mergeCells count="63">
    <mergeCell ref="A60:D60"/>
    <mergeCell ref="A1:J1"/>
    <mergeCell ref="A42:D42"/>
    <mergeCell ref="B43:D43"/>
    <mergeCell ref="B44:D44"/>
    <mergeCell ref="B45:D45"/>
    <mergeCell ref="A2:J2"/>
    <mergeCell ref="C30:C31"/>
    <mergeCell ref="G30:G31"/>
    <mergeCell ref="I30:I31"/>
    <mergeCell ref="C32:H32"/>
    <mergeCell ref="A16:A32"/>
    <mergeCell ref="B16:B32"/>
    <mergeCell ref="C39:H39"/>
    <mergeCell ref="A49:D49"/>
    <mergeCell ref="F10:F11"/>
    <mergeCell ref="A4:A15"/>
    <mergeCell ref="B4:B15"/>
    <mergeCell ref="C4:C5"/>
    <mergeCell ref="A58:D58"/>
    <mergeCell ref="A59:D59"/>
    <mergeCell ref="B46:D46"/>
    <mergeCell ref="C12:C14"/>
    <mergeCell ref="A40:F40"/>
    <mergeCell ref="G40:H40"/>
    <mergeCell ref="G35:G36"/>
    <mergeCell ref="A33:A39"/>
    <mergeCell ref="B33:B39"/>
    <mergeCell ref="C33:C34"/>
    <mergeCell ref="G33:G34"/>
    <mergeCell ref="F33:F34"/>
    <mergeCell ref="F35:F36"/>
    <mergeCell ref="I35:I36"/>
    <mergeCell ref="C37:C38"/>
    <mergeCell ref="G37:G38"/>
    <mergeCell ref="I37:I38"/>
    <mergeCell ref="I16:I17"/>
    <mergeCell ref="I18:I29"/>
    <mergeCell ref="I33:I34"/>
    <mergeCell ref="C35:C36"/>
    <mergeCell ref="F37:F38"/>
    <mergeCell ref="C16:C17"/>
    <mergeCell ref="G16:G17"/>
    <mergeCell ref="C18:C29"/>
    <mergeCell ref="H18:H27"/>
    <mergeCell ref="H28:H29"/>
    <mergeCell ref="F16:F17"/>
    <mergeCell ref="F30:F31"/>
    <mergeCell ref="G4:G5"/>
    <mergeCell ref="I4:I5"/>
    <mergeCell ref="H12:H14"/>
    <mergeCell ref="I12:I14"/>
    <mergeCell ref="C15:H15"/>
    <mergeCell ref="C6:C7"/>
    <mergeCell ref="G6:G9"/>
    <mergeCell ref="H6:H9"/>
    <mergeCell ref="I6:I9"/>
    <mergeCell ref="C8:C9"/>
    <mergeCell ref="C10:C11"/>
    <mergeCell ref="G10:G11"/>
    <mergeCell ref="I10:I11"/>
    <mergeCell ref="F4:F5"/>
    <mergeCell ref="G12:G14"/>
  </mergeCells>
  <conditionalFormatting sqref="I15 I32 I39:I40">
    <cfRule type="cellIs" dxfId="54" priority="11" operator="between">
      <formula>0.9</formula>
      <formula>1</formula>
    </cfRule>
    <cfRule type="cellIs" dxfId="53" priority="12" operator="between">
      <formula>0.75</formula>
      <formula>0.899</formula>
    </cfRule>
    <cfRule type="cellIs" dxfId="52" priority="13" operator="between">
      <formula>0.6</formula>
      <formula>0.749</formula>
    </cfRule>
    <cfRule type="cellIs" dxfId="51" priority="14" operator="between">
      <formula>0.41</formula>
      <formula>0.599</formula>
    </cfRule>
    <cfRule type="cellIs" dxfId="50" priority="15" operator="between">
      <formula>0</formula>
      <formula>4</formula>
    </cfRule>
  </conditionalFormatting>
  <dataValidations count="1">
    <dataValidation type="list" allowBlank="1" showInputMessage="1" showErrorMessage="1" sqref="F4:F5 F10:F11 F16:F17 F30:F31 F33:F38">
      <formula1>$E$4:$E$5</formula1>
    </dataValidation>
  </dataValidations>
  <hyperlinks>
    <hyperlink ref="A60:D60"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theme="9" tint="0.59999389629810485"/>
  </sheetPr>
  <dimension ref="A1:K138"/>
  <sheetViews>
    <sheetView showGridLines="0" topLeftCell="D91" zoomScaleNormal="100" workbookViewId="0">
      <selection activeCell="K93" sqref="K93"/>
    </sheetView>
  </sheetViews>
  <sheetFormatPr baseColWidth="10" defaultRowHeight="12" x14ac:dyDescent="0.2"/>
  <cols>
    <col min="1" max="1" width="20.42578125" style="10" customWidth="1"/>
    <col min="2" max="2" width="14.85546875" style="10" customWidth="1"/>
    <col min="3" max="3" width="38.85546875" style="10" customWidth="1"/>
    <col min="4" max="4" width="16.5703125" style="10" customWidth="1"/>
    <col min="5" max="5" width="49.5703125" style="10" customWidth="1"/>
    <col min="6" max="6" width="24.5703125" style="10" customWidth="1"/>
    <col min="7" max="7" width="14.5703125" style="10" customWidth="1"/>
    <col min="8" max="8" width="26.5703125" style="11" customWidth="1"/>
    <col min="9" max="9" width="15.5703125" style="44" customWidth="1"/>
    <col min="10" max="10" width="18.140625" style="10" customWidth="1"/>
    <col min="11" max="11" width="57.7109375" style="10" customWidth="1"/>
    <col min="12" max="16384" width="11.42578125" style="10"/>
  </cols>
  <sheetData>
    <row r="1" spans="1:11" ht="18.75" customHeight="1" x14ac:dyDescent="0.2">
      <c r="A1" s="1570" t="s">
        <v>1999</v>
      </c>
      <c r="B1" s="1571"/>
      <c r="C1" s="1571"/>
      <c r="D1" s="1571"/>
      <c r="E1" s="1571"/>
      <c r="F1" s="1571"/>
      <c r="G1" s="1571"/>
      <c r="H1" s="1571"/>
      <c r="I1" s="1571"/>
      <c r="J1" s="1571"/>
      <c r="K1" s="1571"/>
    </row>
    <row r="2" spans="1:11" ht="18.75" customHeight="1" x14ac:dyDescent="0.2">
      <c r="A2" s="1589" t="s">
        <v>2104</v>
      </c>
      <c r="B2" s="1589"/>
      <c r="C2" s="1589"/>
      <c r="D2" s="1589"/>
      <c r="E2" s="1589"/>
      <c r="F2" s="1589"/>
      <c r="G2" s="1589"/>
      <c r="H2" s="1589"/>
      <c r="I2" s="1589"/>
      <c r="J2" s="1589"/>
      <c r="K2" s="1589"/>
    </row>
    <row r="3" spans="1:11" ht="36.75" thickBot="1" x14ac:dyDescent="0.25">
      <c r="A3" s="27" t="s">
        <v>170</v>
      </c>
      <c r="B3" s="28" t="s">
        <v>171</v>
      </c>
      <c r="C3" s="295" t="s">
        <v>172</v>
      </c>
      <c r="D3" s="295" t="s">
        <v>1998</v>
      </c>
      <c r="E3" s="295" t="s">
        <v>456</v>
      </c>
      <c r="F3" s="451" t="s">
        <v>1264</v>
      </c>
      <c r="G3" s="295" t="s">
        <v>458</v>
      </c>
      <c r="H3" s="295" t="s">
        <v>79</v>
      </c>
      <c r="I3" s="295" t="s">
        <v>1265</v>
      </c>
      <c r="J3" s="296" t="s">
        <v>1266</v>
      </c>
      <c r="K3" s="296" t="s">
        <v>1907</v>
      </c>
    </row>
    <row r="4" spans="1:11" x14ac:dyDescent="0.2">
      <c r="A4" s="1593" t="s">
        <v>2108</v>
      </c>
      <c r="B4" s="1583">
        <v>0.25</v>
      </c>
      <c r="C4" s="1585" t="s">
        <v>1271</v>
      </c>
      <c r="D4" s="316" t="s">
        <v>97</v>
      </c>
      <c r="E4" s="729" t="s">
        <v>2784</v>
      </c>
      <c r="F4" s="1384" t="s">
        <v>1270</v>
      </c>
      <c r="G4" s="1559" t="s">
        <v>2526</v>
      </c>
      <c r="H4" s="536" t="s">
        <v>1272</v>
      </c>
      <c r="I4" s="540">
        <v>0</v>
      </c>
      <c r="J4" s="1891">
        <f>IF(F4=" Concertó",25%,IF(F4=" Suscribió",50%,IF(F4="Realizó seguimiento",75%,IF(F4=" Evalúo",100%,0))))</f>
        <v>1</v>
      </c>
      <c r="K4" s="1010"/>
    </row>
    <row r="5" spans="1:11" ht="15" customHeight="1" x14ac:dyDescent="0.2">
      <c r="A5" s="1593"/>
      <c r="B5" s="1583"/>
      <c r="C5" s="1586"/>
      <c r="D5" s="16" t="s">
        <v>99</v>
      </c>
      <c r="E5" s="740" t="s">
        <v>1267</v>
      </c>
      <c r="F5" s="1522"/>
      <c r="G5" s="1560"/>
      <c r="H5" s="537" t="s">
        <v>1273</v>
      </c>
      <c r="I5" s="539">
        <v>0.25</v>
      </c>
      <c r="J5" s="1892"/>
      <c r="K5" s="1010"/>
    </row>
    <row r="6" spans="1:11" ht="15" customHeight="1" x14ac:dyDescent="0.2">
      <c r="A6" s="1593"/>
      <c r="B6" s="1583"/>
      <c r="C6" s="1586"/>
      <c r="D6" s="16" t="s">
        <v>101</v>
      </c>
      <c r="E6" s="740" t="s">
        <v>1268</v>
      </c>
      <c r="F6" s="1522"/>
      <c r="G6" s="1560"/>
      <c r="H6" s="537" t="s">
        <v>1274</v>
      </c>
      <c r="I6" s="539">
        <v>0.5</v>
      </c>
      <c r="J6" s="1892"/>
      <c r="K6" s="1010"/>
    </row>
    <row r="7" spans="1:11" ht="15" customHeight="1" x14ac:dyDescent="0.2">
      <c r="A7" s="1593"/>
      <c r="B7" s="1583"/>
      <c r="C7" s="1586"/>
      <c r="D7" s="16" t="s">
        <v>103</v>
      </c>
      <c r="E7" s="740" t="s">
        <v>2516</v>
      </c>
      <c r="F7" s="1522"/>
      <c r="G7" s="1560"/>
      <c r="H7" s="537" t="s">
        <v>1275</v>
      </c>
      <c r="I7" s="539">
        <v>0.75</v>
      </c>
      <c r="J7" s="1892"/>
      <c r="K7" s="1010"/>
    </row>
    <row r="8" spans="1:11" ht="15.75" customHeight="1" thickBot="1" x14ac:dyDescent="0.25">
      <c r="A8" s="1593"/>
      <c r="B8" s="1583"/>
      <c r="C8" s="1587"/>
      <c r="D8" s="317" t="s">
        <v>151</v>
      </c>
      <c r="E8" s="730" t="s">
        <v>1270</v>
      </c>
      <c r="F8" s="1371"/>
      <c r="G8" s="1561"/>
      <c r="H8" s="538" t="s">
        <v>1276</v>
      </c>
      <c r="I8" s="541">
        <v>1</v>
      </c>
      <c r="J8" s="1893"/>
      <c r="K8" s="1010"/>
    </row>
    <row r="9" spans="1:11" ht="15" customHeight="1" x14ac:dyDescent="0.2">
      <c r="A9" s="1593"/>
      <c r="B9" s="1583"/>
      <c r="C9" s="1894" t="s">
        <v>1277</v>
      </c>
      <c r="D9" s="446" t="s">
        <v>152</v>
      </c>
      <c r="E9" s="741" t="s">
        <v>2784</v>
      </c>
      <c r="F9" s="1384" t="s">
        <v>1270</v>
      </c>
      <c r="G9" s="1559" t="s">
        <v>2526</v>
      </c>
      <c r="H9" s="536" t="s">
        <v>1278</v>
      </c>
      <c r="I9" s="540">
        <v>0</v>
      </c>
      <c r="J9" s="1891">
        <f t="shared" ref="J9" si="0">IF(F9=" Concertó",25%,IF(F9=" Suscribió",50%,IF(F9="Realizó seguimiento",75%,IF(F9=" Evalúo",100%,0))))</f>
        <v>1</v>
      </c>
      <c r="K9" s="1010"/>
    </row>
    <row r="10" spans="1:11" ht="15" customHeight="1" x14ac:dyDescent="0.2">
      <c r="A10" s="1593"/>
      <c r="B10" s="1583"/>
      <c r="C10" s="1895"/>
      <c r="D10" s="452" t="s">
        <v>218</v>
      </c>
      <c r="E10" s="742" t="s">
        <v>1267</v>
      </c>
      <c r="F10" s="1522"/>
      <c r="G10" s="1560"/>
      <c r="H10" s="537" t="s">
        <v>1279</v>
      </c>
      <c r="I10" s="539">
        <v>0.25</v>
      </c>
      <c r="J10" s="1892"/>
      <c r="K10" s="1010"/>
    </row>
    <row r="11" spans="1:11" ht="15" customHeight="1" x14ac:dyDescent="0.2">
      <c r="A11" s="1593"/>
      <c r="B11" s="1583"/>
      <c r="C11" s="1895"/>
      <c r="D11" s="452" t="s">
        <v>220</v>
      </c>
      <c r="E11" s="742" t="s">
        <v>1268</v>
      </c>
      <c r="F11" s="1522"/>
      <c r="G11" s="1560"/>
      <c r="H11" s="537" t="s">
        <v>890</v>
      </c>
      <c r="I11" s="539">
        <v>0.5</v>
      </c>
      <c r="J11" s="1892"/>
      <c r="K11" s="1010"/>
    </row>
    <row r="12" spans="1:11" ht="15" customHeight="1" x14ac:dyDescent="0.2">
      <c r="A12" s="1593"/>
      <c r="B12" s="1583"/>
      <c r="C12" s="1895"/>
      <c r="D12" s="452" t="s">
        <v>222</v>
      </c>
      <c r="E12" s="742" t="s">
        <v>1269</v>
      </c>
      <c r="F12" s="1522"/>
      <c r="G12" s="1560"/>
      <c r="H12" s="537" t="s">
        <v>1280</v>
      </c>
      <c r="I12" s="539">
        <v>0.75</v>
      </c>
      <c r="J12" s="1892"/>
      <c r="K12" s="1010"/>
    </row>
    <row r="13" spans="1:11" ht="15.75" customHeight="1" thickBot="1" x14ac:dyDescent="0.25">
      <c r="A13" s="1593"/>
      <c r="B13" s="1583"/>
      <c r="C13" s="1896"/>
      <c r="D13" s="447" t="s">
        <v>224</v>
      </c>
      <c r="E13" s="743" t="s">
        <v>1270</v>
      </c>
      <c r="F13" s="1371"/>
      <c r="G13" s="1561"/>
      <c r="H13" s="538" t="s">
        <v>1281</v>
      </c>
      <c r="I13" s="541">
        <v>1</v>
      </c>
      <c r="J13" s="1893"/>
      <c r="K13" s="1010"/>
    </row>
    <row r="14" spans="1:11" x14ac:dyDescent="0.2">
      <c r="A14" s="1593"/>
      <c r="B14" s="1583"/>
      <c r="C14" s="1585" t="s">
        <v>1282</v>
      </c>
      <c r="D14" s="316" t="s">
        <v>226</v>
      </c>
      <c r="E14" s="729" t="s">
        <v>2784</v>
      </c>
      <c r="F14" s="1384" t="s">
        <v>1270</v>
      </c>
      <c r="G14" s="1559" t="s">
        <v>2526</v>
      </c>
      <c r="H14" s="536" t="s">
        <v>1283</v>
      </c>
      <c r="I14" s="540">
        <v>0</v>
      </c>
      <c r="J14" s="1891">
        <f t="shared" ref="J14" si="1">IF(F14=" Concertó",25%,IF(F14=" Suscribió",50%,IF(F14="Realizó seguimiento",75%,IF(F14=" Evalúo",100%,0))))</f>
        <v>1</v>
      </c>
      <c r="K14" s="1010"/>
    </row>
    <row r="15" spans="1:11" ht="15" customHeight="1" x14ac:dyDescent="0.2">
      <c r="A15" s="1593"/>
      <c r="B15" s="1583"/>
      <c r="C15" s="1586"/>
      <c r="D15" s="16" t="s">
        <v>228</v>
      </c>
      <c r="E15" s="740" t="s">
        <v>1267</v>
      </c>
      <c r="F15" s="1522"/>
      <c r="G15" s="1560"/>
      <c r="H15" s="537" t="s">
        <v>1284</v>
      </c>
      <c r="I15" s="539">
        <v>0.25</v>
      </c>
      <c r="J15" s="1892"/>
      <c r="K15" s="1010"/>
    </row>
    <row r="16" spans="1:11" ht="15" customHeight="1" x14ac:dyDescent="0.2">
      <c r="A16" s="1593"/>
      <c r="B16" s="1583"/>
      <c r="C16" s="1586"/>
      <c r="D16" s="16" t="s">
        <v>230</v>
      </c>
      <c r="E16" s="740" t="s">
        <v>1268</v>
      </c>
      <c r="F16" s="1522"/>
      <c r="G16" s="1560"/>
      <c r="H16" s="537" t="s">
        <v>1285</v>
      </c>
      <c r="I16" s="539">
        <v>0.5</v>
      </c>
      <c r="J16" s="1892"/>
      <c r="K16" s="1010"/>
    </row>
    <row r="17" spans="1:11" ht="15" customHeight="1" x14ac:dyDescent="0.2">
      <c r="A17" s="1593"/>
      <c r="B17" s="1583"/>
      <c r="C17" s="1586"/>
      <c r="D17" s="16" t="s">
        <v>232</v>
      </c>
      <c r="E17" s="740" t="s">
        <v>1269</v>
      </c>
      <c r="F17" s="1522"/>
      <c r="G17" s="1560"/>
      <c r="H17" s="537" t="s">
        <v>1286</v>
      </c>
      <c r="I17" s="539">
        <v>0.75</v>
      </c>
      <c r="J17" s="1892"/>
      <c r="K17" s="1010"/>
    </row>
    <row r="18" spans="1:11" ht="15.75" customHeight="1" thickBot="1" x14ac:dyDescent="0.25">
      <c r="A18" s="1593"/>
      <c r="B18" s="1583"/>
      <c r="C18" s="1587"/>
      <c r="D18" s="317" t="s">
        <v>234</v>
      </c>
      <c r="E18" s="730" t="s">
        <v>1270</v>
      </c>
      <c r="F18" s="1371"/>
      <c r="G18" s="1561"/>
      <c r="H18" s="538" t="s">
        <v>1287</v>
      </c>
      <c r="I18" s="541">
        <v>1</v>
      </c>
      <c r="J18" s="1893"/>
      <c r="K18" s="1010"/>
    </row>
    <row r="19" spans="1:11" ht="15" customHeight="1" x14ac:dyDescent="0.2">
      <c r="A19" s="1593"/>
      <c r="B19" s="1583"/>
      <c r="C19" s="1894" t="s">
        <v>1288</v>
      </c>
      <c r="D19" s="446" t="s">
        <v>236</v>
      </c>
      <c r="E19" s="741" t="s">
        <v>2784</v>
      </c>
      <c r="F19" s="1384" t="s">
        <v>1270</v>
      </c>
      <c r="G19" s="1559" t="s">
        <v>2526</v>
      </c>
      <c r="H19" s="536" t="s">
        <v>1289</v>
      </c>
      <c r="I19" s="540">
        <v>0</v>
      </c>
      <c r="J19" s="1891">
        <f t="shared" ref="J19" si="2">IF(F19=" Concertó",25%,IF(F19=" Suscribió",50%,IF(F19="Realizó seguimiento",75%,IF(F19=" Evalúo",100%,0))))</f>
        <v>1</v>
      </c>
      <c r="K19" s="1010"/>
    </row>
    <row r="20" spans="1:11" ht="15" customHeight="1" x14ac:dyDescent="0.2">
      <c r="A20" s="1593"/>
      <c r="B20" s="1583"/>
      <c r="C20" s="1895"/>
      <c r="D20" s="452" t="s">
        <v>238</v>
      </c>
      <c r="E20" s="742" t="s">
        <v>1267</v>
      </c>
      <c r="F20" s="1522"/>
      <c r="G20" s="1560"/>
      <c r="H20" s="537" t="s">
        <v>832</v>
      </c>
      <c r="I20" s="539">
        <v>0.25</v>
      </c>
      <c r="J20" s="1892"/>
      <c r="K20" s="1010"/>
    </row>
    <row r="21" spans="1:11" ht="15" customHeight="1" x14ac:dyDescent="0.2">
      <c r="A21" s="1593"/>
      <c r="B21" s="1583"/>
      <c r="C21" s="1895"/>
      <c r="D21" s="452" t="s">
        <v>240</v>
      </c>
      <c r="E21" s="742" t="s">
        <v>1268</v>
      </c>
      <c r="F21" s="1522"/>
      <c r="G21" s="1560"/>
      <c r="H21" s="537" t="s">
        <v>1290</v>
      </c>
      <c r="I21" s="539">
        <v>0.5</v>
      </c>
      <c r="J21" s="1892"/>
      <c r="K21" s="1010"/>
    </row>
    <row r="22" spans="1:11" ht="15" customHeight="1" x14ac:dyDescent="0.2">
      <c r="A22" s="1593"/>
      <c r="B22" s="1583"/>
      <c r="C22" s="1895"/>
      <c r="D22" s="452" t="s">
        <v>167</v>
      </c>
      <c r="E22" s="742" t="s">
        <v>1269</v>
      </c>
      <c r="F22" s="1522"/>
      <c r="G22" s="1560"/>
      <c r="H22" s="537" t="s">
        <v>1291</v>
      </c>
      <c r="I22" s="539">
        <v>0.75</v>
      </c>
      <c r="J22" s="1892"/>
      <c r="K22" s="1010"/>
    </row>
    <row r="23" spans="1:11" ht="15.75" customHeight="1" thickBot="1" x14ac:dyDescent="0.25">
      <c r="A23" s="1593"/>
      <c r="B23" s="1583"/>
      <c r="C23" s="1896"/>
      <c r="D23" s="447" t="s">
        <v>243</v>
      </c>
      <c r="E23" s="743" t="s">
        <v>1270</v>
      </c>
      <c r="F23" s="1371"/>
      <c r="G23" s="1561"/>
      <c r="H23" s="538" t="s">
        <v>1292</v>
      </c>
      <c r="I23" s="541">
        <v>1</v>
      </c>
      <c r="J23" s="1893"/>
      <c r="K23" s="1010"/>
    </row>
    <row r="24" spans="1:11" x14ac:dyDescent="0.2">
      <c r="A24" s="1593"/>
      <c r="B24" s="1583"/>
      <c r="C24" s="1585" t="s">
        <v>1293</v>
      </c>
      <c r="D24" s="316" t="s">
        <v>245</v>
      </c>
      <c r="E24" s="729" t="s">
        <v>2784</v>
      </c>
      <c r="F24" s="1384" t="s">
        <v>1270</v>
      </c>
      <c r="G24" s="1559" t="s">
        <v>2526</v>
      </c>
      <c r="H24" s="536" t="s">
        <v>1294</v>
      </c>
      <c r="I24" s="540">
        <v>0</v>
      </c>
      <c r="J24" s="1891">
        <f t="shared" ref="J24" si="3">IF(F24=" Concertó",25%,IF(F24=" Suscribió",50%,IF(F24="Realizó seguimiento",75%,IF(F24=" Evalúo",100%,0))))</f>
        <v>1</v>
      </c>
      <c r="K24" s="1010"/>
    </row>
    <row r="25" spans="1:11" ht="15" customHeight="1" x14ac:dyDescent="0.2">
      <c r="A25" s="1593"/>
      <c r="B25" s="1583"/>
      <c r="C25" s="1586"/>
      <c r="D25" s="16" t="s">
        <v>246</v>
      </c>
      <c r="E25" s="740" t="s">
        <v>1267</v>
      </c>
      <c r="F25" s="1522"/>
      <c r="G25" s="1560"/>
      <c r="H25" s="537" t="s">
        <v>843</v>
      </c>
      <c r="I25" s="539">
        <v>0.25</v>
      </c>
      <c r="J25" s="1892"/>
      <c r="K25" s="1010"/>
    </row>
    <row r="26" spans="1:11" ht="15" customHeight="1" x14ac:dyDescent="0.2">
      <c r="A26" s="1593"/>
      <c r="B26" s="1583"/>
      <c r="C26" s="1586"/>
      <c r="D26" s="16" t="s">
        <v>248</v>
      </c>
      <c r="E26" s="740" t="s">
        <v>1268</v>
      </c>
      <c r="F26" s="1522"/>
      <c r="G26" s="1560"/>
      <c r="H26" s="537" t="s">
        <v>1295</v>
      </c>
      <c r="I26" s="539">
        <v>0.5</v>
      </c>
      <c r="J26" s="1892"/>
      <c r="K26" s="1010"/>
    </row>
    <row r="27" spans="1:11" ht="15" customHeight="1" x14ac:dyDescent="0.2">
      <c r="A27" s="1593"/>
      <c r="B27" s="1583"/>
      <c r="C27" s="1586"/>
      <c r="D27" s="16" t="s">
        <v>250</v>
      </c>
      <c r="E27" s="740" t="s">
        <v>1269</v>
      </c>
      <c r="F27" s="1522"/>
      <c r="G27" s="1560"/>
      <c r="H27" s="537" t="s">
        <v>1296</v>
      </c>
      <c r="I27" s="539">
        <v>0.75</v>
      </c>
      <c r="J27" s="1892"/>
      <c r="K27" s="1010"/>
    </row>
    <row r="28" spans="1:11" ht="15.75" customHeight="1" thickBot="1" x14ac:dyDescent="0.25">
      <c r="A28" s="1593"/>
      <c r="B28" s="1583"/>
      <c r="C28" s="1587"/>
      <c r="D28" s="317" t="s">
        <v>252</v>
      </c>
      <c r="E28" s="730" t="s">
        <v>1270</v>
      </c>
      <c r="F28" s="1371"/>
      <c r="G28" s="1561"/>
      <c r="H28" s="538" t="s">
        <v>1297</v>
      </c>
      <c r="I28" s="541">
        <v>1</v>
      </c>
      <c r="J28" s="1893"/>
      <c r="K28" s="1010"/>
    </row>
    <row r="29" spans="1:11" x14ac:dyDescent="0.2">
      <c r="A29" s="1593"/>
      <c r="B29" s="1583"/>
      <c r="C29" s="1894" t="s">
        <v>1298</v>
      </c>
      <c r="D29" s="446" t="s">
        <v>254</v>
      </c>
      <c r="E29" s="741" t="s">
        <v>2784</v>
      </c>
      <c r="F29" s="1384" t="s">
        <v>2516</v>
      </c>
      <c r="G29" s="1559" t="s">
        <v>2526</v>
      </c>
      <c r="H29" s="536" t="s">
        <v>1299</v>
      </c>
      <c r="I29" s="540">
        <v>0</v>
      </c>
      <c r="J29" s="1891">
        <f t="shared" ref="J29" si="4">IF(F29=" Concertó",25%,IF(F29=" Suscribió",50%,IF(F29="Realizó seguimiento",75%,IF(F29=" Evalúo",100%,0))))</f>
        <v>0.75</v>
      </c>
      <c r="K29" s="1010"/>
    </row>
    <row r="30" spans="1:11" ht="15" customHeight="1" x14ac:dyDescent="0.2">
      <c r="A30" s="1593"/>
      <c r="B30" s="1583"/>
      <c r="C30" s="1895"/>
      <c r="D30" s="452" t="s">
        <v>255</v>
      </c>
      <c r="E30" s="742" t="s">
        <v>1267</v>
      </c>
      <c r="F30" s="1522"/>
      <c r="G30" s="1560"/>
      <c r="H30" s="537" t="s">
        <v>850</v>
      </c>
      <c r="I30" s="539">
        <v>0.25</v>
      </c>
      <c r="J30" s="1892"/>
      <c r="K30" s="1010"/>
    </row>
    <row r="31" spans="1:11" ht="15" customHeight="1" x14ac:dyDescent="0.2">
      <c r="A31" s="1593"/>
      <c r="B31" s="1583"/>
      <c r="C31" s="1895"/>
      <c r="D31" s="452" t="s">
        <v>257</v>
      </c>
      <c r="E31" s="742" t="s">
        <v>1268</v>
      </c>
      <c r="F31" s="1522"/>
      <c r="G31" s="1560"/>
      <c r="H31" s="537" t="s">
        <v>1300</v>
      </c>
      <c r="I31" s="539">
        <v>0.5</v>
      </c>
      <c r="J31" s="1892"/>
      <c r="K31" s="1010"/>
    </row>
    <row r="32" spans="1:11" ht="15" customHeight="1" x14ac:dyDescent="0.2">
      <c r="A32" s="1593"/>
      <c r="B32" s="1583"/>
      <c r="C32" s="1895"/>
      <c r="D32" s="452" t="s">
        <v>259</v>
      </c>
      <c r="E32" s="742" t="s">
        <v>1269</v>
      </c>
      <c r="F32" s="1522"/>
      <c r="G32" s="1560"/>
      <c r="H32" s="537" t="s">
        <v>1301</v>
      </c>
      <c r="I32" s="539">
        <v>0.75</v>
      </c>
      <c r="J32" s="1892"/>
      <c r="K32" s="1010"/>
    </row>
    <row r="33" spans="1:11" ht="15.75" customHeight="1" thickBot="1" x14ac:dyDescent="0.25">
      <c r="A33" s="1593"/>
      <c r="B33" s="1583"/>
      <c r="C33" s="1896"/>
      <c r="D33" s="447" t="s">
        <v>261</v>
      </c>
      <c r="E33" s="743" t="s">
        <v>1270</v>
      </c>
      <c r="F33" s="1371"/>
      <c r="G33" s="1561"/>
      <c r="H33" s="538" t="s">
        <v>1302</v>
      </c>
      <c r="I33" s="541">
        <v>1</v>
      </c>
      <c r="J33" s="1893"/>
      <c r="K33" s="1010"/>
    </row>
    <row r="34" spans="1:11" x14ac:dyDescent="0.2">
      <c r="A34" s="1593"/>
      <c r="B34" s="1583"/>
      <c r="C34" s="1585" t="s">
        <v>1303</v>
      </c>
      <c r="D34" s="316" t="s">
        <v>262</v>
      </c>
      <c r="E34" s="729" t="s">
        <v>2784</v>
      </c>
      <c r="F34" s="1384" t="s">
        <v>2516</v>
      </c>
      <c r="G34" s="1559" t="s">
        <v>2526</v>
      </c>
      <c r="H34" s="536" t="s">
        <v>1304</v>
      </c>
      <c r="I34" s="540">
        <v>0</v>
      </c>
      <c r="J34" s="1891">
        <f t="shared" ref="J34" si="5">IF(F34=" Concertó",25%,IF(F34=" Suscribió",50%,IF(F34="Realizó seguimiento",75%,IF(F34=" Evalúo",100%,0))))</f>
        <v>0.75</v>
      </c>
      <c r="K34" s="1010"/>
    </row>
    <row r="35" spans="1:11" ht="15" customHeight="1" x14ac:dyDescent="0.2">
      <c r="A35" s="1593"/>
      <c r="B35" s="1583"/>
      <c r="C35" s="1586"/>
      <c r="D35" s="16" t="s">
        <v>264</v>
      </c>
      <c r="E35" s="740" t="s">
        <v>1267</v>
      </c>
      <c r="F35" s="1522"/>
      <c r="G35" s="1560"/>
      <c r="H35" s="537" t="s">
        <v>860</v>
      </c>
      <c r="I35" s="539">
        <v>0.25</v>
      </c>
      <c r="J35" s="1892"/>
      <c r="K35" s="544"/>
    </row>
    <row r="36" spans="1:11" ht="15" customHeight="1" x14ac:dyDescent="0.2">
      <c r="A36" s="1593"/>
      <c r="B36" s="1583"/>
      <c r="C36" s="1586"/>
      <c r="D36" s="16" t="s">
        <v>266</v>
      </c>
      <c r="E36" s="740" t="s">
        <v>1268</v>
      </c>
      <c r="F36" s="1522"/>
      <c r="G36" s="1560"/>
      <c r="H36" s="537" t="s">
        <v>1305</v>
      </c>
      <c r="I36" s="539">
        <v>0.5</v>
      </c>
      <c r="J36" s="1892"/>
      <c r="K36" s="1010"/>
    </row>
    <row r="37" spans="1:11" ht="15" customHeight="1" x14ac:dyDescent="0.2">
      <c r="A37" s="1593"/>
      <c r="B37" s="1583"/>
      <c r="C37" s="1586"/>
      <c r="D37" s="16" t="s">
        <v>268</v>
      </c>
      <c r="E37" s="740" t="s">
        <v>1269</v>
      </c>
      <c r="F37" s="1522"/>
      <c r="G37" s="1560"/>
      <c r="H37" s="537" t="s">
        <v>1306</v>
      </c>
      <c r="I37" s="539">
        <v>0.75</v>
      </c>
      <c r="J37" s="1892"/>
      <c r="K37" s="1010"/>
    </row>
    <row r="38" spans="1:11" ht="15.75" customHeight="1" thickBot="1" x14ac:dyDescent="0.25">
      <c r="A38" s="1593"/>
      <c r="B38" s="1583"/>
      <c r="C38" s="1587"/>
      <c r="D38" s="317" t="s">
        <v>270</v>
      </c>
      <c r="E38" s="673" t="s">
        <v>1270</v>
      </c>
      <c r="F38" s="1371"/>
      <c r="G38" s="1561"/>
      <c r="H38" s="538" t="s">
        <v>1307</v>
      </c>
      <c r="I38" s="541">
        <v>1</v>
      </c>
      <c r="J38" s="1893"/>
      <c r="K38" s="1010"/>
    </row>
    <row r="39" spans="1:11" x14ac:dyDescent="0.2">
      <c r="A39" s="1593"/>
      <c r="B39" s="1583"/>
      <c r="C39" s="1894" t="s">
        <v>1308</v>
      </c>
      <c r="D39" s="453" t="s">
        <v>272</v>
      </c>
      <c r="E39" s="744" t="s">
        <v>1309</v>
      </c>
      <c r="F39" s="1384" t="s">
        <v>1309</v>
      </c>
      <c r="G39" s="1559" t="s">
        <v>2526</v>
      </c>
      <c r="H39" s="536" t="s">
        <v>2517</v>
      </c>
      <c r="I39" s="540">
        <v>1</v>
      </c>
      <c r="J39" s="1891">
        <f>IF(F39="En la totalidad de planes, programas y proyectos",100%,IF(F39="En la mayoría de planes, programas y proyectos",75%,IF(F39="En algunos de los planes, programas y proyectos",50%,IF(F39="En pocos planes, programas y proyectos",25%,0))))</f>
        <v>1</v>
      </c>
      <c r="K39" s="1010"/>
    </row>
    <row r="40" spans="1:11" ht="15" customHeight="1" x14ac:dyDescent="0.2">
      <c r="A40" s="1593"/>
      <c r="B40" s="1583"/>
      <c r="C40" s="1895"/>
      <c r="D40" s="454" t="s">
        <v>274</v>
      </c>
      <c r="E40" s="745" t="s">
        <v>1310</v>
      </c>
      <c r="F40" s="1522"/>
      <c r="G40" s="1560"/>
      <c r="H40" s="537" t="s">
        <v>2518</v>
      </c>
      <c r="I40" s="539">
        <v>0.75</v>
      </c>
      <c r="J40" s="1892"/>
      <c r="K40" s="1010"/>
    </row>
    <row r="41" spans="1:11" ht="15" customHeight="1" x14ac:dyDescent="0.2">
      <c r="A41" s="1593"/>
      <c r="B41" s="1583"/>
      <c r="C41" s="1895"/>
      <c r="D41" s="454" t="s">
        <v>276</v>
      </c>
      <c r="E41" s="745" t="s">
        <v>1311</v>
      </c>
      <c r="F41" s="1522"/>
      <c r="G41" s="1560"/>
      <c r="H41" s="537" t="s">
        <v>1312</v>
      </c>
      <c r="I41" s="539">
        <v>0.5</v>
      </c>
      <c r="J41" s="1892"/>
      <c r="K41" s="1010"/>
    </row>
    <row r="42" spans="1:11" ht="15" customHeight="1" x14ac:dyDescent="0.2">
      <c r="A42" s="1593"/>
      <c r="B42" s="1583"/>
      <c r="C42" s="1895"/>
      <c r="D42" s="454" t="s">
        <v>278</v>
      </c>
      <c r="E42" s="745" t="s">
        <v>1313</v>
      </c>
      <c r="F42" s="1522"/>
      <c r="G42" s="1560"/>
      <c r="H42" s="537" t="s">
        <v>2519</v>
      </c>
      <c r="I42" s="539">
        <v>0.25</v>
      </c>
      <c r="J42" s="1892"/>
      <c r="K42" s="1010"/>
    </row>
    <row r="43" spans="1:11" ht="15.75" customHeight="1" thickBot="1" x14ac:dyDescent="0.25">
      <c r="A43" s="1593"/>
      <c r="B43" s="1583"/>
      <c r="C43" s="1896"/>
      <c r="D43" s="455" t="s">
        <v>280</v>
      </c>
      <c r="E43" s="746" t="s">
        <v>1314</v>
      </c>
      <c r="F43" s="1371"/>
      <c r="G43" s="1561"/>
      <c r="H43" s="538" t="s">
        <v>2520</v>
      </c>
      <c r="I43" s="541">
        <v>0</v>
      </c>
      <c r="J43" s="1893"/>
      <c r="K43" s="1010"/>
    </row>
    <row r="44" spans="1:11" x14ac:dyDescent="0.2">
      <c r="A44" s="1593"/>
      <c r="B44" s="1583"/>
      <c r="C44" s="1585" t="s">
        <v>1315</v>
      </c>
      <c r="D44" s="307" t="s">
        <v>282</v>
      </c>
      <c r="E44" s="671" t="s">
        <v>1316</v>
      </c>
      <c r="F44" s="1384" t="s">
        <v>1316</v>
      </c>
      <c r="G44" s="1559" t="s">
        <v>2526</v>
      </c>
      <c r="H44" s="536" t="s">
        <v>1317</v>
      </c>
      <c r="I44" s="540">
        <v>1</v>
      </c>
      <c r="J44" s="1891">
        <f>IF(F44="Capacitación",100%,IF(F44="Reubicación",100%,IF(F44="Otra",25%,0)))</f>
        <v>1</v>
      </c>
      <c r="K44" s="1010"/>
    </row>
    <row r="45" spans="1:11" ht="15" customHeight="1" x14ac:dyDescent="0.2">
      <c r="A45" s="1593"/>
      <c r="B45" s="1583"/>
      <c r="C45" s="1586"/>
      <c r="D45" s="18" t="s">
        <v>284</v>
      </c>
      <c r="E45" s="672" t="s">
        <v>1318</v>
      </c>
      <c r="F45" s="1522"/>
      <c r="G45" s="1560"/>
      <c r="H45" s="537" t="s">
        <v>1319</v>
      </c>
      <c r="I45" s="539">
        <v>1</v>
      </c>
      <c r="J45" s="1892"/>
      <c r="K45" s="1010"/>
    </row>
    <row r="46" spans="1:11" ht="15" customHeight="1" x14ac:dyDescent="0.2">
      <c r="A46" s="1593"/>
      <c r="B46" s="1583"/>
      <c r="C46" s="1586"/>
      <c r="D46" s="18" t="s">
        <v>286</v>
      </c>
      <c r="E46" s="672" t="s">
        <v>1320</v>
      </c>
      <c r="F46" s="1522"/>
      <c r="G46" s="1560"/>
      <c r="H46" s="537" t="s">
        <v>1321</v>
      </c>
      <c r="I46" s="539">
        <v>0.25</v>
      </c>
      <c r="J46" s="1892"/>
      <c r="K46" s="1010"/>
    </row>
    <row r="47" spans="1:11" ht="15.75" customHeight="1" thickBot="1" x14ac:dyDescent="0.25">
      <c r="A47" s="1593"/>
      <c r="B47" s="1583"/>
      <c r="C47" s="1587"/>
      <c r="D47" s="308" t="s">
        <v>288</v>
      </c>
      <c r="E47" s="673" t="s">
        <v>187</v>
      </c>
      <c r="F47" s="1371"/>
      <c r="G47" s="1561"/>
      <c r="H47" s="538" t="s">
        <v>1322</v>
      </c>
      <c r="I47" s="541">
        <v>0</v>
      </c>
      <c r="J47" s="1893"/>
      <c r="K47" s="1010"/>
    </row>
    <row r="48" spans="1:11" x14ac:dyDescent="0.2">
      <c r="A48" s="1593"/>
      <c r="B48" s="1583"/>
      <c r="C48" s="1921" t="s">
        <v>1323</v>
      </c>
      <c r="D48" s="487" t="s">
        <v>290</v>
      </c>
      <c r="E48" s="747" t="s">
        <v>1324</v>
      </c>
      <c r="F48" s="464"/>
      <c r="G48" s="473">
        <v>1</v>
      </c>
      <c r="H48" s="1648" t="s">
        <v>2204</v>
      </c>
      <c r="I48" s="1924">
        <f>SUMIF(F48:F52,"X",G48:G52)</f>
        <v>2</v>
      </c>
      <c r="J48" s="1897">
        <f>(I48/3)</f>
        <v>0.66666666666666663</v>
      </c>
      <c r="K48" s="1010"/>
    </row>
    <row r="49" spans="1:11" x14ac:dyDescent="0.2">
      <c r="A49" s="1593"/>
      <c r="B49" s="1583"/>
      <c r="C49" s="1922"/>
      <c r="D49" s="17" t="s">
        <v>292</v>
      </c>
      <c r="E49" s="659" t="s">
        <v>1325</v>
      </c>
      <c r="F49" s="458" t="s">
        <v>167</v>
      </c>
      <c r="G49" s="467">
        <v>1</v>
      </c>
      <c r="H49" s="1560"/>
      <c r="I49" s="1562"/>
      <c r="J49" s="1550"/>
      <c r="K49" s="1010"/>
    </row>
    <row r="50" spans="1:11" x14ac:dyDescent="0.2">
      <c r="A50" s="1593"/>
      <c r="B50" s="1583"/>
      <c r="C50" s="1922"/>
      <c r="D50" s="17" t="s">
        <v>294</v>
      </c>
      <c r="E50" s="659" t="s">
        <v>1326</v>
      </c>
      <c r="F50" s="458" t="s">
        <v>167</v>
      </c>
      <c r="G50" s="467">
        <v>1</v>
      </c>
      <c r="H50" s="1560"/>
      <c r="I50" s="1562"/>
      <c r="J50" s="1550"/>
      <c r="K50" s="1010"/>
    </row>
    <row r="51" spans="1:11" x14ac:dyDescent="0.2">
      <c r="A51" s="1593"/>
      <c r="B51" s="1583"/>
      <c r="C51" s="1922"/>
      <c r="D51" s="17" t="s">
        <v>296</v>
      </c>
      <c r="E51" s="659" t="s">
        <v>1327</v>
      </c>
      <c r="F51" s="458" t="s">
        <v>167</v>
      </c>
      <c r="G51" s="467">
        <v>0</v>
      </c>
      <c r="H51" s="1560"/>
      <c r="I51" s="1562"/>
      <c r="J51" s="1550"/>
      <c r="K51" s="1010"/>
    </row>
    <row r="52" spans="1:11" ht="12.75" thickBot="1" x14ac:dyDescent="0.25">
      <c r="A52" s="1593"/>
      <c r="B52" s="1583"/>
      <c r="C52" s="1923"/>
      <c r="D52" s="302" t="s">
        <v>298</v>
      </c>
      <c r="E52" s="660" t="s">
        <v>187</v>
      </c>
      <c r="F52" s="459"/>
      <c r="G52" s="468">
        <v>0</v>
      </c>
      <c r="H52" s="1561"/>
      <c r="I52" s="1555"/>
      <c r="J52" s="1551"/>
      <c r="K52" s="1010"/>
    </row>
    <row r="53" spans="1:11" ht="37.5" customHeight="1" x14ac:dyDescent="0.2">
      <c r="A53" s="1593"/>
      <c r="B53" s="1583"/>
      <c r="C53" s="1552" t="s">
        <v>2783</v>
      </c>
      <c r="D53" s="307" t="s">
        <v>300</v>
      </c>
      <c r="E53" s="671" t="s">
        <v>388</v>
      </c>
      <c r="F53" s="1898" t="s">
        <v>388</v>
      </c>
      <c r="G53" s="1882" t="s">
        <v>2526</v>
      </c>
      <c r="H53" s="469" t="s">
        <v>1328</v>
      </c>
      <c r="I53" s="469" t="str">
        <f>IF(F53="X","100%","0")</f>
        <v>0</v>
      </c>
      <c r="J53" s="1549">
        <f>IF(F53="Si",100%,0)</f>
        <v>1</v>
      </c>
      <c r="K53" s="1010"/>
    </row>
    <row r="54" spans="1:11" ht="26.25" customHeight="1" thickBot="1" x14ac:dyDescent="0.25">
      <c r="A54" s="1593"/>
      <c r="B54" s="1583"/>
      <c r="C54" s="1553"/>
      <c r="D54" s="308" t="s">
        <v>302</v>
      </c>
      <c r="E54" s="673" t="s">
        <v>693</v>
      </c>
      <c r="F54" s="1899"/>
      <c r="G54" s="1883"/>
      <c r="H54" s="471" t="s">
        <v>1329</v>
      </c>
      <c r="I54" s="471" t="str">
        <f>IF(F54="X","100%","0")</f>
        <v>0</v>
      </c>
      <c r="J54" s="1551"/>
      <c r="K54" s="1010"/>
    </row>
    <row r="55" spans="1:11" ht="16.5" thickBot="1" x14ac:dyDescent="0.3">
      <c r="A55" s="1593"/>
      <c r="B55" s="1584"/>
      <c r="C55" s="1920" t="s">
        <v>2107</v>
      </c>
      <c r="D55" s="1920"/>
      <c r="E55" s="1920"/>
      <c r="F55" s="1920"/>
      <c r="G55" s="1920"/>
      <c r="H55" s="1920"/>
      <c r="I55" s="1920"/>
      <c r="J55" s="542">
        <f>AVERAGE(J4:J54)</f>
        <v>0.9242424242424242</v>
      </c>
      <c r="K55" s="1011"/>
    </row>
    <row r="56" spans="1:11" x14ac:dyDescent="0.2">
      <c r="A56" s="1581" t="s">
        <v>1330</v>
      </c>
      <c r="B56" s="1583">
        <v>0.25</v>
      </c>
      <c r="C56" s="1556" t="s">
        <v>1331</v>
      </c>
      <c r="D56" s="297" t="s">
        <v>82</v>
      </c>
      <c r="E56" s="658" t="s">
        <v>1332</v>
      </c>
      <c r="F56" s="457" t="s">
        <v>167</v>
      </c>
      <c r="G56" s="466">
        <v>1</v>
      </c>
      <c r="H56" s="1559" t="s">
        <v>2203</v>
      </c>
      <c r="I56" s="1554">
        <f>SUMIF(F56:F62,"x",G56:G62)</f>
        <v>5</v>
      </c>
      <c r="J56" s="1549">
        <f>I56/6</f>
        <v>0.83333333333333337</v>
      </c>
      <c r="K56" s="1010"/>
    </row>
    <row r="57" spans="1:11" x14ac:dyDescent="0.2">
      <c r="A57" s="1581"/>
      <c r="B57" s="1583"/>
      <c r="C57" s="1557"/>
      <c r="D57" s="17" t="s">
        <v>84</v>
      </c>
      <c r="E57" s="659" t="s">
        <v>1333</v>
      </c>
      <c r="F57" s="458"/>
      <c r="G57" s="467">
        <v>1</v>
      </c>
      <c r="H57" s="1560"/>
      <c r="I57" s="1562"/>
      <c r="J57" s="1550"/>
      <c r="K57" s="1010"/>
    </row>
    <row r="58" spans="1:11" ht="24" x14ac:dyDescent="0.2">
      <c r="A58" s="1581"/>
      <c r="B58" s="1583"/>
      <c r="C58" s="1557"/>
      <c r="D58" s="17" t="s">
        <v>86</v>
      </c>
      <c r="E58" s="659" t="s">
        <v>1334</v>
      </c>
      <c r="F58" s="458" t="s">
        <v>167</v>
      </c>
      <c r="G58" s="467">
        <v>1</v>
      </c>
      <c r="H58" s="1560"/>
      <c r="I58" s="1562"/>
      <c r="J58" s="1550"/>
      <c r="K58" s="1010"/>
    </row>
    <row r="59" spans="1:11" x14ac:dyDescent="0.2">
      <c r="A59" s="1581"/>
      <c r="B59" s="1583"/>
      <c r="C59" s="1557"/>
      <c r="D59" s="17" t="s">
        <v>87</v>
      </c>
      <c r="E59" s="659" t="s">
        <v>1335</v>
      </c>
      <c r="F59" s="458" t="s">
        <v>167</v>
      </c>
      <c r="G59" s="467">
        <v>1</v>
      </c>
      <c r="H59" s="1560"/>
      <c r="I59" s="1562"/>
      <c r="J59" s="1550"/>
      <c r="K59" s="1010"/>
    </row>
    <row r="60" spans="1:11" x14ac:dyDescent="0.2">
      <c r="A60" s="1581"/>
      <c r="B60" s="1583"/>
      <c r="C60" s="1557"/>
      <c r="D60" s="17" t="s">
        <v>95</v>
      </c>
      <c r="E60" s="659" t="s">
        <v>1336</v>
      </c>
      <c r="F60" s="458" t="s">
        <v>167</v>
      </c>
      <c r="G60" s="467">
        <v>1</v>
      </c>
      <c r="H60" s="1560"/>
      <c r="I60" s="1562"/>
      <c r="J60" s="1550"/>
      <c r="K60" s="1010"/>
    </row>
    <row r="61" spans="1:11" x14ac:dyDescent="0.2">
      <c r="A61" s="1581"/>
      <c r="B61" s="1583"/>
      <c r="C61" s="1557"/>
      <c r="D61" s="17" t="s">
        <v>97</v>
      </c>
      <c r="E61" s="659" t="s">
        <v>1337</v>
      </c>
      <c r="F61" s="458" t="s">
        <v>167</v>
      </c>
      <c r="G61" s="467">
        <v>1</v>
      </c>
      <c r="H61" s="1560"/>
      <c r="I61" s="1562"/>
      <c r="J61" s="1550"/>
      <c r="K61" s="1010"/>
    </row>
    <row r="62" spans="1:11" ht="12.75" thickBot="1" x14ac:dyDescent="0.25">
      <c r="A62" s="1581"/>
      <c r="B62" s="1583"/>
      <c r="C62" s="1885"/>
      <c r="D62" s="456" t="s">
        <v>99</v>
      </c>
      <c r="E62" s="737" t="s">
        <v>1338</v>
      </c>
      <c r="F62" s="463"/>
      <c r="G62" s="474">
        <v>0</v>
      </c>
      <c r="H62" s="1649"/>
      <c r="I62" s="1906"/>
      <c r="J62" s="1884"/>
      <c r="K62" s="1010"/>
    </row>
    <row r="63" spans="1:11" x14ac:dyDescent="0.2">
      <c r="A63" s="1581"/>
      <c r="B63" s="1583"/>
      <c r="C63" s="1578" t="s">
        <v>1339</v>
      </c>
      <c r="D63" s="312" t="s">
        <v>101</v>
      </c>
      <c r="E63" s="662" t="s">
        <v>1340</v>
      </c>
      <c r="F63" s="457" t="s">
        <v>167</v>
      </c>
      <c r="G63" s="466">
        <v>1</v>
      </c>
      <c r="H63" s="1559" t="s">
        <v>1341</v>
      </c>
      <c r="I63" s="1554">
        <f>SUMIF(F63:F80,"x",G63:G80)</f>
        <v>12</v>
      </c>
      <c r="J63" s="1549">
        <f>I63/17</f>
        <v>0.70588235294117652</v>
      </c>
      <c r="K63" s="1010"/>
    </row>
    <row r="64" spans="1:11" x14ac:dyDescent="0.2">
      <c r="A64" s="1581"/>
      <c r="B64" s="1583"/>
      <c r="C64" s="1579"/>
      <c r="D64" s="311" t="s">
        <v>103</v>
      </c>
      <c r="E64" s="663" t="s">
        <v>1342</v>
      </c>
      <c r="F64" s="458"/>
      <c r="G64" s="467">
        <v>1</v>
      </c>
      <c r="H64" s="1560"/>
      <c r="I64" s="1562"/>
      <c r="J64" s="1550"/>
      <c r="K64" s="1010"/>
    </row>
    <row r="65" spans="1:11" x14ac:dyDescent="0.2">
      <c r="A65" s="1581"/>
      <c r="B65" s="1583"/>
      <c r="C65" s="1579"/>
      <c r="D65" s="311" t="s">
        <v>151</v>
      </c>
      <c r="E65" s="663" t="s">
        <v>1343</v>
      </c>
      <c r="F65" s="458" t="s">
        <v>167</v>
      </c>
      <c r="G65" s="467">
        <v>1</v>
      </c>
      <c r="H65" s="1560"/>
      <c r="I65" s="1562"/>
      <c r="J65" s="1550"/>
      <c r="K65" s="1010"/>
    </row>
    <row r="66" spans="1:11" x14ac:dyDescent="0.2">
      <c r="A66" s="1581"/>
      <c r="B66" s="1583"/>
      <c r="C66" s="1579"/>
      <c r="D66" s="311" t="s">
        <v>152</v>
      </c>
      <c r="E66" s="663" t="s">
        <v>1344</v>
      </c>
      <c r="F66" s="458"/>
      <c r="G66" s="467">
        <v>1</v>
      </c>
      <c r="H66" s="1560"/>
      <c r="I66" s="1562"/>
      <c r="J66" s="1550"/>
      <c r="K66" s="1010"/>
    </row>
    <row r="67" spans="1:11" x14ac:dyDescent="0.2">
      <c r="A67" s="1581"/>
      <c r="B67" s="1583"/>
      <c r="C67" s="1579"/>
      <c r="D67" s="311" t="s">
        <v>218</v>
      </c>
      <c r="E67" s="663" t="s">
        <v>1345</v>
      </c>
      <c r="F67" s="458" t="s">
        <v>167</v>
      </c>
      <c r="G67" s="467">
        <v>1</v>
      </c>
      <c r="H67" s="1560"/>
      <c r="I67" s="1562"/>
      <c r="J67" s="1550"/>
      <c r="K67" s="1010"/>
    </row>
    <row r="68" spans="1:11" x14ac:dyDescent="0.2">
      <c r="A68" s="1581"/>
      <c r="B68" s="1583"/>
      <c r="C68" s="1579"/>
      <c r="D68" s="311" t="s">
        <v>220</v>
      </c>
      <c r="E68" s="663" t="s">
        <v>1346</v>
      </c>
      <c r="F68" s="458" t="s">
        <v>167</v>
      </c>
      <c r="G68" s="467">
        <v>1</v>
      </c>
      <c r="H68" s="1560"/>
      <c r="I68" s="1562"/>
      <c r="J68" s="1550"/>
      <c r="K68" s="1010"/>
    </row>
    <row r="69" spans="1:11" x14ac:dyDescent="0.2">
      <c r="A69" s="1581"/>
      <c r="B69" s="1583"/>
      <c r="C69" s="1579"/>
      <c r="D69" s="311" t="s">
        <v>222</v>
      </c>
      <c r="E69" s="663" t="s">
        <v>1347</v>
      </c>
      <c r="F69" s="458"/>
      <c r="G69" s="467">
        <v>1</v>
      </c>
      <c r="H69" s="1560"/>
      <c r="I69" s="1562"/>
      <c r="J69" s="1550"/>
      <c r="K69" s="1010"/>
    </row>
    <row r="70" spans="1:11" x14ac:dyDescent="0.2">
      <c r="A70" s="1581"/>
      <c r="B70" s="1583"/>
      <c r="C70" s="1579"/>
      <c r="D70" s="311" t="s">
        <v>224</v>
      </c>
      <c r="E70" s="663" t="s">
        <v>1348</v>
      </c>
      <c r="F70" s="458"/>
      <c r="G70" s="467">
        <v>1</v>
      </c>
      <c r="H70" s="1560"/>
      <c r="I70" s="1562"/>
      <c r="J70" s="1550"/>
      <c r="K70" s="1010"/>
    </row>
    <row r="71" spans="1:11" x14ac:dyDescent="0.2">
      <c r="A71" s="1581"/>
      <c r="B71" s="1583"/>
      <c r="C71" s="1579"/>
      <c r="D71" s="311" t="s">
        <v>226</v>
      </c>
      <c r="E71" s="663" t="s">
        <v>114</v>
      </c>
      <c r="F71" s="458" t="s">
        <v>167</v>
      </c>
      <c r="G71" s="467">
        <v>1</v>
      </c>
      <c r="H71" s="1560"/>
      <c r="I71" s="1562"/>
      <c r="J71" s="1550"/>
      <c r="K71" s="1010"/>
    </row>
    <row r="72" spans="1:11" x14ac:dyDescent="0.2">
      <c r="A72" s="1581"/>
      <c r="B72" s="1583"/>
      <c r="C72" s="1579"/>
      <c r="D72" s="311" t="s">
        <v>228</v>
      </c>
      <c r="E72" s="663" t="s">
        <v>1349</v>
      </c>
      <c r="F72" s="458" t="s">
        <v>167</v>
      </c>
      <c r="G72" s="467">
        <v>1</v>
      </c>
      <c r="H72" s="1560"/>
      <c r="I72" s="1562"/>
      <c r="J72" s="1550"/>
      <c r="K72" s="1010"/>
    </row>
    <row r="73" spans="1:11" x14ac:dyDescent="0.2">
      <c r="A73" s="1581"/>
      <c r="B73" s="1583"/>
      <c r="C73" s="1579"/>
      <c r="D73" s="311" t="s">
        <v>230</v>
      </c>
      <c r="E73" s="663" t="s">
        <v>112</v>
      </c>
      <c r="F73" s="458" t="s">
        <v>167</v>
      </c>
      <c r="G73" s="467">
        <v>1</v>
      </c>
      <c r="H73" s="1560"/>
      <c r="I73" s="1562"/>
      <c r="J73" s="1550"/>
      <c r="K73" s="1010"/>
    </row>
    <row r="74" spans="1:11" x14ac:dyDescent="0.2">
      <c r="A74" s="1581"/>
      <c r="B74" s="1583"/>
      <c r="C74" s="1579"/>
      <c r="D74" s="311" t="s">
        <v>232</v>
      </c>
      <c r="E74" s="663" t="s">
        <v>111</v>
      </c>
      <c r="F74" s="458" t="s">
        <v>167</v>
      </c>
      <c r="G74" s="467">
        <v>1</v>
      </c>
      <c r="H74" s="1560"/>
      <c r="I74" s="1562"/>
      <c r="J74" s="1550"/>
      <c r="K74" s="1010"/>
    </row>
    <row r="75" spans="1:11" x14ac:dyDescent="0.2">
      <c r="A75" s="1581"/>
      <c r="B75" s="1583"/>
      <c r="C75" s="1579"/>
      <c r="D75" s="311" t="s">
        <v>234</v>
      </c>
      <c r="E75" s="663" t="s">
        <v>1350</v>
      </c>
      <c r="F75" s="458" t="s">
        <v>167</v>
      </c>
      <c r="G75" s="467">
        <v>1</v>
      </c>
      <c r="H75" s="1560"/>
      <c r="I75" s="1562"/>
      <c r="J75" s="1550"/>
      <c r="K75" s="1010"/>
    </row>
    <row r="76" spans="1:11" x14ac:dyDescent="0.2">
      <c r="A76" s="1581"/>
      <c r="B76" s="1583"/>
      <c r="C76" s="1579"/>
      <c r="D76" s="311" t="s">
        <v>236</v>
      </c>
      <c r="E76" s="663" t="s">
        <v>1351</v>
      </c>
      <c r="F76" s="458"/>
      <c r="G76" s="467">
        <v>1</v>
      </c>
      <c r="H76" s="1560"/>
      <c r="I76" s="1562"/>
      <c r="J76" s="1550"/>
      <c r="K76" s="1010"/>
    </row>
    <row r="77" spans="1:11" x14ac:dyDescent="0.2">
      <c r="A77" s="1581"/>
      <c r="B77" s="1583"/>
      <c r="C77" s="1579"/>
      <c r="D77" s="311" t="s">
        <v>238</v>
      </c>
      <c r="E77" s="663" t="s">
        <v>1352</v>
      </c>
      <c r="F77" s="458" t="s">
        <v>167</v>
      </c>
      <c r="G77" s="467">
        <v>1</v>
      </c>
      <c r="H77" s="1560"/>
      <c r="I77" s="1562"/>
      <c r="J77" s="1550"/>
      <c r="K77" s="1010"/>
    </row>
    <row r="78" spans="1:11" x14ac:dyDescent="0.2">
      <c r="A78" s="1581"/>
      <c r="B78" s="1583"/>
      <c r="C78" s="1579"/>
      <c r="D78" s="311" t="s">
        <v>240</v>
      </c>
      <c r="E78" s="663" t="s">
        <v>102</v>
      </c>
      <c r="F78" s="458" t="s">
        <v>167</v>
      </c>
      <c r="G78" s="467">
        <v>1</v>
      </c>
      <c r="H78" s="1560"/>
      <c r="I78" s="1562"/>
      <c r="J78" s="1550"/>
      <c r="K78" s="1010"/>
    </row>
    <row r="79" spans="1:11" x14ac:dyDescent="0.2">
      <c r="A79" s="1581"/>
      <c r="B79" s="1583"/>
      <c r="C79" s="1579"/>
      <c r="D79" s="311" t="s">
        <v>167</v>
      </c>
      <c r="E79" s="663" t="s">
        <v>1353</v>
      </c>
      <c r="F79" s="458" t="s">
        <v>167</v>
      </c>
      <c r="G79" s="467">
        <v>1</v>
      </c>
      <c r="H79" s="1560"/>
      <c r="I79" s="1562"/>
      <c r="J79" s="1550"/>
      <c r="K79" s="1010"/>
    </row>
    <row r="80" spans="1:11" ht="12.75" thickBot="1" x14ac:dyDescent="0.25">
      <c r="A80" s="1581"/>
      <c r="B80" s="1583"/>
      <c r="C80" s="1580"/>
      <c r="D80" s="313" t="s">
        <v>243</v>
      </c>
      <c r="E80" s="664" t="s">
        <v>104</v>
      </c>
      <c r="F80" s="459" t="s">
        <v>167</v>
      </c>
      <c r="G80" s="468">
        <v>0</v>
      </c>
      <c r="H80" s="1561"/>
      <c r="I80" s="1555"/>
      <c r="J80" s="1551"/>
      <c r="K80" s="1010"/>
    </row>
    <row r="81" spans="1:11" ht="16.5" thickBot="1" x14ac:dyDescent="0.25">
      <c r="A81" s="1581"/>
      <c r="B81" s="1584"/>
      <c r="C81" s="1636" t="s">
        <v>2106</v>
      </c>
      <c r="D81" s="1636"/>
      <c r="E81" s="1636"/>
      <c r="F81" s="1636"/>
      <c r="G81" s="1636"/>
      <c r="H81" s="1636"/>
      <c r="I81" s="1636"/>
      <c r="J81" s="542">
        <f>(J56+J63)/2</f>
        <v>0.76960784313725494</v>
      </c>
      <c r="K81" s="1011"/>
    </row>
    <row r="82" spans="1:11" ht="24" x14ac:dyDescent="0.2">
      <c r="A82" s="1581" t="s">
        <v>1354</v>
      </c>
      <c r="B82" s="1583">
        <v>0.25</v>
      </c>
      <c r="C82" s="1556" t="s">
        <v>1355</v>
      </c>
      <c r="D82" s="297" t="s">
        <v>82</v>
      </c>
      <c r="E82" s="957" t="s">
        <v>1356</v>
      </c>
      <c r="F82" s="457"/>
      <c r="G82" s="466">
        <v>1</v>
      </c>
      <c r="H82" s="1559" t="s">
        <v>2542</v>
      </c>
      <c r="I82" s="1554">
        <f>SUMIF(F82:F86,"x",G82:G86)</f>
        <v>3</v>
      </c>
      <c r="J82" s="1549">
        <f>IFERROR(IF(F85="x",100%,(I82/3)),0)</f>
        <v>1</v>
      </c>
      <c r="K82" s="1010"/>
    </row>
    <row r="83" spans="1:11" ht="20.25" customHeight="1" x14ac:dyDescent="0.2">
      <c r="A83" s="1581"/>
      <c r="B83" s="1583"/>
      <c r="C83" s="1557"/>
      <c r="D83" s="17" t="s">
        <v>84</v>
      </c>
      <c r="E83" s="958" t="s">
        <v>1357</v>
      </c>
      <c r="F83" s="458"/>
      <c r="G83" s="467">
        <v>1</v>
      </c>
      <c r="H83" s="1560"/>
      <c r="I83" s="1562"/>
      <c r="J83" s="1550"/>
      <c r="K83" s="1010"/>
    </row>
    <row r="84" spans="1:11" ht="41.25" customHeight="1" x14ac:dyDescent="0.2">
      <c r="A84" s="1581"/>
      <c r="B84" s="1583"/>
      <c r="C84" s="1557"/>
      <c r="D84" s="17" t="s">
        <v>86</v>
      </c>
      <c r="E84" s="958" t="s">
        <v>1358</v>
      </c>
      <c r="F84" s="458"/>
      <c r="G84" s="467">
        <v>1</v>
      </c>
      <c r="H84" s="1560"/>
      <c r="I84" s="1562"/>
      <c r="J84" s="1550"/>
      <c r="K84" s="1010"/>
    </row>
    <row r="85" spans="1:11" ht="18" customHeight="1" x14ac:dyDescent="0.2">
      <c r="A85" s="1581"/>
      <c r="B85" s="1583"/>
      <c r="C85" s="1557"/>
      <c r="D85" s="17" t="s">
        <v>87</v>
      </c>
      <c r="E85" s="958" t="s">
        <v>1359</v>
      </c>
      <c r="F85" s="458" t="s">
        <v>167</v>
      </c>
      <c r="G85" s="467">
        <v>3</v>
      </c>
      <c r="H85" s="1560"/>
      <c r="I85" s="1562"/>
      <c r="J85" s="1550"/>
      <c r="K85" s="1010"/>
    </row>
    <row r="86" spans="1:11" ht="14.25" customHeight="1" thickBot="1" x14ac:dyDescent="0.25">
      <c r="A86" s="1581"/>
      <c r="B86" s="1583"/>
      <c r="C86" s="1558"/>
      <c r="D86" s="302" t="s">
        <v>95</v>
      </c>
      <c r="E86" s="959" t="s">
        <v>1360</v>
      </c>
      <c r="F86" s="459"/>
      <c r="G86" s="468">
        <v>0</v>
      </c>
      <c r="H86" s="1561"/>
      <c r="I86" s="1555"/>
      <c r="J86" s="1551"/>
      <c r="K86" s="1010"/>
    </row>
    <row r="87" spans="1:11" x14ac:dyDescent="0.2">
      <c r="A87" s="1581"/>
      <c r="B87" s="1583"/>
      <c r="C87" s="1578" t="s">
        <v>1361</v>
      </c>
      <c r="D87" s="312" t="s">
        <v>97</v>
      </c>
      <c r="E87" s="662" t="s">
        <v>1362</v>
      </c>
      <c r="F87" s="460" t="s">
        <v>167</v>
      </c>
      <c r="G87" s="479">
        <v>1</v>
      </c>
      <c r="H87" s="1903" t="s">
        <v>2543</v>
      </c>
      <c r="I87" s="1653">
        <f>SUMIF(F87:F99,"x",G87:G99)</f>
        <v>10</v>
      </c>
      <c r="J87" s="1909">
        <f>I87/12</f>
        <v>0.83333333333333337</v>
      </c>
      <c r="K87" s="544"/>
    </row>
    <row r="88" spans="1:11" x14ac:dyDescent="0.2">
      <c r="A88" s="1581"/>
      <c r="B88" s="1583"/>
      <c r="C88" s="1579"/>
      <c r="D88" s="311" t="s">
        <v>99</v>
      </c>
      <c r="E88" s="663" t="s">
        <v>1363</v>
      </c>
      <c r="F88" s="461" t="s">
        <v>167</v>
      </c>
      <c r="G88" s="481">
        <v>1</v>
      </c>
      <c r="H88" s="1904"/>
      <c r="I88" s="1654"/>
      <c r="J88" s="1910"/>
      <c r="K88" s="544"/>
    </row>
    <row r="89" spans="1:11" x14ac:dyDescent="0.2">
      <c r="A89" s="1581"/>
      <c r="B89" s="1583"/>
      <c r="C89" s="1579"/>
      <c r="D89" s="311" t="s">
        <v>101</v>
      </c>
      <c r="E89" s="663" t="s">
        <v>1364</v>
      </c>
      <c r="F89" s="461" t="s">
        <v>167</v>
      </c>
      <c r="G89" s="481">
        <v>1</v>
      </c>
      <c r="H89" s="1904"/>
      <c r="I89" s="1654"/>
      <c r="J89" s="1910"/>
      <c r="K89" s="544"/>
    </row>
    <row r="90" spans="1:11" x14ac:dyDescent="0.2">
      <c r="A90" s="1581"/>
      <c r="B90" s="1583"/>
      <c r="C90" s="1579"/>
      <c r="D90" s="311" t="s">
        <v>103</v>
      </c>
      <c r="E90" s="663" t="s">
        <v>1365</v>
      </c>
      <c r="F90" s="461" t="s">
        <v>167</v>
      </c>
      <c r="G90" s="481">
        <v>1</v>
      </c>
      <c r="H90" s="1904"/>
      <c r="I90" s="1654"/>
      <c r="J90" s="1910"/>
      <c r="K90" s="544"/>
    </row>
    <row r="91" spans="1:11" x14ac:dyDescent="0.2">
      <c r="A91" s="1581"/>
      <c r="B91" s="1583"/>
      <c r="C91" s="1579"/>
      <c r="D91" s="311" t="s">
        <v>151</v>
      </c>
      <c r="E91" s="663" t="s">
        <v>1366</v>
      </c>
      <c r="F91" s="461"/>
      <c r="G91" s="481">
        <v>1</v>
      </c>
      <c r="H91" s="1904"/>
      <c r="I91" s="1654"/>
      <c r="J91" s="1910"/>
      <c r="K91" s="544"/>
    </row>
    <row r="92" spans="1:11" x14ac:dyDescent="0.2">
      <c r="A92" s="1581"/>
      <c r="B92" s="1583"/>
      <c r="C92" s="1579"/>
      <c r="D92" s="311" t="s">
        <v>152</v>
      </c>
      <c r="E92" s="663" t="s">
        <v>1367</v>
      </c>
      <c r="F92" s="461" t="s">
        <v>167</v>
      </c>
      <c r="G92" s="481">
        <v>1</v>
      </c>
      <c r="H92" s="1904"/>
      <c r="I92" s="1654"/>
      <c r="J92" s="1910"/>
      <c r="K92" s="544"/>
    </row>
    <row r="93" spans="1:11" x14ac:dyDescent="0.2">
      <c r="A93" s="1581"/>
      <c r="B93" s="1583"/>
      <c r="C93" s="1579"/>
      <c r="D93" s="311" t="s">
        <v>218</v>
      </c>
      <c r="E93" s="663" t="s">
        <v>1368</v>
      </c>
      <c r="F93" s="461" t="s">
        <v>167</v>
      </c>
      <c r="G93" s="481">
        <v>1</v>
      </c>
      <c r="H93" s="1904"/>
      <c r="I93" s="1654"/>
      <c r="J93" s="1910"/>
      <c r="K93" s="544"/>
    </row>
    <row r="94" spans="1:11" x14ac:dyDescent="0.2">
      <c r="A94" s="1581"/>
      <c r="B94" s="1583"/>
      <c r="C94" s="1579"/>
      <c r="D94" s="311" t="s">
        <v>220</v>
      </c>
      <c r="E94" s="663" t="s">
        <v>1369</v>
      </c>
      <c r="F94" s="461" t="s">
        <v>167</v>
      </c>
      <c r="G94" s="481">
        <v>1</v>
      </c>
      <c r="H94" s="1904"/>
      <c r="I94" s="1654"/>
      <c r="J94" s="1910"/>
      <c r="K94" s="544"/>
    </row>
    <row r="95" spans="1:11" ht="24" x14ac:dyDescent="0.2">
      <c r="A95" s="1581"/>
      <c r="B95" s="1583"/>
      <c r="C95" s="1579"/>
      <c r="D95" s="311" t="s">
        <v>222</v>
      </c>
      <c r="E95" s="663" t="s">
        <v>1370</v>
      </c>
      <c r="F95" s="461" t="s">
        <v>167</v>
      </c>
      <c r="G95" s="481">
        <v>1</v>
      </c>
      <c r="H95" s="1904"/>
      <c r="I95" s="1654"/>
      <c r="J95" s="1910"/>
      <c r="K95" s="544"/>
    </row>
    <row r="96" spans="1:11" x14ac:dyDescent="0.2">
      <c r="A96" s="1581"/>
      <c r="B96" s="1583"/>
      <c r="C96" s="1579"/>
      <c r="D96" s="311" t="s">
        <v>224</v>
      </c>
      <c r="E96" s="663" t="s">
        <v>1347</v>
      </c>
      <c r="F96" s="461" t="s">
        <v>167</v>
      </c>
      <c r="G96" s="481">
        <v>1</v>
      </c>
      <c r="H96" s="1904"/>
      <c r="I96" s="1654"/>
      <c r="J96" s="1910"/>
      <c r="K96" s="544"/>
    </row>
    <row r="97" spans="1:11" x14ac:dyDescent="0.2">
      <c r="A97" s="1581"/>
      <c r="B97" s="1583"/>
      <c r="C97" s="1579"/>
      <c r="D97" s="311" t="s">
        <v>226</v>
      </c>
      <c r="E97" s="663" t="s">
        <v>1371</v>
      </c>
      <c r="F97" s="461" t="s">
        <v>167</v>
      </c>
      <c r="G97" s="481">
        <v>1</v>
      </c>
      <c r="H97" s="1904"/>
      <c r="I97" s="1654"/>
      <c r="J97" s="1910"/>
      <c r="K97" s="544"/>
    </row>
    <row r="98" spans="1:11" x14ac:dyDescent="0.2">
      <c r="A98" s="1581"/>
      <c r="B98" s="1583"/>
      <c r="C98" s="1579"/>
      <c r="D98" s="311" t="s">
        <v>228</v>
      </c>
      <c r="E98" s="663" t="s">
        <v>1372</v>
      </c>
      <c r="F98" s="461"/>
      <c r="G98" s="481">
        <v>1</v>
      </c>
      <c r="H98" s="1904"/>
      <c r="I98" s="1654"/>
      <c r="J98" s="1910"/>
      <c r="K98" s="544"/>
    </row>
    <row r="99" spans="1:11" ht="12.75" thickBot="1" x14ac:dyDescent="0.25">
      <c r="A99" s="1581"/>
      <c r="B99" s="1583"/>
      <c r="C99" s="1580"/>
      <c r="D99" s="313" t="s">
        <v>230</v>
      </c>
      <c r="E99" s="664" t="s">
        <v>104</v>
      </c>
      <c r="F99" s="462"/>
      <c r="G99" s="480">
        <v>0</v>
      </c>
      <c r="H99" s="1905"/>
      <c r="I99" s="1655"/>
      <c r="J99" s="1911"/>
      <c r="K99" s="544"/>
    </row>
    <row r="100" spans="1:11" x14ac:dyDescent="0.2">
      <c r="A100" s="1581"/>
      <c r="B100" s="1583"/>
      <c r="C100" s="1900" t="s">
        <v>1373</v>
      </c>
      <c r="D100" s="297" t="s">
        <v>232</v>
      </c>
      <c r="E100" s="658" t="s">
        <v>1374</v>
      </c>
      <c r="F100" s="457" t="s">
        <v>167</v>
      </c>
      <c r="G100" s="466">
        <v>1</v>
      </c>
      <c r="H100" s="1559" t="s">
        <v>2201</v>
      </c>
      <c r="I100" s="1554">
        <f>SUMIF(F100:F103,"x",G100:G103)</f>
        <v>2</v>
      </c>
      <c r="J100" s="1549">
        <f>I100/3</f>
        <v>0.66666666666666663</v>
      </c>
      <c r="K100" s="1010"/>
    </row>
    <row r="101" spans="1:11" x14ac:dyDescent="0.2">
      <c r="A101" s="1581"/>
      <c r="B101" s="1583"/>
      <c r="C101" s="1901"/>
      <c r="D101" s="17" t="s">
        <v>234</v>
      </c>
      <c r="E101" s="659" t="s">
        <v>1375</v>
      </c>
      <c r="F101" s="458"/>
      <c r="G101" s="467">
        <v>1</v>
      </c>
      <c r="H101" s="1560"/>
      <c r="I101" s="1562"/>
      <c r="J101" s="1550"/>
      <c r="K101" s="1010"/>
    </row>
    <row r="102" spans="1:11" ht="24" x14ac:dyDescent="0.2">
      <c r="A102" s="1581"/>
      <c r="B102" s="1583"/>
      <c r="C102" s="1901"/>
      <c r="D102" s="17" t="s">
        <v>236</v>
      </c>
      <c r="E102" s="659" t="s">
        <v>1376</v>
      </c>
      <c r="F102" s="458" t="s">
        <v>167</v>
      </c>
      <c r="G102" s="467">
        <v>1</v>
      </c>
      <c r="H102" s="1560"/>
      <c r="I102" s="1562"/>
      <c r="J102" s="1550"/>
      <c r="K102" s="1010"/>
    </row>
    <row r="103" spans="1:11" ht="12.75" thickBot="1" x14ac:dyDescent="0.25">
      <c r="A103" s="1581"/>
      <c r="B103" s="1583"/>
      <c r="C103" s="1902"/>
      <c r="D103" s="302" t="s">
        <v>238</v>
      </c>
      <c r="E103" s="660" t="s">
        <v>1377</v>
      </c>
      <c r="F103" s="459"/>
      <c r="G103" s="468">
        <v>0</v>
      </c>
      <c r="H103" s="1561"/>
      <c r="I103" s="1555"/>
      <c r="J103" s="1551"/>
      <c r="K103" s="1010"/>
    </row>
    <row r="104" spans="1:11" x14ac:dyDescent="0.2">
      <c r="A104" s="1581"/>
      <c r="B104" s="1583"/>
      <c r="C104" s="1585" t="s">
        <v>1378</v>
      </c>
      <c r="D104" s="307" t="s">
        <v>240</v>
      </c>
      <c r="E104" s="671">
        <v>2015</v>
      </c>
      <c r="F104" s="1384">
        <v>2016</v>
      </c>
      <c r="G104" s="1559" t="s">
        <v>2526</v>
      </c>
      <c r="H104" s="469" t="s">
        <v>1379</v>
      </c>
      <c r="I104" s="469" t="str">
        <f>IF(F104="X","50%","0")</f>
        <v>0</v>
      </c>
      <c r="J104" s="1549">
        <f>IF(F104=2015,50%,IF(F104=2016,100%,0))</f>
        <v>1</v>
      </c>
      <c r="K104" s="1010"/>
    </row>
    <row r="105" spans="1:11" ht="15" customHeight="1" x14ac:dyDescent="0.2">
      <c r="A105" s="1581"/>
      <c r="B105" s="1583"/>
      <c r="C105" s="1586"/>
      <c r="D105" s="18" t="s">
        <v>167</v>
      </c>
      <c r="E105" s="672">
        <v>2016</v>
      </c>
      <c r="F105" s="1522"/>
      <c r="G105" s="1560"/>
      <c r="H105" s="470" t="s">
        <v>1380</v>
      </c>
      <c r="I105" s="470" t="str">
        <f>IF(F105="X","100%","0")</f>
        <v>0</v>
      </c>
      <c r="J105" s="1550"/>
      <c r="K105" s="1010"/>
    </row>
    <row r="106" spans="1:11" ht="15.75" customHeight="1" thickBot="1" x14ac:dyDescent="0.25">
      <c r="A106" s="1581"/>
      <c r="B106" s="1583"/>
      <c r="C106" s="1587"/>
      <c r="D106" s="308" t="s">
        <v>243</v>
      </c>
      <c r="E106" s="673" t="s">
        <v>1381</v>
      </c>
      <c r="F106" s="1371"/>
      <c r="G106" s="1561"/>
      <c r="H106" s="471" t="s">
        <v>1382</v>
      </c>
      <c r="I106" s="471" t="str">
        <f>IF(F106="X","0","0")</f>
        <v>0</v>
      </c>
      <c r="J106" s="1551"/>
      <c r="K106" s="1010"/>
    </row>
    <row r="107" spans="1:11" x14ac:dyDescent="0.2">
      <c r="A107" s="1581"/>
      <c r="B107" s="1583"/>
      <c r="C107" s="1556" t="s">
        <v>1383</v>
      </c>
      <c r="D107" s="297" t="s">
        <v>245</v>
      </c>
      <c r="E107" s="658" t="s">
        <v>1384</v>
      </c>
      <c r="F107" s="457" t="s">
        <v>167</v>
      </c>
      <c r="G107" s="466">
        <v>1</v>
      </c>
      <c r="H107" s="1559" t="s">
        <v>2202</v>
      </c>
      <c r="I107" s="1554">
        <f>SUMIF(F107:F113,"x",G107:G113)</f>
        <v>6</v>
      </c>
      <c r="J107" s="1549">
        <f>I107/6</f>
        <v>1</v>
      </c>
      <c r="K107" s="1010"/>
    </row>
    <row r="108" spans="1:11" x14ac:dyDescent="0.2">
      <c r="A108" s="1581"/>
      <c r="B108" s="1583"/>
      <c r="C108" s="1557"/>
      <c r="D108" s="17" t="s">
        <v>246</v>
      </c>
      <c r="E108" s="659" t="s">
        <v>1385</v>
      </c>
      <c r="F108" s="458" t="s">
        <v>167</v>
      </c>
      <c r="G108" s="467">
        <v>1</v>
      </c>
      <c r="H108" s="1560"/>
      <c r="I108" s="1562"/>
      <c r="J108" s="1550"/>
      <c r="K108" s="1010"/>
    </row>
    <row r="109" spans="1:11" x14ac:dyDescent="0.2">
      <c r="A109" s="1581"/>
      <c r="B109" s="1583"/>
      <c r="C109" s="1557"/>
      <c r="D109" s="17" t="s">
        <v>248</v>
      </c>
      <c r="E109" s="659" t="s">
        <v>1386</v>
      </c>
      <c r="F109" s="458" t="s">
        <v>167</v>
      </c>
      <c r="G109" s="467">
        <v>1</v>
      </c>
      <c r="H109" s="1560"/>
      <c r="I109" s="1562"/>
      <c r="J109" s="1550"/>
      <c r="K109" s="1010"/>
    </row>
    <row r="110" spans="1:11" x14ac:dyDescent="0.2">
      <c r="A110" s="1581"/>
      <c r="B110" s="1583"/>
      <c r="C110" s="1557"/>
      <c r="D110" s="17" t="s">
        <v>250</v>
      </c>
      <c r="E110" s="659" t="s">
        <v>1387</v>
      </c>
      <c r="F110" s="458" t="s">
        <v>167</v>
      </c>
      <c r="G110" s="467">
        <v>1</v>
      </c>
      <c r="H110" s="1560"/>
      <c r="I110" s="1562"/>
      <c r="J110" s="1550"/>
      <c r="K110" s="1010"/>
    </row>
    <row r="111" spans="1:11" x14ac:dyDescent="0.2">
      <c r="A111" s="1581"/>
      <c r="B111" s="1583"/>
      <c r="C111" s="1557"/>
      <c r="D111" s="17" t="s">
        <v>252</v>
      </c>
      <c r="E111" s="659" t="s">
        <v>1388</v>
      </c>
      <c r="F111" s="458" t="s">
        <v>167</v>
      </c>
      <c r="G111" s="467">
        <v>1</v>
      </c>
      <c r="H111" s="1560"/>
      <c r="I111" s="1562"/>
      <c r="J111" s="1550"/>
      <c r="K111" s="1010"/>
    </row>
    <row r="112" spans="1:11" x14ac:dyDescent="0.2">
      <c r="A112" s="1581"/>
      <c r="B112" s="1583"/>
      <c r="C112" s="1557"/>
      <c r="D112" s="17" t="s">
        <v>254</v>
      </c>
      <c r="E112" s="659" t="s">
        <v>1389</v>
      </c>
      <c r="F112" s="458" t="s">
        <v>167</v>
      </c>
      <c r="G112" s="467">
        <v>1</v>
      </c>
      <c r="H112" s="1560"/>
      <c r="I112" s="1562"/>
      <c r="J112" s="1550"/>
      <c r="K112" s="1010"/>
    </row>
    <row r="113" spans="1:11" ht="12.75" thickBot="1" x14ac:dyDescent="0.25">
      <c r="A113" s="1581"/>
      <c r="B113" s="1583"/>
      <c r="C113" s="1558"/>
      <c r="D113" s="302" t="s">
        <v>255</v>
      </c>
      <c r="E113" s="660" t="s">
        <v>917</v>
      </c>
      <c r="F113" s="459"/>
      <c r="G113" s="468">
        <v>0</v>
      </c>
      <c r="H113" s="1561"/>
      <c r="I113" s="1555"/>
      <c r="J113" s="1551"/>
      <c r="K113" s="1010"/>
    </row>
    <row r="114" spans="1:11" ht="16.5" thickBot="1" x14ac:dyDescent="0.25">
      <c r="A114" s="1581"/>
      <c r="B114" s="1583"/>
      <c r="C114" s="1907" t="s">
        <v>2105</v>
      </c>
      <c r="D114" s="1908"/>
      <c r="E114" s="1908"/>
      <c r="F114" s="1908"/>
      <c r="G114" s="1908"/>
      <c r="H114" s="1908"/>
      <c r="I114" s="1908"/>
      <c r="J114" s="545">
        <f>AVERAGE(J82:J113)</f>
        <v>0.9</v>
      </c>
      <c r="K114" s="1010"/>
    </row>
    <row r="115" spans="1:11" ht="33.75" customHeight="1" x14ac:dyDescent="0.2">
      <c r="A115" s="1581" t="s">
        <v>1390</v>
      </c>
      <c r="B115" s="1583">
        <v>0.25</v>
      </c>
      <c r="C115" s="1552" t="s">
        <v>1391</v>
      </c>
      <c r="D115" s="307" t="s">
        <v>82</v>
      </c>
      <c r="E115" s="671" t="s">
        <v>388</v>
      </c>
      <c r="F115" s="1898" t="s">
        <v>388</v>
      </c>
      <c r="G115" s="1903" t="s">
        <v>2526</v>
      </c>
      <c r="H115" s="475" t="s">
        <v>1392</v>
      </c>
      <c r="I115" s="1918" t="str">
        <f>IF(F115="X","100%","0")</f>
        <v>0</v>
      </c>
      <c r="J115" s="1912">
        <f>IF(F115="Si",100%,0)</f>
        <v>1</v>
      </c>
      <c r="K115" s="1010"/>
    </row>
    <row r="116" spans="1:11" ht="24.75" customHeight="1" thickBot="1" x14ac:dyDescent="0.25">
      <c r="A116" s="1581"/>
      <c r="B116" s="1673"/>
      <c r="C116" s="1553"/>
      <c r="D116" s="308" t="s">
        <v>84</v>
      </c>
      <c r="E116" s="673" t="s">
        <v>85</v>
      </c>
      <c r="F116" s="1899"/>
      <c r="G116" s="1905"/>
      <c r="H116" s="476" t="s">
        <v>463</v>
      </c>
      <c r="I116" s="1919"/>
      <c r="J116" s="1913"/>
      <c r="K116" s="1010"/>
    </row>
    <row r="117" spans="1:11" ht="18.75" x14ac:dyDescent="0.2">
      <c r="A117" s="1914" t="s">
        <v>2109</v>
      </c>
      <c r="B117" s="1915"/>
      <c r="C117" s="1915"/>
      <c r="D117" s="1915"/>
      <c r="E117" s="1915"/>
      <c r="F117" s="1915"/>
      <c r="G117" s="1916" t="s">
        <v>2521</v>
      </c>
      <c r="H117" s="1916"/>
      <c r="I117" s="1917"/>
      <c r="J117" s="543">
        <f>IF(((J55*0.25)+(J81*0.25)+(J114*0.25)+(J115*0.25))&gt;1,1,(J55*0.25)+(J81*0.25)+(J114*0.25)+(J115*0.25))</f>
        <v>0.89846256684491976</v>
      </c>
      <c r="K117" s="998"/>
    </row>
    <row r="118" spans="1:11" ht="15" x14ac:dyDescent="0.25">
      <c r="J118" s="86"/>
    </row>
    <row r="119" spans="1:11" x14ac:dyDescent="0.2">
      <c r="A119" s="1547" t="s">
        <v>1964</v>
      </c>
      <c r="B119" s="1548"/>
      <c r="C119" s="1548"/>
      <c r="D119" s="1548"/>
    </row>
    <row r="120" spans="1:11" x14ac:dyDescent="0.2">
      <c r="A120" s="19"/>
      <c r="B120" s="1546" t="s">
        <v>2010</v>
      </c>
      <c r="C120" s="1546"/>
      <c r="D120" s="1546"/>
    </row>
    <row r="121" spans="1:11" x14ac:dyDescent="0.2">
      <c r="A121" s="20"/>
      <c r="B121" s="1546" t="s">
        <v>2011</v>
      </c>
      <c r="C121" s="1546"/>
      <c r="D121" s="1546"/>
    </row>
    <row r="122" spans="1:11" x14ac:dyDescent="0.2">
      <c r="A122" s="12"/>
      <c r="B122" s="1546" t="s">
        <v>2012</v>
      </c>
      <c r="C122" s="1546"/>
      <c r="D122" s="1546"/>
    </row>
    <row r="123" spans="1:11" x14ac:dyDescent="0.2">
      <c r="A123" s="4"/>
      <c r="B123" s="1546" t="s">
        <v>2197</v>
      </c>
      <c r="C123" s="1546"/>
      <c r="D123" s="1546"/>
    </row>
    <row r="125" spans="1:11" ht="12.75" thickBot="1" x14ac:dyDescent="0.25"/>
    <row r="126" spans="1:11" ht="12.75" thickBot="1" x14ac:dyDescent="0.25">
      <c r="A126" s="1181" t="s">
        <v>2227</v>
      </c>
      <c r="B126" s="1182"/>
      <c r="C126" s="1182"/>
      <c r="D126" s="1183"/>
    </row>
    <row r="127" spans="1:11" ht="24.75" thickBot="1" x14ac:dyDescent="0.25">
      <c r="A127" s="94" t="s">
        <v>2228</v>
      </c>
      <c r="B127" s="119" t="s">
        <v>2229</v>
      </c>
      <c r="C127" s="95" t="s">
        <v>2230</v>
      </c>
      <c r="D127" s="95" t="s">
        <v>2231</v>
      </c>
    </row>
    <row r="128" spans="1:11" ht="12.75" thickBot="1" x14ac:dyDescent="0.25">
      <c r="A128" s="96">
        <v>1</v>
      </c>
      <c r="B128" s="97" t="s">
        <v>2232</v>
      </c>
      <c r="C128" s="97" t="s">
        <v>2233</v>
      </c>
      <c r="D128" s="98"/>
    </row>
    <row r="129" spans="1:5" ht="12.75" thickBot="1" x14ac:dyDescent="0.25">
      <c r="A129" s="96">
        <v>2</v>
      </c>
      <c r="B129" s="97" t="s">
        <v>2234</v>
      </c>
      <c r="C129" s="97" t="s">
        <v>2235</v>
      </c>
      <c r="D129" s="99"/>
    </row>
    <row r="130" spans="1:5" ht="12.75" thickBot="1" x14ac:dyDescent="0.25">
      <c r="A130" s="96">
        <v>3</v>
      </c>
      <c r="B130" s="97" t="s">
        <v>2236</v>
      </c>
      <c r="C130" s="97" t="s">
        <v>2237</v>
      </c>
      <c r="D130" s="100"/>
    </row>
    <row r="131" spans="1:5" ht="12.75" thickBot="1" x14ac:dyDescent="0.25">
      <c r="A131" s="96">
        <v>4</v>
      </c>
      <c r="B131" s="97" t="s">
        <v>2238</v>
      </c>
      <c r="C131" s="97" t="s">
        <v>2239</v>
      </c>
      <c r="D131" s="101"/>
    </row>
    <row r="132" spans="1:5" ht="12.75" thickBot="1" x14ac:dyDescent="0.25">
      <c r="A132" s="96">
        <v>5</v>
      </c>
      <c r="B132" s="97" t="s">
        <v>2240</v>
      </c>
      <c r="C132" s="97" t="s">
        <v>2241</v>
      </c>
      <c r="D132" s="102"/>
    </row>
    <row r="135" spans="1:5" x14ac:dyDescent="0.2">
      <c r="E135" s="123"/>
    </row>
    <row r="136" spans="1:5" x14ac:dyDescent="0.2">
      <c r="A136" s="1547" t="s">
        <v>2288</v>
      </c>
      <c r="B136" s="1548"/>
      <c r="C136" s="1548"/>
      <c r="D136" s="1548"/>
    </row>
    <row r="137" spans="1:5" ht="38.25" customHeight="1" x14ac:dyDescent="0.2">
      <c r="A137" s="1393" t="s">
        <v>2058</v>
      </c>
      <c r="B137" s="1394"/>
      <c r="C137" s="1394"/>
      <c r="D137" s="1395"/>
    </row>
    <row r="138" spans="1:5" ht="33.75" customHeight="1" x14ac:dyDescent="0.2">
      <c r="A138" s="1427" t="s">
        <v>2059</v>
      </c>
      <c r="B138" s="1428"/>
      <c r="C138" s="1428"/>
      <c r="D138" s="1429"/>
    </row>
  </sheetData>
  <sheetProtection algorithmName="SHA-512" hashValue="Jd183xt7M8SvLHcUvjX5rahZc55xowKqALL6OkAl3+FNUrv+/EcZKkKzd7LSb/StzA5BA+fvRuZxNeQ1lQUNuw==" saltValue="b8IepWR2uH8By+zqYlw21w==" spinCount="100000" sheet="1" objects="1" scenarios="1"/>
  <mergeCells count="101">
    <mergeCell ref="A117:F117"/>
    <mergeCell ref="G117:I117"/>
    <mergeCell ref="I115:I116"/>
    <mergeCell ref="A126:D126"/>
    <mergeCell ref="B123:D123"/>
    <mergeCell ref="I107:I113"/>
    <mergeCell ref="C55:I55"/>
    <mergeCell ref="A56:A81"/>
    <mergeCell ref="B56:B81"/>
    <mergeCell ref="A4:A55"/>
    <mergeCell ref="B4:B55"/>
    <mergeCell ref="C4:C8"/>
    <mergeCell ref="G4:G8"/>
    <mergeCell ref="C48:C52"/>
    <mergeCell ref="H48:H52"/>
    <mergeCell ref="I48:I52"/>
    <mergeCell ref="C29:C33"/>
    <mergeCell ref="G29:G33"/>
    <mergeCell ref="C19:C23"/>
    <mergeCell ref="G19:G23"/>
    <mergeCell ref="A136:D136"/>
    <mergeCell ref="A137:D137"/>
    <mergeCell ref="A138:D138"/>
    <mergeCell ref="A1:K1"/>
    <mergeCell ref="A119:D119"/>
    <mergeCell ref="B120:D120"/>
    <mergeCell ref="B121:D121"/>
    <mergeCell ref="B122:D122"/>
    <mergeCell ref="A2:K2"/>
    <mergeCell ref="C114:I114"/>
    <mergeCell ref="A115:A116"/>
    <mergeCell ref="B115:B116"/>
    <mergeCell ref="C115:C116"/>
    <mergeCell ref="G115:G116"/>
    <mergeCell ref="A82:A114"/>
    <mergeCell ref="B82:B114"/>
    <mergeCell ref="I87:I99"/>
    <mergeCell ref="J87:J99"/>
    <mergeCell ref="J115:J116"/>
    <mergeCell ref="C104:C106"/>
    <mergeCell ref="G104:G106"/>
    <mergeCell ref="J104:J106"/>
    <mergeCell ref="C107:C113"/>
    <mergeCell ref="H107:H113"/>
    <mergeCell ref="J107:J113"/>
    <mergeCell ref="F104:F106"/>
    <mergeCell ref="F115:F116"/>
    <mergeCell ref="J56:J62"/>
    <mergeCell ref="C100:C103"/>
    <mergeCell ref="H100:H103"/>
    <mergeCell ref="I100:I103"/>
    <mergeCell ref="J100:J103"/>
    <mergeCell ref="C63:C80"/>
    <mergeCell ref="H63:H80"/>
    <mergeCell ref="I63:I80"/>
    <mergeCell ref="J63:J80"/>
    <mergeCell ref="C81:I81"/>
    <mergeCell ref="C82:C86"/>
    <mergeCell ref="H82:H86"/>
    <mergeCell ref="I82:I86"/>
    <mergeCell ref="J82:J86"/>
    <mergeCell ref="C87:C99"/>
    <mergeCell ref="H87:H99"/>
    <mergeCell ref="C56:C62"/>
    <mergeCell ref="H56:H62"/>
    <mergeCell ref="I56:I62"/>
    <mergeCell ref="J48:J52"/>
    <mergeCell ref="C53:C54"/>
    <mergeCell ref="G53:G54"/>
    <mergeCell ref="J53:J54"/>
    <mergeCell ref="C39:C43"/>
    <mergeCell ref="G39:G43"/>
    <mergeCell ref="J39:J43"/>
    <mergeCell ref="C44:C47"/>
    <mergeCell ref="G44:G47"/>
    <mergeCell ref="J44:J47"/>
    <mergeCell ref="F39:F43"/>
    <mergeCell ref="F44:F47"/>
    <mergeCell ref="F53:F54"/>
    <mergeCell ref="J29:J33"/>
    <mergeCell ref="C34:C38"/>
    <mergeCell ref="G34:G38"/>
    <mergeCell ref="J34:J38"/>
    <mergeCell ref="C24:C28"/>
    <mergeCell ref="G24:G28"/>
    <mergeCell ref="J24:J28"/>
    <mergeCell ref="F24:F28"/>
    <mergeCell ref="F29:F33"/>
    <mergeCell ref="F34:F38"/>
    <mergeCell ref="J19:J23"/>
    <mergeCell ref="J4:J8"/>
    <mergeCell ref="C9:C13"/>
    <mergeCell ref="G9:G13"/>
    <mergeCell ref="J9:J13"/>
    <mergeCell ref="C14:C18"/>
    <mergeCell ref="G14:G18"/>
    <mergeCell ref="J14:J18"/>
    <mergeCell ref="F4:F8"/>
    <mergeCell ref="F9:F13"/>
    <mergeCell ref="F14:F18"/>
    <mergeCell ref="F19:F23"/>
  </mergeCells>
  <conditionalFormatting sqref="J55 J81 J114 J117">
    <cfRule type="cellIs" dxfId="49" priority="26" operator="between">
      <formula>0.9</formula>
      <formula>1</formula>
    </cfRule>
    <cfRule type="cellIs" dxfId="48" priority="27" operator="between">
      <formula>0.75</formula>
      <formula>0.8999</formula>
    </cfRule>
    <cfRule type="cellIs" dxfId="47" priority="28" operator="between">
      <formula>0.6</formula>
      <formula>0.749</formula>
    </cfRule>
    <cfRule type="cellIs" dxfId="46" priority="29" operator="between">
      <formula>0.41</formula>
      <formula>0.599</formula>
    </cfRule>
    <cfRule type="cellIs" dxfId="45" priority="30" operator="between">
      <formula>0</formula>
      <formula>0.4</formula>
    </cfRule>
  </conditionalFormatting>
  <conditionalFormatting sqref="J115:J116">
    <cfRule type="cellIs" dxfId="44" priority="1" operator="greaterThan">
      <formula>0.91</formula>
    </cfRule>
    <cfRule type="cellIs" dxfId="43" priority="2" operator="between">
      <formula>0.75</formula>
      <formula>0.9</formula>
    </cfRule>
    <cfRule type="cellIs" dxfId="42" priority="3" operator="between">
      <formula>0.6</formula>
      <formula>0.749</formula>
    </cfRule>
    <cfRule type="cellIs" dxfId="41" priority="4" operator="between">
      <formula>0.41</formula>
      <formula>0.599</formula>
    </cfRule>
    <cfRule type="cellIs" dxfId="40" priority="5" operator="lessThan">
      <formula>0.4</formula>
    </cfRule>
  </conditionalFormatting>
  <dataValidations count="5">
    <dataValidation type="list" allowBlank="1" showInputMessage="1" showErrorMessage="1" sqref="F4:F38">
      <formula1>$E$4:$E$8</formula1>
    </dataValidation>
    <dataValidation type="list" allowBlank="1" showInputMessage="1" showErrorMessage="1" sqref="F39:F43">
      <formula1>$E$39:$E$43</formula1>
    </dataValidation>
    <dataValidation type="list" allowBlank="1" showInputMessage="1" showErrorMessage="1" sqref="F44:F47">
      <formula1>$E$44:$E$47</formula1>
    </dataValidation>
    <dataValidation type="list" allowBlank="1" showInputMessage="1" showErrorMessage="1" sqref="F53:F54 F115:F116">
      <formula1>$E$53:$E$54</formula1>
    </dataValidation>
    <dataValidation type="list" allowBlank="1" showInputMessage="1" showErrorMessage="1" sqref="F104:F106">
      <formula1>$E$104:$E$106</formula1>
    </dataValidation>
  </dataValidations>
  <hyperlinks>
    <hyperlink ref="A138:D138"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9" tint="0.59999389629810485"/>
  </sheetPr>
  <dimension ref="A1:K478"/>
  <sheetViews>
    <sheetView showGridLines="0" topLeftCell="D439" zoomScaleNormal="100" workbookViewId="0">
      <selection activeCell="J453" sqref="J453"/>
    </sheetView>
  </sheetViews>
  <sheetFormatPr baseColWidth="10" defaultRowHeight="12" x14ac:dyDescent="0.2"/>
  <cols>
    <col min="1" max="1" width="16.7109375" style="10" customWidth="1"/>
    <col min="2" max="2" width="18" style="10" customWidth="1"/>
    <col min="3" max="3" width="17.5703125" style="10" customWidth="1"/>
    <col min="4" max="4" width="32.85546875" style="10" customWidth="1"/>
    <col min="5" max="5" width="86.5703125" style="10" customWidth="1"/>
    <col min="6" max="6" width="27.85546875" style="11" customWidth="1"/>
    <col min="7" max="7" width="21.42578125" style="11" customWidth="1"/>
    <col min="8" max="8" width="39.7109375" style="44" customWidth="1"/>
    <col min="9" max="9" width="23.28515625" style="11" customWidth="1"/>
    <col min="10" max="10" width="26.42578125" style="11" customWidth="1"/>
    <col min="11" max="11" width="74.85546875" style="10" customWidth="1"/>
    <col min="12" max="16384" width="11.42578125" style="10"/>
  </cols>
  <sheetData>
    <row r="1" spans="1:11" ht="20.25" customHeight="1" x14ac:dyDescent="0.2">
      <c r="A1" s="1571"/>
      <c r="B1" s="1571"/>
      <c r="C1" s="1571"/>
      <c r="D1" s="1571"/>
      <c r="E1" s="1571"/>
      <c r="F1" s="1571"/>
      <c r="G1" s="1571"/>
      <c r="H1" s="1571"/>
      <c r="I1" s="1571"/>
      <c r="J1" s="1571"/>
      <c r="K1" s="1571"/>
    </row>
    <row r="2" spans="1:11" ht="18.75" customHeight="1" x14ac:dyDescent="0.2">
      <c r="A2" s="1571"/>
      <c r="B2" s="1571"/>
      <c r="C2" s="1571"/>
      <c r="D2" s="1571"/>
      <c r="E2" s="1571"/>
      <c r="F2" s="1571"/>
      <c r="G2" s="1571"/>
      <c r="H2" s="1571"/>
      <c r="I2" s="1571"/>
      <c r="J2" s="1571"/>
      <c r="K2" s="1571"/>
    </row>
    <row r="3" spans="1:11" ht="18.75" customHeight="1" x14ac:dyDescent="0.25">
      <c r="A3" s="2069" t="s">
        <v>2650</v>
      </c>
      <c r="B3" s="2070"/>
      <c r="C3" s="2071"/>
      <c r="D3" s="2070"/>
      <c r="E3" s="2070"/>
      <c r="F3" s="2070"/>
      <c r="G3" s="2070"/>
      <c r="H3" s="2070"/>
      <c r="I3" s="2070"/>
      <c r="J3" s="2070"/>
      <c r="K3" s="2072"/>
    </row>
    <row r="4" spans="1:11" ht="105.75" customHeight="1" thickBot="1" x14ac:dyDescent="0.25">
      <c r="A4" s="43" t="s">
        <v>2110</v>
      </c>
      <c r="B4" s="43" t="s">
        <v>2111</v>
      </c>
      <c r="C4" s="555" t="s">
        <v>2112</v>
      </c>
      <c r="D4" s="554" t="s">
        <v>2113</v>
      </c>
      <c r="E4" s="554" t="s">
        <v>1998</v>
      </c>
      <c r="F4" s="554" t="s">
        <v>1394</v>
      </c>
      <c r="G4" s="554" t="s">
        <v>1395</v>
      </c>
      <c r="H4" s="554" t="s">
        <v>688</v>
      </c>
      <c r="I4" s="554" t="s">
        <v>1396</v>
      </c>
      <c r="J4" s="296" t="s">
        <v>764</v>
      </c>
      <c r="K4" s="43" t="s">
        <v>1907</v>
      </c>
    </row>
    <row r="5" spans="1:11" ht="12" customHeight="1" x14ac:dyDescent="0.2">
      <c r="A5" s="2084" t="s">
        <v>2556</v>
      </c>
      <c r="B5" s="2087" t="s">
        <v>2557</v>
      </c>
      <c r="C5" s="2090" t="s">
        <v>2558</v>
      </c>
      <c r="D5" s="2081" t="s">
        <v>2653</v>
      </c>
      <c r="E5" s="779" t="s">
        <v>2115</v>
      </c>
      <c r="F5" s="1061" t="s">
        <v>167</v>
      </c>
      <c r="G5" s="617">
        <v>1</v>
      </c>
      <c r="H5" s="300"/>
      <c r="I5" s="559"/>
      <c r="J5" s="562"/>
      <c r="K5" s="844"/>
    </row>
    <row r="6" spans="1:11" ht="15" customHeight="1" x14ac:dyDescent="0.2">
      <c r="A6" s="2085"/>
      <c r="B6" s="2088"/>
      <c r="C6" s="2091"/>
      <c r="D6" s="2082"/>
      <c r="E6" s="780" t="s">
        <v>2116</v>
      </c>
      <c r="F6" s="1062" t="s">
        <v>167</v>
      </c>
      <c r="G6" s="619">
        <v>1</v>
      </c>
      <c r="H6" s="181"/>
      <c r="I6" s="557"/>
      <c r="J6" s="560"/>
      <c r="K6" s="844"/>
    </row>
    <row r="7" spans="1:11" ht="15" customHeight="1" x14ac:dyDescent="0.2">
      <c r="A7" s="2085"/>
      <c r="B7" s="2088"/>
      <c r="C7" s="2091"/>
      <c r="D7" s="2082"/>
      <c r="E7" s="780" t="s">
        <v>2117</v>
      </c>
      <c r="F7" s="1062" t="s">
        <v>167</v>
      </c>
      <c r="G7" s="619">
        <v>1</v>
      </c>
      <c r="H7" s="181"/>
      <c r="I7" s="557"/>
      <c r="J7" s="560"/>
      <c r="K7" s="844"/>
    </row>
    <row r="8" spans="1:11" ht="15" customHeight="1" x14ac:dyDescent="0.2">
      <c r="A8" s="2085"/>
      <c r="B8" s="2088"/>
      <c r="C8" s="2091"/>
      <c r="D8" s="2082"/>
      <c r="E8" s="780" t="s">
        <v>2118</v>
      </c>
      <c r="F8" s="1062" t="s">
        <v>167</v>
      </c>
      <c r="G8" s="619">
        <v>1</v>
      </c>
      <c r="H8" s="181"/>
      <c r="I8" s="557"/>
      <c r="J8" s="560"/>
      <c r="K8" s="844"/>
    </row>
    <row r="9" spans="1:11" ht="15" customHeight="1" x14ac:dyDescent="0.2">
      <c r="A9" s="2085"/>
      <c r="B9" s="2088"/>
      <c r="C9" s="2091"/>
      <c r="D9" s="2082"/>
      <c r="E9" s="780" t="s">
        <v>2119</v>
      </c>
      <c r="F9" s="1062"/>
      <c r="G9" s="619">
        <v>1</v>
      </c>
      <c r="H9" s="181"/>
      <c r="I9" s="557"/>
      <c r="J9" s="560"/>
      <c r="K9" s="844"/>
    </row>
    <row r="10" spans="1:11" ht="15" customHeight="1" x14ac:dyDescent="0.2">
      <c r="A10" s="2085"/>
      <c r="B10" s="2088"/>
      <c r="C10" s="2091"/>
      <c r="D10" s="2082"/>
      <c r="E10" s="780" t="s">
        <v>2120</v>
      </c>
      <c r="F10" s="161" t="s">
        <v>167</v>
      </c>
      <c r="G10" s="619">
        <v>1</v>
      </c>
      <c r="H10" s="181"/>
      <c r="I10" s="557"/>
      <c r="J10" s="560"/>
      <c r="K10" s="844"/>
    </row>
    <row r="11" spans="1:11" ht="15" customHeight="1" x14ac:dyDescent="0.2">
      <c r="A11" s="2085"/>
      <c r="B11" s="2088"/>
      <c r="C11" s="2091"/>
      <c r="D11" s="2082"/>
      <c r="E11" s="780" t="s">
        <v>2121</v>
      </c>
      <c r="F11" s="1062" t="s">
        <v>167</v>
      </c>
      <c r="G11" s="619">
        <v>1</v>
      </c>
      <c r="H11" s="181"/>
      <c r="I11" s="557"/>
      <c r="J11" s="560"/>
      <c r="K11" s="844"/>
    </row>
    <row r="12" spans="1:11" ht="15" customHeight="1" x14ac:dyDescent="0.2">
      <c r="A12" s="2085"/>
      <c r="B12" s="2088"/>
      <c r="C12" s="2091"/>
      <c r="D12" s="2082"/>
      <c r="E12" s="780" t="s">
        <v>2122</v>
      </c>
      <c r="F12" s="1062" t="s">
        <v>167</v>
      </c>
      <c r="G12" s="619">
        <v>1</v>
      </c>
      <c r="H12" s="181"/>
      <c r="I12" s="557"/>
      <c r="J12" s="560"/>
      <c r="K12" s="844"/>
    </row>
    <row r="13" spans="1:11" ht="15" customHeight="1" x14ac:dyDescent="0.2">
      <c r="A13" s="2085"/>
      <c r="B13" s="2088"/>
      <c r="C13" s="2091"/>
      <c r="D13" s="2082"/>
      <c r="E13" s="780" t="s">
        <v>2123</v>
      </c>
      <c r="F13" s="1062" t="s">
        <v>167</v>
      </c>
      <c r="G13" s="619">
        <v>1</v>
      </c>
      <c r="H13" s="181"/>
      <c r="I13" s="557"/>
      <c r="J13" s="560"/>
      <c r="K13" s="844"/>
    </row>
    <row r="14" spans="1:11" ht="15" customHeight="1" x14ac:dyDescent="0.2">
      <c r="A14" s="2085"/>
      <c r="B14" s="2088"/>
      <c r="C14" s="2091"/>
      <c r="D14" s="2082"/>
      <c r="E14" s="780" t="s">
        <v>2124</v>
      </c>
      <c r="F14" s="1062" t="s">
        <v>167</v>
      </c>
      <c r="G14" s="619">
        <v>1</v>
      </c>
      <c r="H14" s="181"/>
      <c r="I14" s="557"/>
      <c r="J14" s="560"/>
      <c r="K14" s="844"/>
    </row>
    <row r="15" spans="1:11" ht="15" customHeight="1" x14ac:dyDescent="0.2">
      <c r="A15" s="2085"/>
      <c r="B15" s="2088"/>
      <c r="C15" s="2091"/>
      <c r="D15" s="2082"/>
      <c r="E15" s="780" t="s">
        <v>2125</v>
      </c>
      <c r="F15" s="1062" t="s">
        <v>167</v>
      </c>
      <c r="G15" s="619">
        <v>1</v>
      </c>
      <c r="H15" s="181"/>
      <c r="I15" s="557"/>
      <c r="J15" s="560"/>
      <c r="K15" s="844"/>
    </row>
    <row r="16" spans="1:11" ht="15" customHeight="1" x14ac:dyDescent="0.2">
      <c r="A16" s="2085"/>
      <c r="B16" s="2088"/>
      <c r="C16" s="2091"/>
      <c r="D16" s="2082"/>
      <c r="E16" s="780" t="s">
        <v>2126</v>
      </c>
      <c r="F16" s="1062" t="s">
        <v>167</v>
      </c>
      <c r="G16" s="619">
        <v>1</v>
      </c>
      <c r="H16" s="181"/>
      <c r="I16" s="557"/>
      <c r="J16" s="560"/>
      <c r="K16" s="844"/>
    </row>
    <row r="17" spans="1:11" ht="15" customHeight="1" x14ac:dyDescent="0.2">
      <c r="A17" s="2085"/>
      <c r="B17" s="2088"/>
      <c r="C17" s="2091"/>
      <c r="D17" s="2082"/>
      <c r="E17" s="781" t="s">
        <v>2127</v>
      </c>
      <c r="F17" s="1062"/>
      <c r="G17" s="619">
        <v>1</v>
      </c>
      <c r="H17" s="181"/>
      <c r="I17" s="557"/>
      <c r="J17" s="560"/>
      <c r="K17" s="844"/>
    </row>
    <row r="18" spans="1:11" ht="15" customHeight="1" x14ac:dyDescent="0.2">
      <c r="A18" s="2085"/>
      <c r="B18" s="2088"/>
      <c r="C18" s="2091"/>
      <c r="D18" s="2082"/>
      <c r="E18" s="781" t="s">
        <v>2128</v>
      </c>
      <c r="F18" s="1062" t="s">
        <v>167</v>
      </c>
      <c r="G18" s="619">
        <v>1</v>
      </c>
      <c r="H18" s="181"/>
      <c r="I18" s="557"/>
      <c r="J18" s="560"/>
      <c r="K18" s="844"/>
    </row>
    <row r="19" spans="1:11" ht="15" customHeight="1" x14ac:dyDescent="0.2">
      <c r="A19" s="2085"/>
      <c r="B19" s="2088"/>
      <c r="C19" s="2091"/>
      <c r="D19" s="2082"/>
      <c r="E19" s="781" t="s">
        <v>2129</v>
      </c>
      <c r="F19" s="1062" t="s">
        <v>167</v>
      </c>
      <c r="G19" s="619">
        <v>1</v>
      </c>
      <c r="H19" s="181"/>
      <c r="I19" s="557"/>
      <c r="J19" s="560"/>
      <c r="K19" s="844"/>
    </row>
    <row r="20" spans="1:11" ht="15" customHeight="1" x14ac:dyDescent="0.2">
      <c r="A20" s="2085"/>
      <c r="B20" s="2088"/>
      <c r="C20" s="2091"/>
      <c r="D20" s="2082"/>
      <c r="E20" s="781" t="s">
        <v>2130</v>
      </c>
      <c r="F20" s="1062" t="s">
        <v>167</v>
      </c>
      <c r="G20" s="619">
        <v>1</v>
      </c>
      <c r="H20" s="181"/>
      <c r="I20" s="557"/>
      <c r="J20" s="560"/>
      <c r="K20" s="844"/>
    </row>
    <row r="21" spans="1:11" ht="15" customHeight="1" x14ac:dyDescent="0.2">
      <c r="A21" s="2085"/>
      <c r="B21" s="2088"/>
      <c r="C21" s="2091"/>
      <c r="D21" s="2082"/>
      <c r="E21" s="781" t="s">
        <v>2131</v>
      </c>
      <c r="F21" s="1062" t="s">
        <v>167</v>
      </c>
      <c r="G21" s="619">
        <v>1</v>
      </c>
      <c r="H21" s="181"/>
      <c r="I21" s="557"/>
      <c r="J21" s="560"/>
      <c r="K21" s="844"/>
    </row>
    <row r="22" spans="1:11" ht="15" customHeight="1" x14ac:dyDescent="0.2">
      <c r="A22" s="2085"/>
      <c r="B22" s="2088"/>
      <c r="C22" s="2091"/>
      <c r="D22" s="2082"/>
      <c r="E22" s="781" t="s">
        <v>2132</v>
      </c>
      <c r="F22" s="1062" t="s">
        <v>167</v>
      </c>
      <c r="G22" s="619">
        <v>1</v>
      </c>
      <c r="H22" s="181"/>
      <c r="I22" s="557"/>
      <c r="J22" s="560"/>
      <c r="K22" s="844"/>
    </row>
    <row r="23" spans="1:11" ht="15" customHeight="1" x14ac:dyDescent="0.2">
      <c r="A23" s="2085"/>
      <c r="B23" s="2088"/>
      <c r="C23" s="2091"/>
      <c r="D23" s="2082"/>
      <c r="E23" s="781" t="s">
        <v>2133</v>
      </c>
      <c r="F23" s="1062"/>
      <c r="G23" s="619">
        <v>1</v>
      </c>
      <c r="H23" s="181"/>
      <c r="I23" s="557"/>
      <c r="J23" s="560"/>
      <c r="K23" s="844"/>
    </row>
    <row r="24" spans="1:11" ht="24" x14ac:dyDescent="0.2">
      <c r="A24" s="2085"/>
      <c r="B24" s="2088"/>
      <c r="C24" s="2091"/>
      <c r="D24" s="2082"/>
      <c r="E24" s="782" t="s">
        <v>2134</v>
      </c>
      <c r="F24" s="1062" t="s">
        <v>2785</v>
      </c>
      <c r="G24" s="619">
        <v>1</v>
      </c>
      <c r="H24" s="181"/>
      <c r="I24" s="557"/>
      <c r="J24" s="560"/>
      <c r="K24" s="844"/>
    </row>
    <row r="25" spans="1:11" ht="15" customHeight="1" x14ac:dyDescent="0.2">
      <c r="A25" s="2085"/>
      <c r="B25" s="2088"/>
      <c r="C25" s="2091"/>
      <c r="D25" s="2082"/>
      <c r="E25" s="781" t="s">
        <v>2135</v>
      </c>
      <c r="F25" s="1062" t="s">
        <v>2785</v>
      </c>
      <c r="G25" s="619">
        <v>1</v>
      </c>
      <c r="H25" s="181"/>
      <c r="I25" s="557"/>
      <c r="J25" s="560"/>
      <c r="K25" s="844"/>
    </row>
    <row r="26" spans="1:11" ht="15" customHeight="1" x14ac:dyDescent="0.2">
      <c r="A26" s="2085"/>
      <c r="B26" s="2088"/>
      <c r="C26" s="2091"/>
      <c r="D26" s="2082"/>
      <c r="E26" s="781" t="s">
        <v>2136</v>
      </c>
      <c r="F26" s="1062" t="s">
        <v>2785</v>
      </c>
      <c r="G26" s="619">
        <v>1</v>
      </c>
      <c r="H26" s="181"/>
      <c r="I26" s="557"/>
      <c r="J26" s="560"/>
      <c r="K26" s="844"/>
    </row>
    <row r="27" spans="1:11" ht="15" customHeight="1" x14ac:dyDescent="0.2">
      <c r="A27" s="2085"/>
      <c r="B27" s="2088"/>
      <c r="C27" s="2091"/>
      <c r="D27" s="2082"/>
      <c r="E27" s="781" t="s">
        <v>2137</v>
      </c>
      <c r="F27" s="1062" t="s">
        <v>167</v>
      </c>
      <c r="G27" s="619">
        <v>1</v>
      </c>
      <c r="H27" s="181"/>
      <c r="I27" s="557"/>
      <c r="J27" s="560"/>
      <c r="K27" s="844"/>
    </row>
    <row r="28" spans="1:11" ht="15" customHeight="1" x14ac:dyDescent="0.2">
      <c r="A28" s="2085"/>
      <c r="B28" s="2088"/>
      <c r="C28" s="2091"/>
      <c r="D28" s="2082"/>
      <c r="E28" s="781" t="s">
        <v>2138</v>
      </c>
      <c r="F28" s="1062" t="s">
        <v>2785</v>
      </c>
      <c r="G28" s="619">
        <v>1</v>
      </c>
      <c r="H28" s="181"/>
      <c r="I28" s="557"/>
      <c r="J28" s="560"/>
      <c r="K28" s="844"/>
    </row>
    <row r="29" spans="1:11" ht="15" customHeight="1" x14ac:dyDescent="0.2">
      <c r="A29" s="2085"/>
      <c r="B29" s="2088"/>
      <c r="C29" s="2091"/>
      <c r="D29" s="2082"/>
      <c r="E29" s="780" t="s">
        <v>2139</v>
      </c>
      <c r="F29" s="1062" t="s">
        <v>167</v>
      </c>
      <c r="G29" s="619">
        <v>1</v>
      </c>
      <c r="H29" s="181"/>
      <c r="I29" s="557"/>
      <c r="J29" s="560"/>
      <c r="K29" s="844"/>
    </row>
    <row r="30" spans="1:11" ht="15" customHeight="1" x14ac:dyDescent="0.2">
      <c r="A30" s="2085"/>
      <c r="B30" s="2088"/>
      <c r="C30" s="2091"/>
      <c r="D30" s="2082"/>
      <c r="E30" s="780" t="s">
        <v>2140</v>
      </c>
      <c r="F30" s="1062" t="s">
        <v>167</v>
      </c>
      <c r="G30" s="619">
        <v>1</v>
      </c>
      <c r="H30" s="181"/>
      <c r="I30" s="557"/>
      <c r="J30" s="560"/>
      <c r="K30" s="844"/>
    </row>
    <row r="31" spans="1:11" ht="15" customHeight="1" x14ac:dyDescent="0.2">
      <c r="A31" s="2085"/>
      <c r="B31" s="2088"/>
      <c r="C31" s="2091"/>
      <c r="D31" s="2082"/>
      <c r="E31" s="780" t="s">
        <v>2141</v>
      </c>
      <c r="F31" s="1062" t="s">
        <v>167</v>
      </c>
      <c r="G31" s="619">
        <v>1</v>
      </c>
      <c r="H31" s="181"/>
      <c r="I31" s="557"/>
      <c r="J31" s="560"/>
      <c r="K31" s="844"/>
    </row>
    <row r="32" spans="1:11" ht="15" customHeight="1" x14ac:dyDescent="0.2">
      <c r="A32" s="2085"/>
      <c r="B32" s="2088"/>
      <c r="C32" s="2091"/>
      <c r="D32" s="2082"/>
      <c r="E32" s="780" t="s">
        <v>1398</v>
      </c>
      <c r="F32" s="1062" t="s">
        <v>167</v>
      </c>
      <c r="G32" s="619">
        <v>1</v>
      </c>
      <c r="H32" s="181"/>
      <c r="I32" s="557"/>
      <c r="J32" s="560"/>
      <c r="K32" s="844"/>
    </row>
    <row r="33" spans="1:11" ht="15" customHeight="1" x14ac:dyDescent="0.2">
      <c r="A33" s="2085"/>
      <c r="B33" s="2088"/>
      <c r="C33" s="2091"/>
      <c r="D33" s="2082"/>
      <c r="E33" s="780" t="s">
        <v>1399</v>
      </c>
      <c r="F33" s="1062" t="s">
        <v>167</v>
      </c>
      <c r="G33" s="619">
        <v>1</v>
      </c>
      <c r="H33" s="181"/>
      <c r="I33" s="557"/>
      <c r="J33" s="560"/>
      <c r="K33" s="844"/>
    </row>
    <row r="34" spans="1:11" ht="15" customHeight="1" x14ac:dyDescent="0.2">
      <c r="A34" s="2085"/>
      <c r="B34" s="2088"/>
      <c r="C34" s="2091"/>
      <c r="D34" s="2082"/>
      <c r="E34" s="780" t="s">
        <v>1400</v>
      </c>
      <c r="F34" s="1062" t="s">
        <v>2785</v>
      </c>
      <c r="G34" s="619">
        <v>1</v>
      </c>
      <c r="H34" s="181"/>
      <c r="I34" s="557"/>
      <c r="J34" s="560"/>
      <c r="K34" s="844"/>
    </row>
    <row r="35" spans="1:11" ht="17.25" customHeight="1" x14ac:dyDescent="0.2">
      <c r="A35" s="2085"/>
      <c r="B35" s="2088"/>
      <c r="C35" s="2091"/>
      <c r="D35" s="2082"/>
      <c r="E35" s="780" t="s">
        <v>1401</v>
      </c>
      <c r="F35" s="1062" t="s">
        <v>167</v>
      </c>
      <c r="G35" s="556">
        <v>1</v>
      </c>
      <c r="H35" s="2073" t="s">
        <v>2652</v>
      </c>
      <c r="I35" s="557"/>
      <c r="J35" s="560"/>
      <c r="K35" s="844"/>
    </row>
    <row r="36" spans="1:11" ht="15" customHeight="1" x14ac:dyDescent="0.2">
      <c r="A36" s="2085"/>
      <c r="B36" s="2088"/>
      <c r="C36" s="2091"/>
      <c r="D36" s="2082"/>
      <c r="E36" s="780" t="s">
        <v>1402</v>
      </c>
      <c r="F36" s="1062" t="s">
        <v>167</v>
      </c>
      <c r="G36" s="556">
        <v>1</v>
      </c>
      <c r="H36" s="2073"/>
      <c r="I36" s="2074">
        <f>SUMIF(F5:F66,"=X",G5:G66)</f>
        <v>53</v>
      </c>
      <c r="J36" s="560"/>
      <c r="K36" s="844"/>
    </row>
    <row r="37" spans="1:11" ht="31.5" customHeight="1" x14ac:dyDescent="0.2">
      <c r="A37" s="2085"/>
      <c r="B37" s="2088"/>
      <c r="C37" s="2091"/>
      <c r="D37" s="2082"/>
      <c r="E37" s="780" t="s">
        <v>1403</v>
      </c>
      <c r="F37" s="1062" t="s">
        <v>167</v>
      </c>
      <c r="G37" s="556">
        <v>1</v>
      </c>
      <c r="H37" s="2073"/>
      <c r="I37" s="2075"/>
      <c r="J37" s="2076">
        <f>I36/62</f>
        <v>0.85483870967741937</v>
      </c>
      <c r="K37" s="844"/>
    </row>
    <row r="38" spans="1:11" ht="15" customHeight="1" x14ac:dyDescent="0.2">
      <c r="A38" s="2085"/>
      <c r="B38" s="2088"/>
      <c r="C38" s="2091"/>
      <c r="D38" s="2082"/>
      <c r="E38" s="780" t="s">
        <v>1404</v>
      </c>
      <c r="F38" s="1062" t="s">
        <v>167</v>
      </c>
      <c r="G38" s="556">
        <v>1</v>
      </c>
      <c r="H38" s="2073"/>
      <c r="I38" s="483"/>
      <c r="J38" s="2076"/>
      <c r="K38" s="844"/>
    </row>
    <row r="39" spans="1:11" ht="15" customHeight="1" x14ac:dyDescent="0.2">
      <c r="A39" s="2085"/>
      <c r="B39" s="2088"/>
      <c r="C39" s="2091"/>
      <c r="D39" s="2082"/>
      <c r="E39" s="780" t="s">
        <v>1405</v>
      </c>
      <c r="F39" s="1062" t="s">
        <v>167</v>
      </c>
      <c r="G39" s="556">
        <v>1</v>
      </c>
      <c r="H39" s="2073"/>
      <c r="I39" s="557"/>
      <c r="J39" s="560"/>
      <c r="K39" s="844"/>
    </row>
    <row r="40" spans="1:11" ht="15" customHeight="1" x14ac:dyDescent="0.2">
      <c r="A40" s="2085"/>
      <c r="B40" s="2088"/>
      <c r="C40" s="2091"/>
      <c r="D40" s="2082"/>
      <c r="E40" s="780" t="s">
        <v>1406</v>
      </c>
      <c r="F40" s="1062" t="s">
        <v>167</v>
      </c>
      <c r="G40" s="619">
        <v>1</v>
      </c>
      <c r="H40" s="181"/>
      <c r="I40" s="557"/>
      <c r="J40" s="560"/>
      <c r="K40" s="844"/>
    </row>
    <row r="41" spans="1:11" ht="15" customHeight="1" x14ac:dyDescent="0.2">
      <c r="A41" s="2085"/>
      <c r="B41" s="2088"/>
      <c r="C41" s="2091"/>
      <c r="D41" s="2082"/>
      <c r="E41" s="781" t="s">
        <v>1407</v>
      </c>
      <c r="F41" s="1062" t="s">
        <v>167</v>
      </c>
      <c r="G41" s="619">
        <v>1</v>
      </c>
      <c r="H41" s="181"/>
      <c r="I41" s="557"/>
      <c r="J41" s="560"/>
      <c r="K41" s="844"/>
    </row>
    <row r="42" spans="1:11" ht="24" x14ac:dyDescent="0.2">
      <c r="A42" s="2085"/>
      <c r="B42" s="2088"/>
      <c r="C42" s="2091"/>
      <c r="D42" s="2082"/>
      <c r="E42" s="782" t="s">
        <v>1408</v>
      </c>
      <c r="F42" s="1062" t="s">
        <v>167</v>
      </c>
      <c r="G42" s="619">
        <v>1</v>
      </c>
      <c r="H42" s="181"/>
      <c r="I42" s="557"/>
      <c r="J42" s="560"/>
      <c r="K42" s="844"/>
    </row>
    <row r="43" spans="1:11" ht="15" customHeight="1" x14ac:dyDescent="0.2">
      <c r="A43" s="2085"/>
      <c r="B43" s="2088"/>
      <c r="C43" s="2091"/>
      <c r="D43" s="2082"/>
      <c r="E43" s="781" t="s">
        <v>1409</v>
      </c>
      <c r="F43" s="1062"/>
      <c r="G43" s="619">
        <v>1</v>
      </c>
      <c r="H43" s="181"/>
      <c r="I43" s="557"/>
      <c r="J43" s="560"/>
      <c r="K43" s="844"/>
    </row>
    <row r="44" spans="1:11" ht="15" customHeight="1" x14ac:dyDescent="0.2">
      <c r="A44" s="2085"/>
      <c r="B44" s="2088"/>
      <c r="C44" s="2091"/>
      <c r="D44" s="2082"/>
      <c r="E44" s="781" t="s">
        <v>1410</v>
      </c>
      <c r="F44" s="1062" t="s">
        <v>167</v>
      </c>
      <c r="G44" s="619">
        <v>1</v>
      </c>
      <c r="H44" s="181"/>
      <c r="I44" s="557"/>
      <c r="J44" s="560"/>
      <c r="K44" s="844"/>
    </row>
    <row r="45" spans="1:11" ht="15" customHeight="1" x14ac:dyDescent="0.2">
      <c r="A45" s="2085"/>
      <c r="B45" s="2088"/>
      <c r="C45" s="2091"/>
      <c r="D45" s="2082"/>
      <c r="E45" s="781" t="s">
        <v>1411</v>
      </c>
      <c r="F45" s="1062" t="s">
        <v>167</v>
      </c>
      <c r="G45" s="619">
        <v>1</v>
      </c>
      <c r="H45" s="181"/>
      <c r="I45" s="557"/>
      <c r="J45" s="560"/>
      <c r="K45" s="844"/>
    </row>
    <row r="46" spans="1:11" ht="15" customHeight="1" x14ac:dyDescent="0.2">
      <c r="A46" s="2085"/>
      <c r="B46" s="2088"/>
      <c r="C46" s="2091"/>
      <c r="D46" s="2082"/>
      <c r="E46" s="781" t="s">
        <v>1412</v>
      </c>
      <c r="F46" s="1062" t="s">
        <v>167</v>
      </c>
      <c r="G46" s="619">
        <v>1</v>
      </c>
      <c r="H46" s="181"/>
      <c r="I46" s="557"/>
      <c r="J46" s="560"/>
      <c r="K46" s="844"/>
    </row>
    <row r="47" spans="1:11" ht="15" customHeight="1" x14ac:dyDescent="0.2">
      <c r="A47" s="2085"/>
      <c r="B47" s="2088"/>
      <c r="C47" s="2091"/>
      <c r="D47" s="2082"/>
      <c r="E47" s="781" t="s">
        <v>1413</v>
      </c>
      <c r="F47" s="1062" t="s">
        <v>167</v>
      </c>
      <c r="G47" s="619">
        <v>1</v>
      </c>
      <c r="H47" s="181"/>
      <c r="I47" s="557"/>
      <c r="J47" s="560"/>
      <c r="K47" s="844"/>
    </row>
    <row r="48" spans="1:11" ht="15" customHeight="1" x14ac:dyDescent="0.2">
      <c r="A48" s="2085"/>
      <c r="B48" s="2088"/>
      <c r="C48" s="2091"/>
      <c r="D48" s="2082"/>
      <c r="E48" s="781" t="s">
        <v>1414</v>
      </c>
      <c r="F48" s="1062" t="s">
        <v>167</v>
      </c>
      <c r="G48" s="619">
        <v>1</v>
      </c>
      <c r="H48" s="181"/>
      <c r="I48" s="557"/>
      <c r="J48" s="560"/>
      <c r="K48" s="844"/>
    </row>
    <row r="49" spans="1:11" ht="15" customHeight="1" x14ac:dyDescent="0.2">
      <c r="A49" s="2085"/>
      <c r="B49" s="2088"/>
      <c r="C49" s="2091"/>
      <c r="D49" s="2082"/>
      <c r="E49" s="781" t="s">
        <v>1415</v>
      </c>
      <c r="F49" s="1062" t="s">
        <v>167</v>
      </c>
      <c r="G49" s="619">
        <v>1</v>
      </c>
      <c r="H49" s="181"/>
      <c r="I49" s="557"/>
      <c r="J49" s="560"/>
      <c r="K49" s="844"/>
    </row>
    <row r="50" spans="1:11" ht="15" customHeight="1" x14ac:dyDescent="0.2">
      <c r="A50" s="2085"/>
      <c r="B50" s="2088"/>
      <c r="C50" s="2091"/>
      <c r="D50" s="2082"/>
      <c r="E50" s="781" t="s">
        <v>1416</v>
      </c>
      <c r="F50" s="1062" t="s">
        <v>167</v>
      </c>
      <c r="G50" s="619">
        <v>1</v>
      </c>
      <c r="H50" s="181"/>
      <c r="I50" s="557"/>
      <c r="J50" s="560"/>
      <c r="K50" s="844"/>
    </row>
    <row r="51" spans="1:11" ht="15" customHeight="1" x14ac:dyDescent="0.2">
      <c r="A51" s="2085"/>
      <c r="B51" s="2088"/>
      <c r="C51" s="2091"/>
      <c r="D51" s="2082"/>
      <c r="E51" s="781" t="s">
        <v>1417</v>
      </c>
      <c r="F51" s="1062"/>
      <c r="G51" s="619">
        <v>1</v>
      </c>
      <c r="H51" s="181"/>
      <c r="I51" s="557"/>
      <c r="J51" s="560"/>
      <c r="K51" s="844"/>
    </row>
    <row r="52" spans="1:11" ht="15" customHeight="1" x14ac:dyDescent="0.2">
      <c r="A52" s="2085"/>
      <c r="B52" s="2088"/>
      <c r="C52" s="2091"/>
      <c r="D52" s="2082"/>
      <c r="E52" s="781" t="s">
        <v>1418</v>
      </c>
      <c r="F52" s="1062" t="s">
        <v>167</v>
      </c>
      <c r="G52" s="619">
        <v>1</v>
      </c>
      <c r="H52" s="181"/>
      <c r="I52" s="557"/>
      <c r="J52" s="560"/>
      <c r="K52" s="844"/>
    </row>
    <row r="53" spans="1:11" ht="15" customHeight="1" x14ac:dyDescent="0.2">
      <c r="A53" s="2085"/>
      <c r="B53" s="2088"/>
      <c r="C53" s="2091"/>
      <c r="D53" s="2082"/>
      <c r="E53" s="780" t="s">
        <v>1419</v>
      </c>
      <c r="F53" s="1062" t="s">
        <v>167</v>
      </c>
      <c r="G53" s="619">
        <v>1</v>
      </c>
      <c r="H53" s="181"/>
      <c r="I53" s="557"/>
      <c r="J53" s="560"/>
      <c r="K53" s="844"/>
    </row>
    <row r="54" spans="1:11" ht="15" customHeight="1" x14ac:dyDescent="0.2">
      <c r="A54" s="2085"/>
      <c r="B54" s="2088"/>
      <c r="C54" s="2091"/>
      <c r="D54" s="2082"/>
      <c r="E54" s="780" t="s">
        <v>1420</v>
      </c>
      <c r="F54" s="1062" t="s">
        <v>167</v>
      </c>
      <c r="G54" s="619">
        <v>1</v>
      </c>
      <c r="H54" s="181"/>
      <c r="I54" s="557"/>
      <c r="J54" s="560"/>
      <c r="K54" s="844"/>
    </row>
    <row r="55" spans="1:11" ht="15" customHeight="1" x14ac:dyDescent="0.2">
      <c r="A55" s="2085"/>
      <c r="B55" s="2088"/>
      <c r="C55" s="2091"/>
      <c r="D55" s="2082"/>
      <c r="E55" s="780" t="s">
        <v>1421</v>
      </c>
      <c r="F55" s="1062" t="s">
        <v>167</v>
      </c>
      <c r="G55" s="619">
        <v>1</v>
      </c>
      <c r="H55" s="181"/>
      <c r="I55" s="557"/>
      <c r="J55" s="560"/>
      <c r="K55" s="844"/>
    </row>
    <row r="56" spans="1:11" ht="24" x14ac:dyDescent="0.2">
      <c r="A56" s="2085"/>
      <c r="B56" s="2088"/>
      <c r="C56" s="2091"/>
      <c r="D56" s="2082"/>
      <c r="E56" s="783" t="s">
        <v>1422</v>
      </c>
      <c r="F56" s="1062" t="s">
        <v>167</v>
      </c>
      <c r="G56" s="619">
        <v>1</v>
      </c>
      <c r="H56" s="181"/>
      <c r="I56" s="557"/>
      <c r="J56" s="560"/>
      <c r="K56" s="844"/>
    </row>
    <row r="57" spans="1:11" ht="15" customHeight="1" x14ac:dyDescent="0.2">
      <c r="A57" s="2085"/>
      <c r="B57" s="2088"/>
      <c r="C57" s="2091"/>
      <c r="D57" s="2082"/>
      <c r="E57" s="780" t="s">
        <v>1423</v>
      </c>
      <c r="F57" s="161"/>
      <c r="G57" s="619">
        <v>1</v>
      </c>
      <c r="H57" s="181"/>
      <c r="I57" s="557"/>
      <c r="J57" s="560"/>
      <c r="K57" s="844"/>
    </row>
    <row r="58" spans="1:11" ht="15" customHeight="1" x14ac:dyDescent="0.2">
      <c r="A58" s="2085"/>
      <c r="B58" s="2088"/>
      <c r="C58" s="2091"/>
      <c r="D58" s="2082"/>
      <c r="E58" s="780" t="s">
        <v>2142</v>
      </c>
      <c r="F58" s="1062"/>
      <c r="G58" s="619">
        <v>1</v>
      </c>
      <c r="H58" s="181"/>
      <c r="I58" s="557"/>
      <c r="J58" s="560"/>
      <c r="K58" s="844"/>
    </row>
    <row r="59" spans="1:11" ht="15" customHeight="1" x14ac:dyDescent="0.2">
      <c r="A59" s="2085"/>
      <c r="B59" s="2088"/>
      <c r="C59" s="2091"/>
      <c r="D59" s="2082"/>
      <c r="E59" s="780" t="s">
        <v>1424</v>
      </c>
      <c r="F59" s="1062"/>
      <c r="G59" s="619">
        <v>1</v>
      </c>
      <c r="H59" s="181"/>
      <c r="I59" s="557"/>
      <c r="J59" s="560"/>
      <c r="K59" s="844"/>
    </row>
    <row r="60" spans="1:11" ht="15" customHeight="1" x14ac:dyDescent="0.2">
      <c r="A60" s="2085"/>
      <c r="B60" s="2088"/>
      <c r="C60" s="2091"/>
      <c r="D60" s="2082"/>
      <c r="E60" s="780" t="s">
        <v>1425</v>
      </c>
      <c r="F60" s="1062" t="s">
        <v>167</v>
      </c>
      <c r="G60" s="619">
        <v>1</v>
      </c>
      <c r="H60" s="181"/>
      <c r="I60" s="557"/>
      <c r="J60" s="560"/>
      <c r="K60" s="844"/>
    </row>
    <row r="61" spans="1:11" ht="15" customHeight="1" x14ac:dyDescent="0.2">
      <c r="A61" s="2085"/>
      <c r="B61" s="2088"/>
      <c r="C61" s="2091"/>
      <c r="D61" s="2082"/>
      <c r="E61" s="780" t="s">
        <v>1426</v>
      </c>
      <c r="F61" s="1062" t="s">
        <v>167</v>
      </c>
      <c r="G61" s="619">
        <v>1</v>
      </c>
      <c r="H61" s="181"/>
      <c r="I61" s="557"/>
      <c r="J61" s="560"/>
      <c r="K61" s="844"/>
    </row>
    <row r="62" spans="1:11" ht="18.75" customHeight="1" x14ac:dyDescent="0.2">
      <c r="A62" s="2085"/>
      <c r="B62" s="2088"/>
      <c r="C62" s="2091"/>
      <c r="D62" s="2082"/>
      <c r="E62" s="780" t="s">
        <v>1427</v>
      </c>
      <c r="F62" s="1062" t="s">
        <v>167</v>
      </c>
      <c r="G62" s="619">
        <v>1</v>
      </c>
      <c r="H62" s="181"/>
      <c r="I62" s="557"/>
      <c r="J62" s="560"/>
      <c r="K62" s="844"/>
    </row>
    <row r="63" spans="1:11" ht="15" customHeight="1" x14ac:dyDescent="0.2">
      <c r="A63" s="2085"/>
      <c r="B63" s="2088"/>
      <c r="C63" s="2091"/>
      <c r="D63" s="2082"/>
      <c r="E63" s="780" t="s">
        <v>1428</v>
      </c>
      <c r="F63" s="1062" t="s">
        <v>167</v>
      </c>
      <c r="G63" s="619">
        <v>1</v>
      </c>
      <c r="H63" s="181"/>
      <c r="I63" s="557"/>
      <c r="J63" s="560"/>
      <c r="K63" s="844"/>
    </row>
    <row r="64" spans="1:11" ht="30.75" customHeight="1" x14ac:dyDescent="0.2">
      <c r="A64" s="2085"/>
      <c r="B64" s="2088"/>
      <c r="C64" s="2091"/>
      <c r="D64" s="2082"/>
      <c r="E64" s="780" t="s">
        <v>1429</v>
      </c>
      <c r="F64" s="1062"/>
      <c r="G64" s="619">
        <v>1</v>
      </c>
      <c r="H64" s="181"/>
      <c r="I64" s="557"/>
      <c r="J64" s="560"/>
      <c r="K64" s="844"/>
    </row>
    <row r="65" spans="1:11" ht="15" customHeight="1" x14ac:dyDescent="0.2">
      <c r="A65" s="2085"/>
      <c r="B65" s="2088"/>
      <c r="C65" s="2091"/>
      <c r="D65" s="2082"/>
      <c r="E65" s="780" t="s">
        <v>1430</v>
      </c>
      <c r="F65" s="1062" t="s">
        <v>167</v>
      </c>
      <c r="G65" s="619">
        <v>1</v>
      </c>
      <c r="H65" s="181"/>
      <c r="I65" s="557"/>
      <c r="J65" s="560"/>
      <c r="K65" s="844"/>
    </row>
    <row r="66" spans="1:11" ht="15.75" customHeight="1" thickBot="1" x14ac:dyDescent="0.25">
      <c r="A66" s="2085"/>
      <c r="B66" s="2088"/>
      <c r="C66" s="2091"/>
      <c r="D66" s="2083"/>
      <c r="E66" s="784" t="s">
        <v>1431</v>
      </c>
      <c r="F66" s="279" t="s">
        <v>167</v>
      </c>
      <c r="G66" s="618">
        <v>1</v>
      </c>
      <c r="H66" s="305"/>
      <c r="I66" s="558"/>
      <c r="J66" s="561"/>
      <c r="K66" s="844"/>
    </row>
    <row r="67" spans="1:11" ht="12" customHeight="1" x14ac:dyDescent="0.2">
      <c r="A67" s="2085"/>
      <c r="B67" s="2088"/>
      <c r="C67" s="2092" t="s">
        <v>2559</v>
      </c>
      <c r="D67" s="2077" t="s">
        <v>1432</v>
      </c>
      <c r="E67" s="753" t="s">
        <v>1433</v>
      </c>
      <c r="F67" s="960" t="s">
        <v>167</v>
      </c>
      <c r="G67" s="962">
        <v>1</v>
      </c>
      <c r="H67" s="300"/>
      <c r="I67" s="1554">
        <f>SUMIF(F67:F87,"=X",G67:G87)</f>
        <v>19</v>
      </c>
      <c r="J67" s="1549">
        <f>(I67/20)*50%</f>
        <v>0.47499999999999998</v>
      </c>
      <c r="K67" s="844"/>
    </row>
    <row r="68" spans="1:11" x14ac:dyDescent="0.2">
      <c r="A68" s="2085"/>
      <c r="B68" s="2088"/>
      <c r="C68" s="2092"/>
      <c r="D68" s="2078"/>
      <c r="E68" s="751" t="s">
        <v>1434</v>
      </c>
      <c r="F68" s="961"/>
      <c r="G68" s="963">
        <v>1</v>
      </c>
      <c r="H68" s="181"/>
      <c r="I68" s="1562"/>
      <c r="J68" s="1550"/>
      <c r="K68" s="844"/>
    </row>
    <row r="69" spans="1:11" x14ac:dyDescent="0.2">
      <c r="A69" s="2085"/>
      <c r="B69" s="2088"/>
      <c r="C69" s="2092"/>
      <c r="D69" s="2078"/>
      <c r="E69" s="751" t="s">
        <v>1435</v>
      </c>
      <c r="F69" s="161" t="s">
        <v>167</v>
      </c>
      <c r="G69" s="963">
        <v>1</v>
      </c>
      <c r="H69" s="181"/>
      <c r="I69" s="1562"/>
      <c r="J69" s="1550"/>
      <c r="K69" s="844"/>
    </row>
    <row r="70" spans="1:11" x14ac:dyDescent="0.2">
      <c r="A70" s="2085"/>
      <c r="B70" s="2088"/>
      <c r="C70" s="2092"/>
      <c r="D70" s="2078"/>
      <c r="E70" s="751" t="s">
        <v>1436</v>
      </c>
      <c r="F70" s="961" t="s">
        <v>167</v>
      </c>
      <c r="G70" s="963">
        <v>1</v>
      </c>
      <c r="H70" s="181"/>
      <c r="I70" s="1562"/>
      <c r="J70" s="1550"/>
      <c r="K70" s="844"/>
    </row>
    <row r="71" spans="1:11" x14ac:dyDescent="0.2">
      <c r="A71" s="2085"/>
      <c r="B71" s="2088"/>
      <c r="C71" s="2092"/>
      <c r="D71" s="2078"/>
      <c r="E71" s="751" t="s">
        <v>1437</v>
      </c>
      <c r="F71" s="961" t="s">
        <v>167</v>
      </c>
      <c r="G71" s="963">
        <v>1</v>
      </c>
      <c r="H71" s="181"/>
      <c r="I71" s="1562"/>
      <c r="J71" s="1550"/>
      <c r="K71" s="844"/>
    </row>
    <row r="72" spans="1:11" x14ac:dyDescent="0.2">
      <c r="A72" s="2085"/>
      <c r="B72" s="2088"/>
      <c r="C72" s="2092"/>
      <c r="D72" s="2078"/>
      <c r="E72" s="751" t="s">
        <v>1438</v>
      </c>
      <c r="F72" s="961" t="s">
        <v>167</v>
      </c>
      <c r="G72" s="963">
        <v>1</v>
      </c>
      <c r="H72" s="181"/>
      <c r="I72" s="1562"/>
      <c r="J72" s="1550"/>
      <c r="K72" s="844"/>
    </row>
    <row r="73" spans="1:11" x14ac:dyDescent="0.2">
      <c r="A73" s="2085"/>
      <c r="B73" s="2088"/>
      <c r="C73" s="2092"/>
      <c r="D73" s="2078"/>
      <c r="E73" s="751" t="s">
        <v>1439</v>
      </c>
      <c r="F73" s="161" t="s">
        <v>167</v>
      </c>
      <c r="G73" s="963">
        <v>1</v>
      </c>
      <c r="H73" s="181"/>
      <c r="I73" s="1562"/>
      <c r="J73" s="1550"/>
      <c r="K73" s="844"/>
    </row>
    <row r="74" spans="1:11" x14ac:dyDescent="0.2">
      <c r="A74" s="2085"/>
      <c r="B74" s="2088"/>
      <c r="C74" s="2092"/>
      <c r="D74" s="2078"/>
      <c r="E74" s="751" t="s">
        <v>1440</v>
      </c>
      <c r="F74" s="961" t="s">
        <v>167</v>
      </c>
      <c r="G74" s="963">
        <v>1</v>
      </c>
      <c r="H74" s="181"/>
      <c r="I74" s="1562"/>
      <c r="J74" s="1550"/>
      <c r="K74" s="844"/>
    </row>
    <row r="75" spans="1:11" x14ac:dyDescent="0.2">
      <c r="A75" s="2085"/>
      <c r="B75" s="2088"/>
      <c r="C75" s="2092"/>
      <c r="D75" s="2078"/>
      <c r="E75" s="751" t="s">
        <v>1441</v>
      </c>
      <c r="F75" s="961" t="s">
        <v>167</v>
      </c>
      <c r="G75" s="963">
        <v>1</v>
      </c>
      <c r="H75" s="181"/>
      <c r="I75" s="1562"/>
      <c r="J75" s="1550"/>
      <c r="K75" s="844"/>
    </row>
    <row r="76" spans="1:11" ht="24" customHeight="1" x14ac:dyDescent="0.2">
      <c r="A76" s="2085"/>
      <c r="B76" s="2088"/>
      <c r="C76" s="2092"/>
      <c r="D76" s="2078"/>
      <c r="E76" s="751" t="s">
        <v>1442</v>
      </c>
      <c r="F76" s="961" t="s">
        <v>167</v>
      </c>
      <c r="G76" s="963">
        <v>1</v>
      </c>
      <c r="H76" s="1565" t="s">
        <v>2651</v>
      </c>
      <c r="I76" s="1562"/>
      <c r="J76" s="1550"/>
      <c r="K76" s="844"/>
    </row>
    <row r="77" spans="1:11" x14ac:dyDescent="0.2">
      <c r="A77" s="2085"/>
      <c r="B77" s="2088"/>
      <c r="C77" s="2092"/>
      <c r="D77" s="2078"/>
      <c r="E77" s="751" t="s">
        <v>1443</v>
      </c>
      <c r="F77" s="961" t="s">
        <v>167</v>
      </c>
      <c r="G77" s="963">
        <v>1</v>
      </c>
      <c r="H77" s="1565"/>
      <c r="I77" s="1562"/>
      <c r="J77" s="1550"/>
      <c r="K77" s="844"/>
    </row>
    <row r="78" spans="1:11" x14ac:dyDescent="0.2">
      <c r="A78" s="2085"/>
      <c r="B78" s="2088"/>
      <c r="C78" s="2092"/>
      <c r="D78" s="2078"/>
      <c r="E78" s="750" t="s">
        <v>1444</v>
      </c>
      <c r="F78" s="161" t="s">
        <v>167</v>
      </c>
      <c r="G78" s="963">
        <v>1</v>
      </c>
      <c r="H78" s="1565"/>
      <c r="I78" s="1562"/>
      <c r="J78" s="1550"/>
      <c r="K78" s="844"/>
    </row>
    <row r="79" spans="1:11" x14ac:dyDescent="0.2">
      <c r="A79" s="2085"/>
      <c r="B79" s="2088"/>
      <c r="C79" s="2092"/>
      <c r="D79" s="2078"/>
      <c r="E79" s="750" t="s">
        <v>1445</v>
      </c>
      <c r="F79" s="961" t="s">
        <v>167</v>
      </c>
      <c r="G79" s="963">
        <v>1</v>
      </c>
      <c r="H79" s="1565"/>
      <c r="I79" s="1562"/>
      <c r="J79" s="1550"/>
      <c r="K79" s="844"/>
    </row>
    <row r="80" spans="1:11" x14ac:dyDescent="0.2">
      <c r="A80" s="2085"/>
      <c r="B80" s="2088"/>
      <c r="C80" s="2092"/>
      <c r="D80" s="2078"/>
      <c r="E80" s="750" t="s">
        <v>1446</v>
      </c>
      <c r="F80" s="961" t="s">
        <v>167</v>
      </c>
      <c r="G80" s="963">
        <v>1</v>
      </c>
      <c r="H80" s="181"/>
      <c r="I80" s="1562"/>
      <c r="J80" s="1550"/>
      <c r="K80" s="844"/>
    </row>
    <row r="81" spans="1:11" x14ac:dyDescent="0.2">
      <c r="A81" s="2085"/>
      <c r="B81" s="2088"/>
      <c r="C81" s="2092"/>
      <c r="D81" s="2078"/>
      <c r="E81" s="750" t="s">
        <v>1447</v>
      </c>
      <c r="F81" s="161" t="s">
        <v>167</v>
      </c>
      <c r="G81" s="963">
        <v>1</v>
      </c>
      <c r="H81" s="181"/>
      <c r="I81" s="1562"/>
      <c r="J81" s="1550"/>
      <c r="K81" s="844"/>
    </row>
    <row r="82" spans="1:11" x14ac:dyDescent="0.2">
      <c r="A82" s="2085"/>
      <c r="B82" s="2088"/>
      <c r="C82" s="2092"/>
      <c r="D82" s="2078"/>
      <c r="E82" s="750" t="s">
        <v>1448</v>
      </c>
      <c r="F82" s="161" t="s">
        <v>167</v>
      </c>
      <c r="G82" s="963">
        <v>1</v>
      </c>
      <c r="H82" s="181"/>
      <c r="I82" s="1562"/>
      <c r="J82" s="1550"/>
      <c r="K82" s="844"/>
    </row>
    <row r="83" spans="1:11" x14ac:dyDescent="0.2">
      <c r="A83" s="2085"/>
      <c r="B83" s="2088"/>
      <c r="C83" s="2092"/>
      <c r="D83" s="2078"/>
      <c r="E83" s="750" t="s">
        <v>1449</v>
      </c>
      <c r="F83" s="161" t="s">
        <v>167</v>
      </c>
      <c r="G83" s="963">
        <v>1</v>
      </c>
      <c r="H83" s="181"/>
      <c r="I83" s="1562"/>
      <c r="J83" s="1550"/>
      <c r="K83" s="844"/>
    </row>
    <row r="84" spans="1:11" x14ac:dyDescent="0.2">
      <c r="A84" s="2085"/>
      <c r="B84" s="2088"/>
      <c r="C84" s="2092"/>
      <c r="D84" s="2078"/>
      <c r="E84" s="750" t="s">
        <v>1450</v>
      </c>
      <c r="F84" s="161" t="s">
        <v>167</v>
      </c>
      <c r="G84" s="963">
        <v>1</v>
      </c>
      <c r="H84" s="181"/>
      <c r="I84" s="1562"/>
      <c r="J84" s="1550"/>
      <c r="K84" s="844"/>
    </row>
    <row r="85" spans="1:11" x14ac:dyDescent="0.2">
      <c r="A85" s="2085"/>
      <c r="B85" s="2088"/>
      <c r="C85" s="2092"/>
      <c r="D85" s="2078"/>
      <c r="E85" s="750" t="s">
        <v>1451</v>
      </c>
      <c r="F85" s="161" t="s">
        <v>167</v>
      </c>
      <c r="G85" s="963">
        <v>1</v>
      </c>
      <c r="H85" s="181"/>
      <c r="I85" s="1562"/>
      <c r="J85" s="1550"/>
      <c r="K85" s="844"/>
    </row>
    <row r="86" spans="1:11" x14ac:dyDescent="0.2">
      <c r="A86" s="2085"/>
      <c r="B86" s="2088"/>
      <c r="C86" s="2092"/>
      <c r="D86" s="2078"/>
      <c r="E86" s="750" t="s">
        <v>1452</v>
      </c>
      <c r="F86" s="161" t="s">
        <v>167</v>
      </c>
      <c r="G86" s="963">
        <v>1</v>
      </c>
      <c r="H86" s="181"/>
      <c r="I86" s="1562"/>
      <c r="J86" s="1550"/>
      <c r="K86" s="844"/>
    </row>
    <row r="87" spans="1:11" ht="12.75" thickBot="1" x14ac:dyDescent="0.25">
      <c r="A87" s="2085"/>
      <c r="B87" s="2088"/>
      <c r="C87" s="2092"/>
      <c r="D87" s="2079"/>
      <c r="E87" s="752" t="s">
        <v>1453</v>
      </c>
      <c r="F87" s="376"/>
      <c r="G87" s="964">
        <v>0</v>
      </c>
      <c r="H87" s="305"/>
      <c r="I87" s="1555"/>
      <c r="J87" s="1551"/>
      <c r="K87" s="844"/>
    </row>
    <row r="88" spans="1:11" ht="12" customHeight="1" x14ac:dyDescent="0.2">
      <c r="A88" s="2085"/>
      <c r="B88" s="2088"/>
      <c r="C88" s="2092"/>
      <c r="D88" s="2077" t="s">
        <v>1454</v>
      </c>
      <c r="E88" s="753" t="s">
        <v>1455</v>
      </c>
      <c r="F88" s="441" t="s">
        <v>167</v>
      </c>
      <c r="G88" s="962">
        <v>1</v>
      </c>
      <c r="H88" s="1012"/>
      <c r="I88" s="1559">
        <f>SUMIF(F88:F112,"=X",G88:G112)</f>
        <v>24</v>
      </c>
      <c r="J88" s="1549">
        <f>(I88/24)*50%</f>
        <v>0.5</v>
      </c>
      <c r="K88" s="844"/>
    </row>
    <row r="89" spans="1:11" ht="12" customHeight="1" x14ac:dyDescent="0.2">
      <c r="A89" s="2085"/>
      <c r="B89" s="2088"/>
      <c r="C89" s="2092"/>
      <c r="D89" s="2078"/>
      <c r="E89" s="751" t="s">
        <v>1456</v>
      </c>
      <c r="F89" s="161" t="s">
        <v>167</v>
      </c>
      <c r="G89" s="963">
        <v>1</v>
      </c>
      <c r="H89" s="181"/>
      <c r="I89" s="1560"/>
      <c r="J89" s="1550"/>
      <c r="K89" s="844"/>
    </row>
    <row r="90" spans="1:11" x14ac:dyDescent="0.2">
      <c r="A90" s="2085"/>
      <c r="B90" s="2088"/>
      <c r="C90" s="2092"/>
      <c r="D90" s="2078"/>
      <c r="E90" s="751" t="s">
        <v>1457</v>
      </c>
      <c r="F90" s="161" t="s">
        <v>167</v>
      </c>
      <c r="G90" s="963">
        <v>1</v>
      </c>
      <c r="H90" s="181"/>
      <c r="I90" s="1560"/>
      <c r="J90" s="1550"/>
      <c r="K90" s="844"/>
    </row>
    <row r="91" spans="1:11" x14ac:dyDescent="0.2">
      <c r="A91" s="2085"/>
      <c r="B91" s="2088"/>
      <c r="C91" s="2092"/>
      <c r="D91" s="2078"/>
      <c r="E91" s="751" t="s">
        <v>1458</v>
      </c>
      <c r="F91" s="161" t="s">
        <v>167</v>
      </c>
      <c r="G91" s="963">
        <v>1</v>
      </c>
      <c r="H91" s="181"/>
      <c r="I91" s="1560"/>
      <c r="J91" s="1550"/>
      <c r="K91" s="844"/>
    </row>
    <row r="92" spans="1:11" x14ac:dyDescent="0.2">
      <c r="A92" s="2085"/>
      <c r="B92" s="2088"/>
      <c r="C92" s="2092"/>
      <c r="D92" s="2078"/>
      <c r="E92" s="751" t="s">
        <v>1459</v>
      </c>
      <c r="F92" s="161" t="s">
        <v>167</v>
      </c>
      <c r="G92" s="963">
        <v>1</v>
      </c>
      <c r="H92" s="181"/>
      <c r="I92" s="1560"/>
      <c r="J92" s="1550"/>
      <c r="K92" s="844"/>
    </row>
    <row r="93" spans="1:11" x14ac:dyDescent="0.2">
      <c r="A93" s="2085"/>
      <c r="B93" s="2088"/>
      <c r="C93" s="2092"/>
      <c r="D93" s="2078"/>
      <c r="E93" s="751" t="s">
        <v>1460</v>
      </c>
      <c r="F93" s="161" t="s">
        <v>167</v>
      </c>
      <c r="G93" s="963">
        <v>1</v>
      </c>
      <c r="H93" s="181"/>
      <c r="I93" s="1560"/>
      <c r="J93" s="1550"/>
      <c r="K93" s="844"/>
    </row>
    <row r="94" spans="1:11" x14ac:dyDescent="0.2">
      <c r="A94" s="2085"/>
      <c r="B94" s="2088"/>
      <c r="C94" s="2092"/>
      <c r="D94" s="2078"/>
      <c r="E94" s="751" t="s">
        <v>1461</v>
      </c>
      <c r="F94" s="161" t="s">
        <v>167</v>
      </c>
      <c r="G94" s="963">
        <v>1</v>
      </c>
      <c r="H94" s="181"/>
      <c r="I94" s="1560"/>
      <c r="J94" s="1550"/>
      <c r="K94" s="844"/>
    </row>
    <row r="95" spans="1:11" x14ac:dyDescent="0.2">
      <c r="A95" s="2085"/>
      <c r="B95" s="2088"/>
      <c r="C95" s="2092"/>
      <c r="D95" s="2078"/>
      <c r="E95" s="751" t="s">
        <v>1462</v>
      </c>
      <c r="F95" s="161" t="s">
        <v>167</v>
      </c>
      <c r="G95" s="963">
        <v>1</v>
      </c>
      <c r="H95" s="181"/>
      <c r="I95" s="1560"/>
      <c r="J95" s="1550"/>
      <c r="K95" s="844"/>
    </row>
    <row r="96" spans="1:11" x14ac:dyDescent="0.2">
      <c r="A96" s="2085"/>
      <c r="B96" s="2088"/>
      <c r="C96" s="2092"/>
      <c r="D96" s="2078"/>
      <c r="E96" s="751" t="s">
        <v>1463</v>
      </c>
      <c r="F96" s="161" t="s">
        <v>167</v>
      </c>
      <c r="G96" s="963">
        <v>1</v>
      </c>
      <c r="H96" s="181"/>
      <c r="I96" s="1560"/>
      <c r="J96" s="1550"/>
      <c r="K96" s="844"/>
    </row>
    <row r="97" spans="1:11" x14ac:dyDescent="0.2">
      <c r="A97" s="2085"/>
      <c r="B97" s="2088"/>
      <c r="C97" s="2092"/>
      <c r="D97" s="2078"/>
      <c r="E97" s="751" t="s">
        <v>1464</v>
      </c>
      <c r="F97" s="161" t="s">
        <v>167</v>
      </c>
      <c r="G97" s="963">
        <v>1</v>
      </c>
      <c r="H97" s="181"/>
      <c r="I97" s="1560"/>
      <c r="J97" s="1550"/>
      <c r="K97" s="844"/>
    </row>
    <row r="98" spans="1:11" x14ac:dyDescent="0.2">
      <c r="A98" s="2085"/>
      <c r="B98" s="2088"/>
      <c r="C98" s="2092"/>
      <c r="D98" s="2078"/>
      <c r="E98" s="751" t="s">
        <v>1465</v>
      </c>
      <c r="F98" s="161" t="s">
        <v>167</v>
      </c>
      <c r="G98" s="963">
        <v>1</v>
      </c>
      <c r="H98" s="181"/>
      <c r="I98" s="1560"/>
      <c r="J98" s="1550"/>
      <c r="K98" s="844"/>
    </row>
    <row r="99" spans="1:11" x14ac:dyDescent="0.2">
      <c r="A99" s="2085"/>
      <c r="B99" s="2088"/>
      <c r="C99" s="2092"/>
      <c r="D99" s="2078"/>
      <c r="E99" s="751" t="s">
        <v>1466</v>
      </c>
      <c r="F99" s="161" t="s">
        <v>167</v>
      </c>
      <c r="G99" s="963">
        <v>1</v>
      </c>
      <c r="H99" s="181"/>
      <c r="I99" s="1560"/>
      <c r="J99" s="1550"/>
      <c r="K99" s="844"/>
    </row>
    <row r="100" spans="1:11" ht="24" customHeight="1" x14ac:dyDescent="0.2">
      <c r="A100" s="2085"/>
      <c r="B100" s="2088"/>
      <c r="C100" s="2092"/>
      <c r="D100" s="2078"/>
      <c r="E100" s="751" t="s">
        <v>1467</v>
      </c>
      <c r="F100" s="161" t="s">
        <v>167</v>
      </c>
      <c r="G100" s="537">
        <v>1</v>
      </c>
      <c r="H100" s="2073" t="s">
        <v>2725</v>
      </c>
      <c r="I100" s="2080"/>
      <c r="J100" s="1550"/>
      <c r="K100" s="844"/>
    </row>
    <row r="101" spans="1:11" x14ac:dyDescent="0.2">
      <c r="A101" s="2085"/>
      <c r="B101" s="2088"/>
      <c r="C101" s="2092"/>
      <c r="D101" s="2078"/>
      <c r="E101" s="750" t="s">
        <v>1468</v>
      </c>
      <c r="F101" s="161" t="s">
        <v>167</v>
      </c>
      <c r="G101" s="537">
        <v>1</v>
      </c>
      <c r="H101" s="2073"/>
      <c r="I101" s="2080"/>
      <c r="J101" s="1550"/>
      <c r="K101" s="844"/>
    </row>
    <row r="102" spans="1:11" x14ac:dyDescent="0.2">
      <c r="A102" s="2085"/>
      <c r="B102" s="2088"/>
      <c r="C102" s="2092"/>
      <c r="D102" s="2078"/>
      <c r="E102" s="750" t="s">
        <v>1469</v>
      </c>
      <c r="F102" s="161" t="s">
        <v>167</v>
      </c>
      <c r="G102" s="537">
        <v>1</v>
      </c>
      <c r="H102" s="2073"/>
      <c r="I102" s="2080"/>
      <c r="J102" s="1550"/>
      <c r="K102" s="844"/>
    </row>
    <row r="103" spans="1:11" x14ac:dyDescent="0.2">
      <c r="A103" s="2085"/>
      <c r="B103" s="2088"/>
      <c r="C103" s="2092"/>
      <c r="D103" s="2078"/>
      <c r="E103" s="750" t="s">
        <v>1470</v>
      </c>
      <c r="F103" s="161" t="s">
        <v>167</v>
      </c>
      <c r="G103" s="963">
        <v>1</v>
      </c>
      <c r="H103" s="181"/>
      <c r="I103" s="1560"/>
      <c r="J103" s="1550"/>
      <c r="K103" s="844"/>
    </row>
    <row r="104" spans="1:11" x14ac:dyDescent="0.2">
      <c r="A104" s="2085"/>
      <c r="B104" s="2088"/>
      <c r="C104" s="2092"/>
      <c r="D104" s="2078"/>
      <c r="E104" s="750" t="s">
        <v>1471</v>
      </c>
      <c r="F104" s="161" t="s">
        <v>167</v>
      </c>
      <c r="G104" s="963">
        <v>1</v>
      </c>
      <c r="H104" s="181"/>
      <c r="I104" s="1560"/>
      <c r="J104" s="1550"/>
      <c r="K104" s="844"/>
    </row>
    <row r="105" spans="1:11" x14ac:dyDescent="0.2">
      <c r="A105" s="2085"/>
      <c r="B105" s="2088"/>
      <c r="C105" s="2092"/>
      <c r="D105" s="2078"/>
      <c r="E105" s="750" t="s">
        <v>1472</v>
      </c>
      <c r="F105" s="161" t="s">
        <v>167</v>
      </c>
      <c r="G105" s="963">
        <v>1</v>
      </c>
      <c r="H105" s="181"/>
      <c r="I105" s="1560"/>
      <c r="J105" s="1550"/>
      <c r="K105" s="844"/>
    </row>
    <row r="106" spans="1:11" x14ac:dyDescent="0.2">
      <c r="A106" s="2085"/>
      <c r="B106" s="2088"/>
      <c r="C106" s="2092"/>
      <c r="D106" s="2078"/>
      <c r="E106" s="750" t="s">
        <v>1473</v>
      </c>
      <c r="F106" s="161" t="s">
        <v>167</v>
      </c>
      <c r="G106" s="963">
        <v>1</v>
      </c>
      <c r="H106" s="181"/>
      <c r="I106" s="1560"/>
      <c r="J106" s="1550"/>
      <c r="K106" s="844"/>
    </row>
    <row r="107" spans="1:11" x14ac:dyDescent="0.2">
      <c r="A107" s="2085"/>
      <c r="B107" s="2088"/>
      <c r="C107" s="2092"/>
      <c r="D107" s="2078"/>
      <c r="E107" s="750" t="s">
        <v>1474</v>
      </c>
      <c r="F107" s="161" t="s">
        <v>167</v>
      </c>
      <c r="G107" s="963">
        <v>1</v>
      </c>
      <c r="H107" s="181"/>
      <c r="I107" s="1560"/>
      <c r="J107" s="1550"/>
      <c r="K107" s="844"/>
    </row>
    <row r="108" spans="1:11" x14ac:dyDescent="0.2">
      <c r="A108" s="2085"/>
      <c r="B108" s="2088"/>
      <c r="C108" s="2092"/>
      <c r="D108" s="2078"/>
      <c r="E108" s="750" t="s">
        <v>1475</v>
      </c>
      <c r="F108" s="161" t="s">
        <v>167</v>
      </c>
      <c r="G108" s="963">
        <v>1</v>
      </c>
      <c r="H108" s="181"/>
      <c r="I108" s="1560"/>
      <c r="J108" s="1550"/>
      <c r="K108" s="844"/>
    </row>
    <row r="109" spans="1:11" x14ac:dyDescent="0.2">
      <c r="A109" s="2085"/>
      <c r="B109" s="2088"/>
      <c r="C109" s="2092"/>
      <c r="D109" s="2078"/>
      <c r="E109" s="750" t="s">
        <v>1476</v>
      </c>
      <c r="F109" s="161" t="s">
        <v>167</v>
      </c>
      <c r="G109" s="963">
        <v>1</v>
      </c>
      <c r="H109" s="181"/>
      <c r="I109" s="1560"/>
      <c r="J109" s="1550"/>
      <c r="K109" s="844"/>
    </row>
    <row r="110" spans="1:11" x14ac:dyDescent="0.2">
      <c r="A110" s="2085"/>
      <c r="B110" s="2088"/>
      <c r="C110" s="2092"/>
      <c r="D110" s="2078"/>
      <c r="E110" s="750" t="s">
        <v>1477</v>
      </c>
      <c r="F110" s="161" t="s">
        <v>167</v>
      </c>
      <c r="G110" s="963">
        <v>1</v>
      </c>
      <c r="H110" s="181"/>
      <c r="I110" s="1560"/>
      <c r="J110" s="1550"/>
      <c r="K110" s="844"/>
    </row>
    <row r="111" spans="1:11" x14ac:dyDescent="0.2">
      <c r="A111" s="2085"/>
      <c r="B111" s="2088"/>
      <c r="C111" s="2092"/>
      <c r="D111" s="2078"/>
      <c r="E111" s="750" t="s">
        <v>1478</v>
      </c>
      <c r="F111" s="161" t="s">
        <v>167</v>
      </c>
      <c r="G111" s="963">
        <v>1</v>
      </c>
      <c r="H111" s="181"/>
      <c r="I111" s="1560"/>
      <c r="J111" s="1550"/>
      <c r="K111" s="844"/>
    </row>
    <row r="112" spans="1:11" ht="12.75" thickBot="1" x14ac:dyDescent="0.25">
      <c r="A112" s="2085"/>
      <c r="B112" s="2088"/>
      <c r="C112" s="2092"/>
      <c r="D112" s="2079"/>
      <c r="E112" s="657" t="s">
        <v>1479</v>
      </c>
      <c r="F112" s="376"/>
      <c r="G112" s="964">
        <v>0</v>
      </c>
      <c r="H112" s="305"/>
      <c r="I112" s="1561"/>
      <c r="J112" s="1551"/>
      <c r="K112" s="844"/>
    </row>
    <row r="113" spans="1:11" ht="33" customHeight="1" x14ac:dyDescent="0.2">
      <c r="A113" s="2085"/>
      <c r="B113" s="2088"/>
      <c r="C113" s="1966" t="s">
        <v>2560</v>
      </c>
      <c r="D113" s="1968" t="s">
        <v>506</v>
      </c>
      <c r="E113" s="731" t="s">
        <v>1480</v>
      </c>
      <c r="F113" s="441">
        <v>1</v>
      </c>
      <c r="G113" s="1568" t="s">
        <v>2411</v>
      </c>
      <c r="H113" s="1664" t="s">
        <v>2654</v>
      </c>
      <c r="I113" s="1970">
        <f>IFERROR(IF((F114/F113)&gt;1,1,(F114/F113)),0)</f>
        <v>1</v>
      </c>
      <c r="J113" s="1549">
        <f>IF(I113&gt;49.9%,100%,0)</f>
        <v>1</v>
      </c>
      <c r="K113" s="2064"/>
    </row>
    <row r="114" spans="1:11" ht="40.5" customHeight="1" thickBot="1" x14ac:dyDescent="0.25">
      <c r="A114" s="2085"/>
      <c r="B114" s="2088"/>
      <c r="C114" s="1967"/>
      <c r="D114" s="1969"/>
      <c r="E114" s="813" t="s">
        <v>1481</v>
      </c>
      <c r="F114" s="376">
        <v>1</v>
      </c>
      <c r="G114" s="1569"/>
      <c r="H114" s="1665"/>
      <c r="I114" s="1971"/>
      <c r="J114" s="1551"/>
      <c r="K114" s="2064"/>
    </row>
    <row r="115" spans="1:11" ht="63.75" customHeight="1" thickBot="1" x14ac:dyDescent="0.25">
      <c r="A115" s="2085"/>
      <c r="B115" s="2088"/>
      <c r="C115" s="748" t="s">
        <v>2561</v>
      </c>
      <c r="D115" s="749" t="s">
        <v>506</v>
      </c>
      <c r="E115" s="754" t="s">
        <v>1482</v>
      </c>
      <c r="F115" s="611">
        <v>1</v>
      </c>
      <c r="G115" s="580" t="s">
        <v>2411</v>
      </c>
      <c r="H115" s="581" t="s">
        <v>2655</v>
      </c>
      <c r="I115" s="582">
        <f>IFERROR(IF((F115/F114)&gt;1,1,(F115/F114)),0)</f>
        <v>1</v>
      </c>
      <c r="J115" s="583">
        <f>IFERROR(IF(I115&gt;49.9%,100%,0),0)</f>
        <v>1</v>
      </c>
      <c r="K115" s="1008"/>
    </row>
    <row r="116" spans="1:11" ht="33" customHeight="1" x14ac:dyDescent="0.2">
      <c r="A116" s="2085"/>
      <c r="B116" s="2088"/>
      <c r="C116" s="1967" t="s">
        <v>2562</v>
      </c>
      <c r="D116" s="1585" t="s">
        <v>1483</v>
      </c>
      <c r="E116" s="653" t="s">
        <v>1484</v>
      </c>
      <c r="F116" s="1265" t="s">
        <v>1485</v>
      </c>
      <c r="G116" s="1664" t="s">
        <v>2526</v>
      </c>
      <c r="H116" s="548" t="s">
        <v>2656</v>
      </c>
      <c r="I116" s="551">
        <v>1</v>
      </c>
      <c r="J116" s="1988">
        <f>IF(F116="di) Si",100%,0)</f>
        <v>0</v>
      </c>
      <c r="K116" s="844"/>
    </row>
    <row r="117" spans="1:11" ht="24" customHeight="1" thickBot="1" x14ac:dyDescent="0.25">
      <c r="A117" s="2085"/>
      <c r="B117" s="2089"/>
      <c r="C117" s="1967"/>
      <c r="D117" s="1587"/>
      <c r="E117" s="654" t="s">
        <v>1485</v>
      </c>
      <c r="F117" s="1625"/>
      <c r="G117" s="1665"/>
      <c r="H117" s="549" t="s">
        <v>2657</v>
      </c>
      <c r="I117" s="549">
        <v>0</v>
      </c>
      <c r="J117" s="1989"/>
      <c r="K117" s="844"/>
    </row>
    <row r="118" spans="1:11" ht="15" customHeight="1" thickBot="1" x14ac:dyDescent="0.25">
      <c r="A118" s="2085"/>
      <c r="B118" s="1958" t="s">
        <v>1486</v>
      </c>
      <c r="C118" s="1958"/>
      <c r="D118" s="1959"/>
      <c r="E118" s="1959"/>
      <c r="F118" s="1959"/>
      <c r="G118" s="1959"/>
      <c r="H118" s="1959" t="s">
        <v>1487</v>
      </c>
      <c r="I118" s="1959"/>
      <c r="J118" s="586">
        <f>(J37+(J67+J88)+J113+J115+J116)/5</f>
        <v>0.76596774193548389</v>
      </c>
      <c r="K118" s="121"/>
    </row>
    <row r="119" spans="1:11" ht="38.25" customHeight="1" x14ac:dyDescent="0.2">
      <c r="A119" s="2085"/>
      <c r="B119" s="1990" t="s">
        <v>2563</v>
      </c>
      <c r="C119" s="1987" t="s">
        <v>2564</v>
      </c>
      <c r="D119" s="1600" t="s">
        <v>1488</v>
      </c>
      <c r="E119" s="674" t="s">
        <v>2661</v>
      </c>
      <c r="F119" s="1265" t="s">
        <v>2830</v>
      </c>
      <c r="G119" s="1664" t="s">
        <v>2526</v>
      </c>
      <c r="H119" s="548" t="s">
        <v>2658</v>
      </c>
      <c r="I119" s="551">
        <v>1</v>
      </c>
      <c r="J119" s="1988">
        <f>IF(F119="a) Si",100%,0)</f>
        <v>1</v>
      </c>
      <c r="K119" s="844"/>
    </row>
    <row r="120" spans="1:11" ht="27" customHeight="1" thickBot="1" x14ac:dyDescent="0.25">
      <c r="A120" s="2085"/>
      <c r="B120" s="1990"/>
      <c r="C120" s="1966"/>
      <c r="D120" s="1601"/>
      <c r="E120" s="675" t="s">
        <v>2660</v>
      </c>
      <c r="F120" s="1625"/>
      <c r="G120" s="1665"/>
      <c r="H120" s="549" t="s">
        <v>2659</v>
      </c>
      <c r="I120" s="549">
        <v>0</v>
      </c>
      <c r="J120" s="1989"/>
      <c r="K120" s="844"/>
    </row>
    <row r="121" spans="1:11" ht="16.5" thickBot="1" x14ac:dyDescent="0.25">
      <c r="A121" s="2085"/>
      <c r="B121" s="1958" t="s">
        <v>1489</v>
      </c>
      <c r="C121" s="1958"/>
      <c r="D121" s="1959"/>
      <c r="E121" s="1959"/>
      <c r="F121" s="1959"/>
      <c r="G121" s="1959"/>
      <c r="H121" s="1975" t="s">
        <v>1490</v>
      </c>
      <c r="I121" s="1976"/>
      <c r="J121" s="586">
        <f>J119</f>
        <v>1</v>
      </c>
      <c r="K121" s="121"/>
    </row>
    <row r="122" spans="1:11" x14ac:dyDescent="0.2">
      <c r="A122" s="2085"/>
      <c r="B122" s="1990" t="s">
        <v>2565</v>
      </c>
      <c r="C122" s="1987" t="s">
        <v>2566</v>
      </c>
      <c r="D122" s="1994" t="s">
        <v>518</v>
      </c>
      <c r="E122" s="676" t="s">
        <v>1491</v>
      </c>
      <c r="F122" s="1061" t="s">
        <v>167</v>
      </c>
      <c r="G122" s="548">
        <v>1</v>
      </c>
      <c r="H122" s="1559" t="s">
        <v>2726</v>
      </c>
      <c r="I122" s="1554">
        <f>SUMIF(F122:F129,"X",G122:G129)</f>
        <v>6</v>
      </c>
      <c r="J122" s="1549">
        <f>I122/7</f>
        <v>0.8571428571428571</v>
      </c>
      <c r="K122" s="844"/>
    </row>
    <row r="123" spans="1:11" x14ac:dyDescent="0.2">
      <c r="A123" s="2085"/>
      <c r="B123" s="1990"/>
      <c r="C123" s="1991"/>
      <c r="D123" s="1995"/>
      <c r="E123" s="677" t="s">
        <v>1492</v>
      </c>
      <c r="F123" s="1062"/>
      <c r="G123" s="550">
        <v>1</v>
      </c>
      <c r="H123" s="1560"/>
      <c r="I123" s="1562"/>
      <c r="J123" s="1550"/>
      <c r="K123" s="844"/>
    </row>
    <row r="124" spans="1:11" x14ac:dyDescent="0.2">
      <c r="A124" s="2085"/>
      <c r="B124" s="1990"/>
      <c r="C124" s="1991"/>
      <c r="D124" s="1995"/>
      <c r="E124" s="677" t="s">
        <v>1493</v>
      </c>
      <c r="F124" s="1062" t="s">
        <v>167</v>
      </c>
      <c r="G124" s="550">
        <v>1</v>
      </c>
      <c r="H124" s="1560"/>
      <c r="I124" s="1562"/>
      <c r="J124" s="1550"/>
      <c r="K124" s="844"/>
    </row>
    <row r="125" spans="1:11" x14ac:dyDescent="0.2">
      <c r="A125" s="2085"/>
      <c r="B125" s="1990"/>
      <c r="C125" s="1991"/>
      <c r="D125" s="1995"/>
      <c r="E125" s="677" t="s">
        <v>1494</v>
      </c>
      <c r="F125" s="1062" t="s">
        <v>167</v>
      </c>
      <c r="G125" s="550">
        <v>1</v>
      </c>
      <c r="H125" s="1560"/>
      <c r="I125" s="1562"/>
      <c r="J125" s="1550"/>
      <c r="K125" s="844"/>
    </row>
    <row r="126" spans="1:11" x14ac:dyDescent="0.2">
      <c r="A126" s="2085"/>
      <c r="B126" s="1990"/>
      <c r="C126" s="1991"/>
      <c r="D126" s="1995"/>
      <c r="E126" s="677" t="s">
        <v>1495</v>
      </c>
      <c r="F126" s="1062" t="s">
        <v>167</v>
      </c>
      <c r="G126" s="550">
        <v>1</v>
      </c>
      <c r="H126" s="1560"/>
      <c r="I126" s="1562"/>
      <c r="J126" s="1550"/>
      <c r="K126" s="844"/>
    </row>
    <row r="127" spans="1:11" x14ac:dyDescent="0.2">
      <c r="A127" s="2085"/>
      <c r="B127" s="1990"/>
      <c r="C127" s="1991"/>
      <c r="D127" s="1995"/>
      <c r="E127" s="775" t="s">
        <v>1496</v>
      </c>
      <c r="F127" s="1062" t="s">
        <v>167</v>
      </c>
      <c r="G127" s="550">
        <v>1</v>
      </c>
      <c r="H127" s="1560"/>
      <c r="I127" s="1562"/>
      <c r="J127" s="1550"/>
      <c r="K127" s="844"/>
    </row>
    <row r="128" spans="1:11" x14ac:dyDescent="0.2">
      <c r="A128" s="2085"/>
      <c r="B128" s="1990"/>
      <c r="C128" s="1991"/>
      <c r="D128" s="1995"/>
      <c r="E128" s="677" t="s">
        <v>1497</v>
      </c>
      <c r="F128" s="1062" t="s">
        <v>167</v>
      </c>
      <c r="G128" s="550">
        <v>1</v>
      </c>
      <c r="H128" s="1560"/>
      <c r="I128" s="1562"/>
      <c r="J128" s="1550"/>
      <c r="K128" s="844"/>
    </row>
    <row r="129" spans="1:11" ht="12.75" thickBot="1" x14ac:dyDescent="0.25">
      <c r="A129" s="2085"/>
      <c r="B129" s="1990"/>
      <c r="C129" s="1966"/>
      <c r="D129" s="1996"/>
      <c r="E129" s="678" t="s">
        <v>1498</v>
      </c>
      <c r="F129" s="279"/>
      <c r="G129" s="549">
        <v>0</v>
      </c>
      <c r="H129" s="1561"/>
      <c r="I129" s="1555"/>
      <c r="J129" s="1551"/>
      <c r="K129" s="844"/>
    </row>
    <row r="130" spans="1:11" ht="15.75" x14ac:dyDescent="0.2">
      <c r="A130" s="2086"/>
      <c r="B130" s="1958" t="s">
        <v>1499</v>
      </c>
      <c r="C130" s="1958"/>
      <c r="D130" s="1982"/>
      <c r="E130" s="1982"/>
      <c r="F130" s="1982"/>
      <c r="G130" s="1982"/>
      <c r="H130" s="1977" t="s">
        <v>1500</v>
      </c>
      <c r="I130" s="1978"/>
      <c r="J130" s="553">
        <f>J122</f>
        <v>0.8571428571428571</v>
      </c>
      <c r="K130" s="121"/>
    </row>
    <row r="131" spans="1:11" ht="16.5" thickBot="1" x14ac:dyDescent="0.25">
      <c r="A131" s="1581" t="s">
        <v>1501</v>
      </c>
      <c r="B131" s="1581"/>
      <c r="C131" s="1581"/>
      <c r="D131" s="1572"/>
      <c r="E131" s="1572"/>
      <c r="F131" s="1572"/>
      <c r="G131" s="1572"/>
      <c r="H131" s="1572" t="s">
        <v>1502</v>
      </c>
      <c r="I131" s="1572"/>
      <c r="J131" s="552">
        <f>(J118+J121+J130)/3</f>
        <v>0.8743701996927804</v>
      </c>
      <c r="K131" s="121"/>
    </row>
    <row r="132" spans="1:11" ht="32.25" customHeight="1" x14ac:dyDescent="0.2">
      <c r="A132" s="1983" t="s">
        <v>2567</v>
      </c>
      <c r="B132" s="1985"/>
      <c r="C132" s="1967" t="s">
        <v>2568</v>
      </c>
      <c r="D132" s="1968" t="s">
        <v>506</v>
      </c>
      <c r="E132" s="731" t="s">
        <v>1503</v>
      </c>
      <c r="F132" s="276">
        <v>1</v>
      </c>
      <c r="G132" s="772" t="s">
        <v>2664</v>
      </c>
      <c r="H132" s="1559" t="s">
        <v>1504</v>
      </c>
      <c r="I132" s="1952">
        <f>J132</f>
        <v>1</v>
      </c>
      <c r="J132" s="1549">
        <f>IFERROR(IF((F133/F132)&gt;1,1,(F133/F132)),0)</f>
        <v>1</v>
      </c>
      <c r="K132" s="844"/>
    </row>
    <row r="133" spans="1:11" ht="36" customHeight="1" thickBot="1" x14ac:dyDescent="0.25">
      <c r="A133" s="1984"/>
      <c r="B133" s="1985"/>
      <c r="C133" s="1967"/>
      <c r="D133" s="1969"/>
      <c r="E133" s="733" t="s">
        <v>1505</v>
      </c>
      <c r="F133" s="279">
        <v>1</v>
      </c>
      <c r="G133" s="773" t="s">
        <v>2664</v>
      </c>
      <c r="H133" s="1561"/>
      <c r="I133" s="1953"/>
      <c r="J133" s="1551"/>
      <c r="K133" s="844"/>
    </row>
    <row r="134" spans="1:11" ht="35.25" customHeight="1" x14ac:dyDescent="0.2">
      <c r="A134" s="1984"/>
      <c r="B134" s="1985"/>
      <c r="C134" s="1967" t="s">
        <v>2569</v>
      </c>
      <c r="D134" s="1968" t="s">
        <v>506</v>
      </c>
      <c r="E134" s="731" t="s">
        <v>2662</v>
      </c>
      <c r="F134" s="276">
        <v>1</v>
      </c>
      <c r="G134" s="772" t="s">
        <v>2664</v>
      </c>
      <c r="H134" s="772" t="s">
        <v>1506</v>
      </c>
      <c r="I134" s="777">
        <f>IF(F134&gt;0,50%,0)</f>
        <v>0.5</v>
      </c>
      <c r="J134" s="1549">
        <f>I134+I135</f>
        <v>0.5</v>
      </c>
      <c r="K134" s="844"/>
    </row>
    <row r="135" spans="1:11" ht="39" customHeight="1" thickBot="1" x14ac:dyDescent="0.25">
      <c r="A135" s="1984"/>
      <c r="B135" s="1985"/>
      <c r="C135" s="1967"/>
      <c r="D135" s="1969"/>
      <c r="E135" s="776" t="s">
        <v>2663</v>
      </c>
      <c r="F135" s="279"/>
      <c r="G135" s="773" t="s">
        <v>2664</v>
      </c>
      <c r="H135" s="773" t="s">
        <v>1507</v>
      </c>
      <c r="I135" s="778">
        <f>IF(F135&gt;0,50%,0)</f>
        <v>0</v>
      </c>
      <c r="J135" s="1551"/>
      <c r="K135" s="844"/>
    </row>
    <row r="136" spans="1:11" ht="97.5" customHeight="1" thickBot="1" x14ac:dyDescent="0.25">
      <c r="A136" s="1984"/>
      <c r="B136" s="1985"/>
      <c r="C136" s="748" t="s">
        <v>2570</v>
      </c>
      <c r="D136" s="1997" t="s">
        <v>2665</v>
      </c>
      <c r="E136" s="1998"/>
      <c r="F136" s="788">
        <v>1</v>
      </c>
      <c r="G136" s="580" t="s">
        <v>2664</v>
      </c>
      <c r="H136" s="580" t="s">
        <v>1508</v>
      </c>
      <c r="I136" s="789">
        <f>IF(F136&gt;0,100%,0)</f>
        <v>1</v>
      </c>
      <c r="J136" s="589">
        <f>I136</f>
        <v>1</v>
      </c>
      <c r="K136" s="844"/>
    </row>
    <row r="137" spans="1:11" ht="62.25" customHeight="1" x14ac:dyDescent="0.2">
      <c r="A137" s="1984"/>
      <c r="B137" s="1985"/>
      <c r="C137" s="1967" t="s">
        <v>2571</v>
      </c>
      <c r="D137" s="1948" t="s">
        <v>2727</v>
      </c>
      <c r="E137" s="1949"/>
      <c r="F137" s="276">
        <v>2</v>
      </c>
      <c r="G137" s="772" t="s">
        <v>2664</v>
      </c>
      <c r="H137" s="1554" t="s">
        <v>2666</v>
      </c>
      <c r="I137" s="1952">
        <f>J137</f>
        <v>1</v>
      </c>
      <c r="J137" s="1549">
        <f>IFERROR(IF((F138/F137)&gt;1,1,(F138/F137)),0)</f>
        <v>1</v>
      </c>
      <c r="K137" s="844"/>
    </row>
    <row r="138" spans="1:11" ht="54.75" customHeight="1" thickBot="1" x14ac:dyDescent="0.25">
      <c r="A138" s="1984"/>
      <c r="B138" s="1986"/>
      <c r="C138" s="1987"/>
      <c r="D138" s="1950" t="s">
        <v>2728</v>
      </c>
      <c r="E138" s="1951"/>
      <c r="F138" s="279">
        <v>2</v>
      </c>
      <c r="G138" s="773" t="s">
        <v>2664</v>
      </c>
      <c r="H138" s="1555"/>
      <c r="I138" s="1953"/>
      <c r="J138" s="1551"/>
      <c r="K138" s="844"/>
    </row>
    <row r="139" spans="1:11" ht="18.75" customHeight="1" thickBot="1" x14ac:dyDescent="0.25">
      <c r="A139" s="1992" t="s">
        <v>1509</v>
      </c>
      <c r="B139" s="1993"/>
      <c r="C139" s="1993"/>
      <c r="D139" s="1993"/>
      <c r="E139" s="1993"/>
      <c r="F139" s="1993"/>
      <c r="G139" s="1993"/>
      <c r="H139" s="1993" t="s">
        <v>1510</v>
      </c>
      <c r="I139" s="1993"/>
      <c r="J139" s="584">
        <f>AVERAGE(J132:J138)</f>
        <v>0.875</v>
      </c>
      <c r="K139" s="844"/>
    </row>
    <row r="140" spans="1:11" ht="18.75" customHeight="1" thickBot="1" x14ac:dyDescent="0.25">
      <c r="A140" s="1972" t="s">
        <v>2667</v>
      </c>
      <c r="B140" s="1973"/>
      <c r="C140" s="1973"/>
      <c r="D140" s="1973"/>
      <c r="E140" s="1973"/>
      <c r="F140" s="1973"/>
      <c r="G140" s="1974"/>
      <c r="H140" s="1954" t="s">
        <v>1511</v>
      </c>
      <c r="I140" s="1954"/>
      <c r="J140" s="585">
        <f>(J131+J139)/2</f>
        <v>0.8746850998463902</v>
      </c>
      <c r="K140" s="844"/>
    </row>
    <row r="141" spans="1:11" ht="28.5" customHeight="1" thickBot="1" x14ac:dyDescent="0.25">
      <c r="A141" s="1979" t="s">
        <v>2668</v>
      </c>
      <c r="B141" s="1980"/>
      <c r="C141" s="1980"/>
      <c r="D141" s="1980"/>
      <c r="E141" s="1980"/>
      <c r="F141" s="1980"/>
      <c r="G141" s="1980"/>
      <c r="H141" s="1980"/>
      <c r="I141" s="1980"/>
      <c r="J141" s="1981"/>
      <c r="K141" s="844"/>
    </row>
    <row r="142" spans="1:11" ht="22.5" customHeight="1" x14ac:dyDescent="0.2">
      <c r="A142" s="1938" t="s">
        <v>2572</v>
      </c>
      <c r="B142" s="1955" t="s">
        <v>2573</v>
      </c>
      <c r="C142" s="1948" t="s">
        <v>2574</v>
      </c>
      <c r="D142" s="1680" t="s">
        <v>2730</v>
      </c>
      <c r="E142" s="731" t="s">
        <v>1512</v>
      </c>
      <c r="F142" s="785">
        <v>16</v>
      </c>
      <c r="G142" s="1960" t="s">
        <v>2664</v>
      </c>
      <c r="H142" s="1559" t="s">
        <v>1513</v>
      </c>
      <c r="I142" s="1554">
        <f>F143+F144+F146+F147</f>
        <v>14</v>
      </c>
      <c r="J142" s="1549">
        <f>IFERROR(IF((I148/I142)&gt;1,1,(I148/I142)),"0")</f>
        <v>1</v>
      </c>
      <c r="K142" s="844"/>
    </row>
    <row r="143" spans="1:11" ht="18.75" customHeight="1" x14ac:dyDescent="0.2">
      <c r="A143" s="1938"/>
      <c r="B143" s="1956"/>
      <c r="C143" s="1957"/>
      <c r="D143" s="1681"/>
      <c r="E143" s="732" t="s">
        <v>1514</v>
      </c>
      <c r="F143" s="786">
        <v>14</v>
      </c>
      <c r="G143" s="1961"/>
      <c r="H143" s="1560"/>
      <c r="I143" s="1562"/>
      <c r="J143" s="1550"/>
      <c r="K143" s="844"/>
    </row>
    <row r="144" spans="1:11" ht="21.75" customHeight="1" thickBot="1" x14ac:dyDescent="0.25">
      <c r="A144" s="1938"/>
      <c r="B144" s="1956"/>
      <c r="C144" s="1957"/>
      <c r="D144" s="1682"/>
      <c r="E144" s="733" t="s">
        <v>1515</v>
      </c>
      <c r="F144" s="787"/>
      <c r="G144" s="1961"/>
      <c r="H144" s="1560"/>
      <c r="I144" s="1562"/>
      <c r="J144" s="1550"/>
      <c r="K144" s="844"/>
    </row>
    <row r="145" spans="1:11" ht="24.75" customHeight="1" x14ac:dyDescent="0.2">
      <c r="A145" s="1938"/>
      <c r="B145" s="1956"/>
      <c r="C145" s="1957"/>
      <c r="D145" s="1680" t="s">
        <v>2731</v>
      </c>
      <c r="E145" s="731" t="s">
        <v>1516</v>
      </c>
      <c r="F145" s="785">
        <v>1</v>
      </c>
      <c r="G145" s="1961"/>
      <c r="H145" s="1560"/>
      <c r="I145" s="1562"/>
      <c r="J145" s="1550"/>
      <c r="K145" s="844"/>
    </row>
    <row r="146" spans="1:11" ht="26.25" customHeight="1" x14ac:dyDescent="0.2">
      <c r="A146" s="1938"/>
      <c r="B146" s="1956"/>
      <c r="C146" s="1957"/>
      <c r="D146" s="1681"/>
      <c r="E146" s="732" t="s">
        <v>1517</v>
      </c>
      <c r="F146" s="786"/>
      <c r="G146" s="1961"/>
      <c r="H146" s="1560"/>
      <c r="I146" s="1562"/>
      <c r="J146" s="1550"/>
      <c r="K146" s="844"/>
    </row>
    <row r="147" spans="1:11" ht="24" customHeight="1" thickBot="1" x14ac:dyDescent="0.25">
      <c r="A147" s="1938"/>
      <c r="B147" s="1956"/>
      <c r="C147" s="1957"/>
      <c r="D147" s="1682"/>
      <c r="E147" s="733" t="s">
        <v>1518</v>
      </c>
      <c r="F147" s="787"/>
      <c r="G147" s="1961"/>
      <c r="H147" s="1560"/>
      <c r="I147" s="1562"/>
      <c r="J147" s="1550"/>
      <c r="K147" s="844"/>
    </row>
    <row r="148" spans="1:11" ht="26.25" customHeight="1" x14ac:dyDescent="0.2">
      <c r="A148" s="1938"/>
      <c r="B148" s="1956"/>
      <c r="C148" s="1957"/>
      <c r="D148" s="1680" t="s">
        <v>1238</v>
      </c>
      <c r="E148" s="731" t="s">
        <v>1519</v>
      </c>
      <c r="F148" s="785">
        <v>14</v>
      </c>
      <c r="G148" s="1961"/>
      <c r="H148" s="1560"/>
      <c r="I148" s="1562">
        <f>F148+F149+F150+F151</f>
        <v>15</v>
      </c>
      <c r="J148" s="1550"/>
      <c r="K148" s="844"/>
    </row>
    <row r="149" spans="1:11" ht="30.75" customHeight="1" thickBot="1" x14ac:dyDescent="0.25">
      <c r="A149" s="1938"/>
      <c r="B149" s="1956"/>
      <c r="C149" s="1957"/>
      <c r="D149" s="1682"/>
      <c r="E149" s="733" t="s">
        <v>1520</v>
      </c>
      <c r="F149" s="787"/>
      <c r="G149" s="1961"/>
      <c r="H149" s="1560"/>
      <c r="I149" s="1562"/>
      <c r="J149" s="1550"/>
      <c r="K149" s="844"/>
    </row>
    <row r="150" spans="1:11" ht="30.75" customHeight="1" x14ac:dyDescent="0.2">
      <c r="A150" s="1938"/>
      <c r="B150" s="1956"/>
      <c r="C150" s="1957"/>
      <c r="D150" s="1680" t="s">
        <v>1239</v>
      </c>
      <c r="E150" s="731" t="s">
        <v>2729</v>
      </c>
      <c r="F150" s="785">
        <v>1</v>
      </c>
      <c r="G150" s="1961"/>
      <c r="H150" s="1560"/>
      <c r="I150" s="1562"/>
      <c r="J150" s="1550"/>
      <c r="K150" s="844"/>
    </row>
    <row r="151" spans="1:11" ht="30.75" customHeight="1" thickBot="1" x14ac:dyDescent="0.25">
      <c r="A151" s="1938"/>
      <c r="B151" s="1956"/>
      <c r="C151" s="1950"/>
      <c r="D151" s="1682"/>
      <c r="E151" s="733" t="s">
        <v>1521</v>
      </c>
      <c r="F151" s="787"/>
      <c r="G151" s="1962"/>
      <c r="H151" s="1561"/>
      <c r="I151" s="1555"/>
      <c r="J151" s="1551"/>
      <c r="K151" s="844"/>
    </row>
    <row r="152" spans="1:11" ht="19.5" customHeight="1" x14ac:dyDescent="0.2">
      <c r="A152" s="1938"/>
      <c r="B152" s="1956"/>
      <c r="C152" s="1948" t="s">
        <v>2575</v>
      </c>
      <c r="D152" s="1680" t="s">
        <v>1237</v>
      </c>
      <c r="E152" s="731" t="s">
        <v>1522</v>
      </c>
      <c r="F152" s="785"/>
      <c r="G152" s="1960" t="s">
        <v>2664</v>
      </c>
      <c r="H152" s="1559" t="s">
        <v>1523</v>
      </c>
      <c r="I152" s="1554">
        <f>F153+F154+F156+F157</f>
        <v>14</v>
      </c>
      <c r="J152" s="1549">
        <f>IFERROR(IF((I158/I152)&gt;1,1,(I158/I152)),"0")</f>
        <v>1</v>
      </c>
      <c r="K152" s="844"/>
    </row>
    <row r="153" spans="1:11" ht="21" customHeight="1" x14ac:dyDescent="0.2">
      <c r="A153" s="1938"/>
      <c r="B153" s="1956"/>
      <c r="C153" s="1957"/>
      <c r="D153" s="1681"/>
      <c r="E153" s="732" t="s">
        <v>1524</v>
      </c>
      <c r="F153" s="786"/>
      <c r="G153" s="1961"/>
      <c r="H153" s="1560"/>
      <c r="I153" s="1562"/>
      <c r="J153" s="1550"/>
      <c r="K153" s="844"/>
    </row>
    <row r="154" spans="1:11" ht="23.25" customHeight="1" thickBot="1" x14ac:dyDescent="0.25">
      <c r="A154" s="1938"/>
      <c r="B154" s="1956"/>
      <c r="C154" s="1957"/>
      <c r="D154" s="1682"/>
      <c r="E154" s="733" t="s">
        <v>1525</v>
      </c>
      <c r="F154" s="787"/>
      <c r="G154" s="1961"/>
      <c r="H154" s="1560"/>
      <c r="I154" s="1562"/>
      <c r="J154" s="1550"/>
      <c r="K154" s="844"/>
    </row>
    <row r="155" spans="1:11" ht="25.5" customHeight="1" x14ac:dyDescent="0.2">
      <c r="A155" s="1938"/>
      <c r="B155" s="1956"/>
      <c r="C155" s="1957"/>
      <c r="D155" s="1680" t="s">
        <v>2681</v>
      </c>
      <c r="E155" s="731" t="s">
        <v>1526</v>
      </c>
      <c r="F155" s="785">
        <v>16</v>
      </c>
      <c r="G155" s="1961"/>
      <c r="H155" s="1560"/>
      <c r="I155" s="1562"/>
      <c r="J155" s="1550"/>
      <c r="K155" s="844"/>
    </row>
    <row r="156" spans="1:11" ht="23.25" customHeight="1" x14ac:dyDescent="0.2">
      <c r="A156" s="1938"/>
      <c r="B156" s="1956"/>
      <c r="C156" s="1957"/>
      <c r="D156" s="1681"/>
      <c r="E156" s="732" t="s">
        <v>1527</v>
      </c>
      <c r="F156" s="786">
        <v>14</v>
      </c>
      <c r="G156" s="1961"/>
      <c r="H156" s="1560"/>
      <c r="I156" s="1562"/>
      <c r="J156" s="1550"/>
      <c r="K156" s="844"/>
    </row>
    <row r="157" spans="1:11" ht="25.5" customHeight="1" thickBot="1" x14ac:dyDescent="0.25">
      <c r="A157" s="1938"/>
      <c r="B157" s="1956"/>
      <c r="C157" s="1957"/>
      <c r="D157" s="1682"/>
      <c r="E157" s="733" t="s">
        <v>1528</v>
      </c>
      <c r="F157" s="787"/>
      <c r="G157" s="1961"/>
      <c r="H157" s="1560"/>
      <c r="I157" s="1562"/>
      <c r="J157" s="1550"/>
      <c r="K157" s="844"/>
    </row>
    <row r="158" spans="1:11" ht="23.25" customHeight="1" x14ac:dyDescent="0.2">
      <c r="A158" s="1938"/>
      <c r="B158" s="1956"/>
      <c r="C158" s="1957"/>
      <c r="D158" s="1680" t="s">
        <v>1240</v>
      </c>
      <c r="E158" s="731" t="s">
        <v>1529</v>
      </c>
      <c r="F158" s="785">
        <v>14</v>
      </c>
      <c r="G158" s="1961"/>
      <c r="H158" s="1560"/>
      <c r="I158" s="1562">
        <f>F158+F159+F160+F161</f>
        <v>14</v>
      </c>
      <c r="J158" s="1550"/>
      <c r="K158" s="844"/>
    </row>
    <row r="159" spans="1:11" ht="32.25" customHeight="1" thickBot="1" x14ac:dyDescent="0.25">
      <c r="A159" s="1938"/>
      <c r="B159" s="1956"/>
      <c r="C159" s="1957"/>
      <c r="D159" s="1682"/>
      <c r="E159" s="733" t="s">
        <v>1530</v>
      </c>
      <c r="F159" s="787"/>
      <c r="G159" s="1961"/>
      <c r="H159" s="1560"/>
      <c r="I159" s="1562"/>
      <c r="J159" s="1550"/>
      <c r="K159" s="844"/>
    </row>
    <row r="160" spans="1:11" ht="26.25" customHeight="1" x14ac:dyDescent="0.2">
      <c r="A160" s="1938"/>
      <c r="B160" s="1956"/>
      <c r="C160" s="1957"/>
      <c r="D160" s="1680" t="s">
        <v>1241</v>
      </c>
      <c r="E160" s="731" t="s">
        <v>1531</v>
      </c>
      <c r="F160" s="785"/>
      <c r="G160" s="1961"/>
      <c r="H160" s="1560"/>
      <c r="I160" s="1562"/>
      <c r="J160" s="1550"/>
      <c r="K160" s="844"/>
    </row>
    <row r="161" spans="1:11" ht="24.75" customHeight="1" thickBot="1" x14ac:dyDescent="0.25">
      <c r="A161" s="1938"/>
      <c r="B161" s="1956"/>
      <c r="C161" s="1950"/>
      <c r="D161" s="1682"/>
      <c r="E161" s="733" t="s">
        <v>1532</v>
      </c>
      <c r="F161" s="787"/>
      <c r="G161" s="1962"/>
      <c r="H161" s="1561"/>
      <c r="I161" s="1555"/>
      <c r="J161" s="1551"/>
      <c r="K161" s="844"/>
    </row>
    <row r="162" spans="1:11" ht="16.5" customHeight="1" x14ac:dyDescent="0.2">
      <c r="A162" s="1938"/>
      <c r="B162" s="1956"/>
      <c r="C162" s="1948" t="s">
        <v>2576</v>
      </c>
      <c r="D162" s="1680" t="s">
        <v>2730</v>
      </c>
      <c r="E162" s="731" t="s">
        <v>1533</v>
      </c>
      <c r="F162" s="785">
        <v>16</v>
      </c>
      <c r="G162" s="1960" t="s">
        <v>2664</v>
      </c>
      <c r="H162" s="1559" t="s">
        <v>1534</v>
      </c>
      <c r="I162" s="1554">
        <f>F163+F164+F166+F167</f>
        <v>14</v>
      </c>
      <c r="J162" s="1549">
        <f>IFERROR(IF((I168/I162)&gt;1,1,(I168/I162)),"0")</f>
        <v>1</v>
      </c>
      <c r="K162" s="844"/>
    </row>
    <row r="163" spans="1:11" ht="15.75" customHeight="1" x14ac:dyDescent="0.2">
      <c r="A163" s="1938"/>
      <c r="B163" s="1956"/>
      <c r="C163" s="1957"/>
      <c r="D163" s="1681"/>
      <c r="E163" s="732" t="s">
        <v>1535</v>
      </c>
      <c r="F163" s="786">
        <v>14</v>
      </c>
      <c r="G163" s="1961"/>
      <c r="H163" s="1560"/>
      <c r="I163" s="1562"/>
      <c r="J163" s="1550"/>
      <c r="K163" s="844"/>
    </row>
    <row r="164" spans="1:11" ht="19.5" customHeight="1" thickBot="1" x14ac:dyDescent="0.25">
      <c r="A164" s="1938"/>
      <c r="B164" s="1956"/>
      <c r="C164" s="1957"/>
      <c r="D164" s="1682"/>
      <c r="E164" s="733" t="s">
        <v>1536</v>
      </c>
      <c r="F164" s="787"/>
      <c r="G164" s="1961"/>
      <c r="H164" s="1560"/>
      <c r="I164" s="1562"/>
      <c r="J164" s="1550"/>
      <c r="K164" s="844"/>
    </row>
    <row r="165" spans="1:11" ht="16.5" customHeight="1" x14ac:dyDescent="0.2">
      <c r="A165" s="1938"/>
      <c r="B165" s="1956"/>
      <c r="C165" s="1957"/>
      <c r="D165" s="1680" t="s">
        <v>2731</v>
      </c>
      <c r="E165" s="731" t="s">
        <v>1537</v>
      </c>
      <c r="F165" s="785">
        <v>1</v>
      </c>
      <c r="G165" s="1961"/>
      <c r="H165" s="1560"/>
      <c r="I165" s="1562"/>
      <c r="J165" s="1550"/>
      <c r="K165" s="844"/>
    </row>
    <row r="166" spans="1:11" ht="27.75" customHeight="1" x14ac:dyDescent="0.2">
      <c r="A166" s="1938"/>
      <c r="B166" s="1956"/>
      <c r="C166" s="1957"/>
      <c r="D166" s="1681"/>
      <c r="E166" s="732" t="s">
        <v>1538</v>
      </c>
      <c r="F166" s="786"/>
      <c r="G166" s="1961"/>
      <c r="H166" s="1560"/>
      <c r="I166" s="1562"/>
      <c r="J166" s="1550"/>
      <c r="K166" s="844"/>
    </row>
    <row r="167" spans="1:11" ht="29.25" customHeight="1" thickBot="1" x14ac:dyDescent="0.25">
      <c r="A167" s="1938"/>
      <c r="B167" s="1956"/>
      <c r="C167" s="1957"/>
      <c r="D167" s="1682"/>
      <c r="E167" s="733" t="s">
        <v>1539</v>
      </c>
      <c r="F167" s="787"/>
      <c r="G167" s="1961"/>
      <c r="H167" s="1560"/>
      <c r="I167" s="1562"/>
      <c r="J167" s="1550"/>
      <c r="K167" s="844"/>
    </row>
    <row r="168" spans="1:11" ht="33" customHeight="1" x14ac:dyDescent="0.2">
      <c r="A168" s="1938"/>
      <c r="B168" s="1956"/>
      <c r="C168" s="1957"/>
      <c r="D168" s="1680" t="s">
        <v>1242</v>
      </c>
      <c r="E168" s="731" t="s">
        <v>1540</v>
      </c>
      <c r="F168" s="785">
        <v>14</v>
      </c>
      <c r="G168" s="1961"/>
      <c r="H168" s="1560"/>
      <c r="I168" s="1562">
        <f>F168+F169+F170+F171</f>
        <v>14</v>
      </c>
      <c r="J168" s="1550"/>
      <c r="K168" s="844"/>
    </row>
    <row r="169" spans="1:11" ht="38.25" customHeight="1" thickBot="1" x14ac:dyDescent="0.25">
      <c r="A169" s="1938"/>
      <c r="B169" s="1956"/>
      <c r="C169" s="1957"/>
      <c r="D169" s="1682"/>
      <c r="E169" s="733" t="s">
        <v>1541</v>
      </c>
      <c r="F169" s="787"/>
      <c r="G169" s="1961"/>
      <c r="H169" s="1560"/>
      <c r="I169" s="1562"/>
      <c r="J169" s="1550"/>
      <c r="K169" s="844"/>
    </row>
    <row r="170" spans="1:11" ht="22.5" customHeight="1" x14ac:dyDescent="0.2">
      <c r="A170" s="1938"/>
      <c r="B170" s="1956"/>
      <c r="C170" s="1957"/>
      <c r="D170" s="1680" t="s">
        <v>1243</v>
      </c>
      <c r="E170" s="731" t="s">
        <v>1542</v>
      </c>
      <c r="F170" s="785"/>
      <c r="G170" s="1961"/>
      <c r="H170" s="1560"/>
      <c r="I170" s="1562"/>
      <c r="J170" s="1550"/>
      <c r="K170" s="844"/>
    </row>
    <row r="171" spans="1:11" ht="48" customHeight="1" thickBot="1" x14ac:dyDescent="0.25">
      <c r="A171" s="1938"/>
      <c r="B171" s="1956"/>
      <c r="C171" s="1950"/>
      <c r="D171" s="1682"/>
      <c r="E171" s="733" t="s">
        <v>1543</v>
      </c>
      <c r="F171" s="787"/>
      <c r="G171" s="1962"/>
      <c r="H171" s="1561"/>
      <c r="I171" s="1555"/>
      <c r="J171" s="1551"/>
      <c r="K171" s="844"/>
    </row>
    <row r="172" spans="1:11" ht="21" customHeight="1" x14ac:dyDescent="0.2">
      <c r="A172" s="1938"/>
      <c r="B172" s="1956"/>
      <c r="C172" s="1948" t="s">
        <v>2577</v>
      </c>
      <c r="D172" s="1680" t="s">
        <v>1237</v>
      </c>
      <c r="E172" s="731" t="s">
        <v>1544</v>
      </c>
      <c r="F172" s="785">
        <v>16</v>
      </c>
      <c r="G172" s="1960" t="s">
        <v>2664</v>
      </c>
      <c r="H172" s="1664" t="s">
        <v>1545</v>
      </c>
      <c r="I172" s="1554">
        <f>F173+F174+F176+F177</f>
        <v>14</v>
      </c>
      <c r="J172" s="1549">
        <f>IFERROR(I178/I172,"0")</f>
        <v>1</v>
      </c>
      <c r="K172" s="844"/>
    </row>
    <row r="173" spans="1:11" ht="27" customHeight="1" x14ac:dyDescent="0.2">
      <c r="A173" s="1938"/>
      <c r="B173" s="1956"/>
      <c r="C173" s="1957"/>
      <c r="D173" s="1681"/>
      <c r="E173" s="732" t="s">
        <v>1546</v>
      </c>
      <c r="F173" s="786">
        <v>14</v>
      </c>
      <c r="G173" s="1961"/>
      <c r="H173" s="1565"/>
      <c r="I173" s="1562"/>
      <c r="J173" s="1550"/>
      <c r="K173" s="844"/>
    </row>
    <row r="174" spans="1:11" ht="19.5" customHeight="1" thickBot="1" x14ac:dyDescent="0.25">
      <c r="A174" s="1938"/>
      <c r="B174" s="1956"/>
      <c r="C174" s="1957"/>
      <c r="D174" s="1682"/>
      <c r="E174" s="733" t="s">
        <v>1547</v>
      </c>
      <c r="F174" s="787"/>
      <c r="G174" s="1961"/>
      <c r="H174" s="1565"/>
      <c r="I174" s="1562"/>
      <c r="J174" s="1550"/>
      <c r="K174" s="844"/>
    </row>
    <row r="175" spans="1:11" ht="27.75" customHeight="1" x14ac:dyDescent="0.2">
      <c r="A175" s="1938"/>
      <c r="B175" s="1956"/>
      <c r="C175" s="1957"/>
      <c r="D175" s="1680" t="s">
        <v>2681</v>
      </c>
      <c r="E175" s="731" t="s">
        <v>1548</v>
      </c>
      <c r="F175" s="785">
        <v>1</v>
      </c>
      <c r="G175" s="1961"/>
      <c r="H175" s="1565"/>
      <c r="I175" s="1562"/>
      <c r="J175" s="1550"/>
      <c r="K175" s="844"/>
    </row>
    <row r="176" spans="1:11" ht="22.5" customHeight="1" x14ac:dyDescent="0.2">
      <c r="A176" s="1938"/>
      <c r="B176" s="1956"/>
      <c r="C176" s="1957"/>
      <c r="D176" s="1681"/>
      <c r="E176" s="732" t="s">
        <v>1549</v>
      </c>
      <c r="F176" s="786"/>
      <c r="G176" s="1961"/>
      <c r="H176" s="1565"/>
      <c r="I176" s="1562"/>
      <c r="J176" s="1550"/>
      <c r="K176" s="844"/>
    </row>
    <row r="177" spans="1:11" ht="23.25" customHeight="1" thickBot="1" x14ac:dyDescent="0.25">
      <c r="A177" s="1938"/>
      <c r="B177" s="1956"/>
      <c r="C177" s="1957"/>
      <c r="D177" s="1682"/>
      <c r="E177" s="733" t="s">
        <v>1550</v>
      </c>
      <c r="F177" s="787"/>
      <c r="G177" s="1961"/>
      <c r="H177" s="1565"/>
      <c r="I177" s="1562"/>
      <c r="J177" s="1550"/>
      <c r="K177" s="844"/>
    </row>
    <row r="178" spans="1:11" ht="23.25" customHeight="1" x14ac:dyDescent="0.2">
      <c r="A178" s="1938"/>
      <c r="B178" s="1956"/>
      <c r="C178" s="1957"/>
      <c r="D178" s="1680" t="s">
        <v>1244</v>
      </c>
      <c r="E178" s="731" t="s">
        <v>1551</v>
      </c>
      <c r="F178" s="785">
        <v>14</v>
      </c>
      <c r="G178" s="1961"/>
      <c r="H178" s="1565"/>
      <c r="I178" s="1562">
        <f>F178+F179+F180+F181</f>
        <v>14</v>
      </c>
      <c r="J178" s="1550"/>
      <c r="K178" s="844"/>
    </row>
    <row r="179" spans="1:11" ht="33" customHeight="1" thickBot="1" x14ac:dyDescent="0.25">
      <c r="A179" s="1938"/>
      <c r="B179" s="1956"/>
      <c r="C179" s="1957"/>
      <c r="D179" s="1682"/>
      <c r="E179" s="733" t="s">
        <v>1552</v>
      </c>
      <c r="F179" s="787"/>
      <c r="G179" s="1961"/>
      <c r="H179" s="1565"/>
      <c r="I179" s="1562"/>
      <c r="J179" s="1550"/>
      <c r="K179" s="844"/>
    </row>
    <row r="180" spans="1:11" ht="35.25" customHeight="1" x14ac:dyDescent="0.2">
      <c r="A180" s="1938"/>
      <c r="B180" s="1956"/>
      <c r="C180" s="1957"/>
      <c r="D180" s="1680" t="s">
        <v>1245</v>
      </c>
      <c r="E180" s="731" t="s">
        <v>1553</v>
      </c>
      <c r="F180" s="785"/>
      <c r="G180" s="1961"/>
      <c r="H180" s="1565"/>
      <c r="I180" s="1562"/>
      <c r="J180" s="1550"/>
      <c r="K180" s="844"/>
    </row>
    <row r="181" spans="1:11" ht="33.75" customHeight="1" thickBot="1" x14ac:dyDescent="0.25">
      <c r="A181" s="1938"/>
      <c r="B181" s="1956"/>
      <c r="C181" s="1950"/>
      <c r="D181" s="1682"/>
      <c r="E181" s="733" t="s">
        <v>1554</v>
      </c>
      <c r="F181" s="787"/>
      <c r="G181" s="1962"/>
      <c r="H181" s="1665"/>
      <c r="I181" s="1555"/>
      <c r="J181" s="1551"/>
      <c r="K181" s="844"/>
    </row>
    <row r="182" spans="1:11" ht="16.5" thickBot="1" x14ac:dyDescent="0.25">
      <c r="A182" s="1938"/>
      <c r="B182" s="1958" t="s">
        <v>1555</v>
      </c>
      <c r="C182" s="1959"/>
      <c r="D182" s="1959"/>
      <c r="E182" s="1959"/>
      <c r="F182" s="1959"/>
      <c r="G182" s="1959"/>
      <c r="H182" s="1959" t="s">
        <v>1556</v>
      </c>
      <c r="I182" s="1959"/>
      <c r="J182" s="586">
        <f>(J142+J152+J162+J172)/4</f>
        <v>1</v>
      </c>
      <c r="K182" s="121"/>
    </row>
    <row r="183" spans="1:11" ht="35.25" customHeight="1" x14ac:dyDescent="0.2">
      <c r="A183" s="1938"/>
      <c r="B183" s="1956" t="s">
        <v>2578</v>
      </c>
      <c r="C183" s="1680" t="s">
        <v>2579</v>
      </c>
      <c r="D183" s="1946" t="s">
        <v>197</v>
      </c>
      <c r="E183" s="755" t="s">
        <v>2661</v>
      </c>
      <c r="F183" s="1265" t="s">
        <v>2830</v>
      </c>
      <c r="G183" s="1664" t="s">
        <v>2526</v>
      </c>
      <c r="H183" s="548" t="s">
        <v>1557</v>
      </c>
      <c r="I183" s="551">
        <v>1</v>
      </c>
      <c r="J183" s="1988">
        <f>IF(F183="a) Si",100%,0)</f>
        <v>1</v>
      </c>
      <c r="K183" s="844"/>
    </row>
    <row r="184" spans="1:11" ht="29.25" customHeight="1" thickBot="1" x14ac:dyDescent="0.25">
      <c r="A184" s="1938"/>
      <c r="B184" s="1956"/>
      <c r="C184" s="1682"/>
      <c r="D184" s="1947"/>
      <c r="E184" s="765" t="s">
        <v>1644</v>
      </c>
      <c r="F184" s="1625"/>
      <c r="G184" s="1665"/>
      <c r="H184" s="549" t="s">
        <v>1558</v>
      </c>
      <c r="I184" s="549">
        <v>0</v>
      </c>
      <c r="J184" s="1989"/>
      <c r="K184" s="844"/>
    </row>
    <row r="185" spans="1:11" ht="30" customHeight="1" x14ac:dyDescent="0.2">
      <c r="A185" s="1938"/>
      <c r="B185" s="1956"/>
      <c r="C185" s="1680" t="s">
        <v>2580</v>
      </c>
      <c r="D185" s="2000" t="s">
        <v>1559</v>
      </c>
      <c r="E185" s="756" t="s">
        <v>1560</v>
      </c>
      <c r="F185" s="1265" t="s">
        <v>1560</v>
      </c>
      <c r="G185" s="1664" t="s">
        <v>2526</v>
      </c>
      <c r="H185" s="548" t="s">
        <v>2732</v>
      </c>
      <c r="I185" s="551">
        <v>1</v>
      </c>
      <c r="J185" s="1988">
        <f>IF(F185="c) Si",100%,0)</f>
        <v>1</v>
      </c>
      <c r="K185" s="844"/>
    </row>
    <row r="186" spans="1:11" ht="31.5" customHeight="1" thickBot="1" x14ac:dyDescent="0.25">
      <c r="A186" s="1938"/>
      <c r="B186" s="1956"/>
      <c r="C186" s="1999"/>
      <c r="D186" s="2001"/>
      <c r="E186" s="790" t="s">
        <v>1561</v>
      </c>
      <c r="F186" s="2002"/>
      <c r="G186" s="1565"/>
      <c r="H186" s="774" t="s">
        <v>2733</v>
      </c>
      <c r="I186" s="774">
        <v>0</v>
      </c>
      <c r="J186" s="2003"/>
      <c r="K186" s="844"/>
    </row>
    <row r="187" spans="1:11" ht="31.5" customHeight="1" x14ac:dyDescent="0.2">
      <c r="A187" s="1938"/>
      <c r="B187" s="1956"/>
      <c r="C187" s="1963" t="s">
        <v>2581</v>
      </c>
      <c r="D187" s="2093" t="s">
        <v>2685</v>
      </c>
      <c r="E187" s="791" t="s">
        <v>2686</v>
      </c>
      <c r="F187" s="2095" t="s">
        <v>2686</v>
      </c>
      <c r="G187" s="1664" t="s">
        <v>2688</v>
      </c>
      <c r="H187" s="812" t="s">
        <v>2734</v>
      </c>
      <c r="I187" s="953">
        <v>1</v>
      </c>
      <c r="J187" s="1988" t="str">
        <f>IF(F187="e) Si","100%","0")</f>
        <v>100%</v>
      </c>
      <c r="K187" s="844"/>
    </row>
    <row r="188" spans="1:11" ht="48.75" customHeight="1" thickBot="1" x14ac:dyDescent="0.25">
      <c r="A188" s="1938"/>
      <c r="B188" s="1956"/>
      <c r="C188" s="1964"/>
      <c r="D188" s="2094"/>
      <c r="E188" s="792" t="s">
        <v>2687</v>
      </c>
      <c r="F188" s="2096"/>
      <c r="G188" s="1965"/>
      <c r="H188" s="952" t="s">
        <v>2735</v>
      </c>
      <c r="I188" s="954">
        <v>0</v>
      </c>
      <c r="J188" s="1989"/>
      <c r="K188" s="844"/>
    </row>
    <row r="189" spans="1:11" ht="15" customHeight="1" thickBot="1" x14ac:dyDescent="0.25">
      <c r="A189" s="1938"/>
      <c r="B189" s="1958" t="s">
        <v>1562</v>
      </c>
      <c r="C189" s="1959"/>
      <c r="D189" s="1959"/>
      <c r="E189" s="1959"/>
      <c r="F189" s="1959"/>
      <c r="G189" s="1959"/>
      <c r="H189" s="1959" t="s">
        <v>1563</v>
      </c>
      <c r="I189" s="1959"/>
      <c r="J189" s="586">
        <f>(J183+J185+J187)/3</f>
        <v>1</v>
      </c>
      <c r="K189" s="121"/>
    </row>
    <row r="190" spans="1:11" ht="34.5" customHeight="1" x14ac:dyDescent="0.2">
      <c r="A190" s="1938"/>
      <c r="B190" s="1956" t="s">
        <v>2585</v>
      </c>
      <c r="C190" s="1680" t="s">
        <v>2582</v>
      </c>
      <c r="D190" s="2004" t="s">
        <v>1564</v>
      </c>
      <c r="E190" s="731" t="s">
        <v>1565</v>
      </c>
      <c r="F190" s="276"/>
      <c r="G190" s="1554" t="s">
        <v>2664</v>
      </c>
      <c r="H190" s="1559" t="s">
        <v>1566</v>
      </c>
      <c r="I190" s="1672" t="str">
        <f>J190</f>
        <v>0</v>
      </c>
      <c r="J190" s="1549" t="str">
        <f>IFERROR(IF((F191/F190)&gt;1,1,(F191/F190)),"0")</f>
        <v>0</v>
      </c>
      <c r="K190" s="844"/>
    </row>
    <row r="191" spans="1:11" ht="29.25" customHeight="1" thickBot="1" x14ac:dyDescent="0.25">
      <c r="A191" s="1938"/>
      <c r="B191" s="1956"/>
      <c r="C191" s="1682"/>
      <c r="D191" s="2005"/>
      <c r="E191" s="733" t="s">
        <v>1567</v>
      </c>
      <c r="F191" s="279"/>
      <c r="G191" s="1555"/>
      <c r="H191" s="1561"/>
      <c r="I191" s="1555"/>
      <c r="J191" s="1551"/>
      <c r="K191" s="844"/>
    </row>
    <row r="192" spans="1:11" ht="36.75" customHeight="1" x14ac:dyDescent="0.2">
      <c r="A192" s="1938"/>
      <c r="B192" s="1956"/>
      <c r="C192" s="1948" t="s">
        <v>2583</v>
      </c>
      <c r="D192" s="1680" t="s">
        <v>1933</v>
      </c>
      <c r="E192" s="731" t="s">
        <v>1568</v>
      </c>
      <c r="F192" s="785">
        <v>14</v>
      </c>
      <c r="G192" s="1960" t="s">
        <v>2664</v>
      </c>
      <c r="H192" s="1559" t="s">
        <v>1569</v>
      </c>
      <c r="I192" s="1554">
        <f>F192+F193</f>
        <v>15</v>
      </c>
      <c r="J192" s="1549">
        <f>IFERROR(IF((I197/I192)&gt;1,1,(I197/I192)),"0")</f>
        <v>0.93333333333333335</v>
      </c>
      <c r="K192" s="844"/>
    </row>
    <row r="193" spans="1:11" ht="32.25" customHeight="1" thickBot="1" x14ac:dyDescent="0.25">
      <c r="A193" s="1938"/>
      <c r="B193" s="1956"/>
      <c r="C193" s="1957"/>
      <c r="D193" s="1682"/>
      <c r="E193" s="733" t="s">
        <v>1570</v>
      </c>
      <c r="F193" s="787">
        <v>1</v>
      </c>
      <c r="G193" s="1961"/>
      <c r="H193" s="1560"/>
      <c r="I193" s="1562"/>
      <c r="J193" s="1550"/>
      <c r="K193" s="844"/>
    </row>
    <row r="194" spans="1:11" ht="21.75" customHeight="1" x14ac:dyDescent="0.2">
      <c r="A194" s="1938"/>
      <c r="B194" s="1956"/>
      <c r="C194" s="1957"/>
      <c r="D194" s="1680" t="s">
        <v>1237</v>
      </c>
      <c r="E194" s="731" t="s">
        <v>1571</v>
      </c>
      <c r="F194" s="785">
        <v>16</v>
      </c>
      <c r="G194" s="1961"/>
      <c r="H194" s="1560"/>
      <c r="I194" s="1562"/>
      <c r="J194" s="1550"/>
      <c r="K194" s="844"/>
    </row>
    <row r="195" spans="1:11" ht="19.5" customHeight="1" x14ac:dyDescent="0.2">
      <c r="A195" s="1938"/>
      <c r="B195" s="1956"/>
      <c r="C195" s="1957"/>
      <c r="D195" s="1681"/>
      <c r="E195" s="732" t="s">
        <v>1572</v>
      </c>
      <c r="F195" s="786">
        <v>14</v>
      </c>
      <c r="G195" s="1961"/>
      <c r="H195" s="1560"/>
      <c r="I195" s="1562"/>
      <c r="J195" s="1550"/>
      <c r="K195" s="844"/>
    </row>
    <row r="196" spans="1:11" ht="24.75" customHeight="1" thickBot="1" x14ac:dyDescent="0.25">
      <c r="A196" s="1938"/>
      <c r="B196" s="1956"/>
      <c r="C196" s="1957"/>
      <c r="D196" s="1682"/>
      <c r="E196" s="736" t="s">
        <v>1573</v>
      </c>
      <c r="F196" s="787"/>
      <c r="G196" s="1961"/>
      <c r="H196" s="1560"/>
      <c r="I196" s="1562"/>
      <c r="J196" s="1550"/>
      <c r="K196" s="844"/>
    </row>
    <row r="197" spans="1:11" ht="24.75" customHeight="1" x14ac:dyDescent="0.2">
      <c r="A197" s="1938"/>
      <c r="B197" s="1956"/>
      <c r="C197" s="1957"/>
      <c r="D197" s="1680" t="s">
        <v>2681</v>
      </c>
      <c r="E197" s="731" t="s">
        <v>1574</v>
      </c>
      <c r="F197" s="785">
        <v>1</v>
      </c>
      <c r="G197" s="1961"/>
      <c r="H197" s="1560"/>
      <c r="I197" s="1562">
        <f>F195+F198</f>
        <v>14</v>
      </c>
      <c r="J197" s="1550"/>
      <c r="K197" s="844"/>
    </row>
    <row r="198" spans="1:11" ht="23.25" customHeight="1" x14ac:dyDescent="0.2">
      <c r="A198" s="1938"/>
      <c r="B198" s="1956"/>
      <c r="C198" s="1957"/>
      <c r="D198" s="1681"/>
      <c r="E198" s="732" t="s">
        <v>1575</v>
      </c>
      <c r="F198" s="786"/>
      <c r="G198" s="1961"/>
      <c r="H198" s="1560"/>
      <c r="I198" s="1562"/>
      <c r="J198" s="1550"/>
      <c r="K198" s="844"/>
    </row>
    <row r="199" spans="1:11" ht="30.75" customHeight="1" thickBot="1" x14ac:dyDescent="0.25">
      <c r="A199" s="1938"/>
      <c r="B199" s="1956"/>
      <c r="C199" s="1950"/>
      <c r="D199" s="1682"/>
      <c r="E199" s="733" t="s">
        <v>1521</v>
      </c>
      <c r="F199" s="787"/>
      <c r="G199" s="1962"/>
      <c r="H199" s="1561"/>
      <c r="I199" s="1555"/>
      <c r="J199" s="1551"/>
      <c r="K199" s="844"/>
    </row>
    <row r="200" spans="1:11" ht="44.25" customHeight="1" x14ac:dyDescent="0.2">
      <c r="A200" s="1938"/>
      <c r="B200" s="1956"/>
      <c r="C200" s="1680" t="s">
        <v>2584</v>
      </c>
      <c r="D200" s="2004" t="s">
        <v>1934</v>
      </c>
      <c r="E200" s="731" t="s">
        <v>1576</v>
      </c>
      <c r="F200" s="276">
        <v>14</v>
      </c>
      <c r="G200" s="1554" t="s">
        <v>2664</v>
      </c>
      <c r="H200" s="1559" t="s">
        <v>1577</v>
      </c>
      <c r="I200" s="548">
        <f>F200+F201</f>
        <v>14</v>
      </c>
      <c r="J200" s="1549">
        <f>IFERROR(IF((I200/I201)&gt;1,1,(I200/I201)),"0")</f>
        <v>1</v>
      </c>
      <c r="K200" s="844"/>
    </row>
    <row r="201" spans="1:11" ht="46.5" customHeight="1" thickBot="1" x14ac:dyDescent="0.25">
      <c r="A201" s="1938"/>
      <c r="B201" s="1956"/>
      <c r="C201" s="1682"/>
      <c r="D201" s="2005"/>
      <c r="E201" s="733" t="s">
        <v>1578</v>
      </c>
      <c r="F201" s="279"/>
      <c r="G201" s="1555"/>
      <c r="H201" s="1561"/>
      <c r="I201" s="549">
        <f>F195+F196</f>
        <v>14</v>
      </c>
      <c r="J201" s="1551"/>
      <c r="K201" s="844"/>
    </row>
    <row r="202" spans="1:11" ht="15.75" x14ac:dyDescent="0.2">
      <c r="A202" s="1939"/>
      <c r="B202" s="1958" t="s">
        <v>1579</v>
      </c>
      <c r="C202" s="1982"/>
      <c r="D202" s="1982"/>
      <c r="E202" s="1982"/>
      <c r="F202" s="1982"/>
      <c r="G202" s="1982"/>
      <c r="H202" s="1982" t="s">
        <v>1580</v>
      </c>
      <c r="I202" s="1982"/>
      <c r="J202" s="553">
        <f>(J190+J192+J200)/3</f>
        <v>0.64444444444444449</v>
      </c>
      <c r="K202" s="1073"/>
    </row>
    <row r="203" spans="1:11" ht="16.5" thickBot="1" x14ac:dyDescent="0.25">
      <c r="A203" s="1581" t="s">
        <v>1581</v>
      </c>
      <c r="B203" s="1581"/>
      <c r="C203" s="1572"/>
      <c r="D203" s="1572"/>
      <c r="E203" s="1572"/>
      <c r="F203" s="1572"/>
      <c r="G203" s="1572"/>
      <c r="H203" s="1572" t="s">
        <v>1582</v>
      </c>
      <c r="I203" s="1572"/>
      <c r="J203" s="552">
        <f>(J182+J189+J202)/3</f>
        <v>0.88148148148148142</v>
      </c>
      <c r="K203" s="121"/>
    </row>
    <row r="204" spans="1:11" ht="56.25" customHeight="1" thickBot="1" x14ac:dyDescent="0.25">
      <c r="A204" s="1983" t="s">
        <v>2586</v>
      </c>
      <c r="B204" s="1932"/>
      <c r="C204" s="757" t="s">
        <v>2587</v>
      </c>
      <c r="D204" s="2006" t="s">
        <v>2736</v>
      </c>
      <c r="E204" s="2007"/>
      <c r="F204" s="610"/>
      <c r="G204" s="580" t="s">
        <v>2664</v>
      </c>
      <c r="H204" s="588" t="s">
        <v>1583</v>
      </c>
      <c r="I204" s="590">
        <f>J204</f>
        <v>0</v>
      </c>
      <c r="J204" s="589">
        <f>IF(F204&gt;80,100%,F204%)</f>
        <v>0</v>
      </c>
      <c r="K204" s="844"/>
    </row>
    <row r="205" spans="1:11" x14ac:dyDescent="0.2">
      <c r="A205" s="1984"/>
      <c r="B205" s="1932"/>
      <c r="C205" s="1680" t="s">
        <v>2588</v>
      </c>
      <c r="D205" s="2009" t="s">
        <v>1584</v>
      </c>
      <c r="E205" s="676" t="s">
        <v>2689</v>
      </c>
      <c r="F205" s="276">
        <v>10</v>
      </c>
      <c r="G205" s="1554" t="s">
        <v>2664</v>
      </c>
      <c r="H205" s="1559" t="s">
        <v>2742</v>
      </c>
      <c r="I205" s="1554">
        <f>F205+F207+F209+F211</f>
        <v>30</v>
      </c>
      <c r="J205" s="1549">
        <f>IFERROR(IF((I209/I205)&gt;1,1,(I209/I205)),"0")</f>
        <v>1</v>
      </c>
      <c r="K205" s="844"/>
    </row>
    <row r="206" spans="1:11" x14ac:dyDescent="0.2">
      <c r="A206" s="1984"/>
      <c r="B206" s="1932"/>
      <c r="C206" s="1681"/>
      <c r="D206" s="2010"/>
      <c r="E206" s="677" t="s">
        <v>2740</v>
      </c>
      <c r="F206" s="564">
        <v>10</v>
      </c>
      <c r="G206" s="1562"/>
      <c r="H206" s="1560"/>
      <c r="I206" s="1562"/>
      <c r="J206" s="1550"/>
      <c r="K206" s="844"/>
    </row>
    <row r="207" spans="1:11" x14ac:dyDescent="0.2">
      <c r="A207" s="1984"/>
      <c r="B207" s="1932"/>
      <c r="C207" s="1681"/>
      <c r="D207" s="2010"/>
      <c r="E207" s="677" t="s">
        <v>2739</v>
      </c>
      <c r="F207" s="564">
        <v>6</v>
      </c>
      <c r="G207" s="1562"/>
      <c r="H207" s="1560"/>
      <c r="I207" s="1562"/>
      <c r="J207" s="1550"/>
      <c r="K207" s="844"/>
    </row>
    <row r="208" spans="1:11" x14ac:dyDescent="0.2">
      <c r="A208" s="1984"/>
      <c r="B208" s="1932"/>
      <c r="C208" s="1681"/>
      <c r="D208" s="2010"/>
      <c r="E208" s="677" t="s">
        <v>2682</v>
      </c>
      <c r="F208" s="564">
        <v>6</v>
      </c>
      <c r="G208" s="1562"/>
      <c r="H208" s="1560"/>
      <c r="I208" s="1562"/>
      <c r="J208" s="1550"/>
      <c r="K208" s="844"/>
    </row>
    <row r="209" spans="1:11" x14ac:dyDescent="0.2">
      <c r="A209" s="1984"/>
      <c r="B209" s="1932"/>
      <c r="C209" s="1681"/>
      <c r="D209" s="2010"/>
      <c r="E209" s="677" t="s">
        <v>2737</v>
      </c>
      <c r="F209" s="564">
        <v>8</v>
      </c>
      <c r="G209" s="1562"/>
      <c r="H209" s="1560"/>
      <c r="I209" s="1562">
        <f>F206+F208+F210+F212</f>
        <v>30</v>
      </c>
      <c r="J209" s="1550"/>
      <c r="K209" s="844"/>
    </row>
    <row r="210" spans="1:11" x14ac:dyDescent="0.2">
      <c r="A210" s="1984"/>
      <c r="B210" s="1932"/>
      <c r="C210" s="1681"/>
      <c r="D210" s="2010"/>
      <c r="E210" s="677" t="s">
        <v>2741</v>
      </c>
      <c r="F210" s="564">
        <v>8</v>
      </c>
      <c r="G210" s="1562"/>
      <c r="H210" s="1560"/>
      <c r="I210" s="1562"/>
      <c r="J210" s="1550"/>
      <c r="K210" s="844"/>
    </row>
    <row r="211" spans="1:11" x14ac:dyDescent="0.2">
      <c r="A211" s="1984"/>
      <c r="B211" s="1932"/>
      <c r="C211" s="1681"/>
      <c r="D211" s="2010"/>
      <c r="E211" s="677" t="s">
        <v>2683</v>
      </c>
      <c r="F211" s="564">
        <v>6</v>
      </c>
      <c r="G211" s="1562"/>
      <c r="H211" s="1560"/>
      <c r="I211" s="1562"/>
      <c r="J211" s="1550"/>
      <c r="K211" s="844"/>
    </row>
    <row r="212" spans="1:11" ht="12.75" thickBot="1" x14ac:dyDescent="0.25">
      <c r="A212" s="2008"/>
      <c r="B212" s="1932"/>
      <c r="C212" s="1682"/>
      <c r="D212" s="2011"/>
      <c r="E212" s="678" t="s">
        <v>2738</v>
      </c>
      <c r="F212" s="279">
        <v>6</v>
      </c>
      <c r="G212" s="1555"/>
      <c r="H212" s="1561"/>
      <c r="I212" s="1555"/>
      <c r="J212" s="1551"/>
      <c r="K212" s="844"/>
    </row>
    <row r="213" spans="1:11" ht="15.75" x14ac:dyDescent="0.2">
      <c r="A213" s="1581" t="s">
        <v>1509</v>
      </c>
      <c r="B213" s="1581"/>
      <c r="C213" s="1574"/>
      <c r="D213" s="1574"/>
      <c r="E213" s="1574"/>
      <c r="F213" s="1574"/>
      <c r="G213" s="1574"/>
      <c r="H213" s="1574" t="s">
        <v>1585</v>
      </c>
      <c r="I213" s="1574"/>
      <c r="J213" s="553">
        <f>(J204+J205)/2</f>
        <v>0.5</v>
      </c>
      <c r="K213" s="1073"/>
    </row>
    <row r="214" spans="1:11" ht="18.75" x14ac:dyDescent="0.2">
      <c r="A214" s="1925" t="s">
        <v>2670</v>
      </c>
      <c r="B214" s="1926"/>
      <c r="C214" s="1926"/>
      <c r="D214" s="1926"/>
      <c r="E214" s="1926"/>
      <c r="F214" s="1926"/>
      <c r="G214" s="1927"/>
      <c r="H214" s="1936" t="s">
        <v>1586</v>
      </c>
      <c r="I214" s="1936"/>
      <c r="J214" s="546">
        <f>(J203+J213)/2</f>
        <v>0.69074074074074066</v>
      </c>
      <c r="K214" s="121"/>
    </row>
    <row r="215" spans="1:11" ht="21" customHeight="1" thickBot="1" x14ac:dyDescent="0.25">
      <c r="A215" s="1928" t="s">
        <v>2669</v>
      </c>
      <c r="B215" s="1929"/>
      <c r="C215" s="1930"/>
      <c r="D215" s="1930"/>
      <c r="E215" s="1930"/>
      <c r="F215" s="1930"/>
      <c r="G215" s="1930"/>
      <c r="H215" s="1930"/>
      <c r="I215" s="1930"/>
      <c r="J215" s="1931"/>
      <c r="K215" s="121"/>
    </row>
    <row r="216" spans="1:11" ht="24" x14ac:dyDescent="0.2">
      <c r="A216" s="1937" t="s">
        <v>2589</v>
      </c>
      <c r="B216" s="1932" t="s">
        <v>2590</v>
      </c>
      <c r="C216" s="1680" t="s">
        <v>2595</v>
      </c>
      <c r="D216" s="1946" t="s">
        <v>1587</v>
      </c>
      <c r="E216" s="661" t="s">
        <v>2690</v>
      </c>
      <c r="F216" s="1384" t="s">
        <v>2690</v>
      </c>
      <c r="G216" s="1664" t="s">
        <v>2526</v>
      </c>
      <c r="H216" s="548" t="s">
        <v>1557</v>
      </c>
      <c r="I216" s="551">
        <v>1</v>
      </c>
      <c r="J216" s="1549">
        <f>IF(F216="a) Lo formuló y está actualizado de acuerdo con el marco de referencia de Arquitectura Empresarial del Estado",100%,IF(F216="b) Lo formuló y no está actualizado de acuerdo con el marco de referencia de Arquitectura Empresarial del Estado",70%,0))</f>
        <v>1</v>
      </c>
      <c r="K216" s="844"/>
    </row>
    <row r="217" spans="1:11" ht="24" x14ac:dyDescent="0.2">
      <c r="A217" s="1938"/>
      <c r="B217" s="1932"/>
      <c r="C217" s="1681"/>
      <c r="D217" s="1646"/>
      <c r="E217" s="766" t="s">
        <v>2691</v>
      </c>
      <c r="F217" s="1522"/>
      <c r="G217" s="1565"/>
      <c r="H217" s="550" t="s">
        <v>1588</v>
      </c>
      <c r="I217" s="591">
        <v>0.7</v>
      </c>
      <c r="J217" s="1550"/>
      <c r="K217" s="844"/>
    </row>
    <row r="218" spans="1:11" ht="15.75" customHeight="1" thickBot="1" x14ac:dyDescent="0.25">
      <c r="A218" s="1938"/>
      <c r="B218" s="1932"/>
      <c r="C218" s="1682"/>
      <c r="D218" s="1947"/>
      <c r="E218" s="654" t="s">
        <v>2692</v>
      </c>
      <c r="F218" s="1371"/>
      <c r="G218" s="1665"/>
      <c r="H218" s="549" t="s">
        <v>1589</v>
      </c>
      <c r="I218" s="360">
        <v>0</v>
      </c>
      <c r="J218" s="1551"/>
      <c r="K218" s="844"/>
    </row>
    <row r="219" spans="1:11" x14ac:dyDescent="0.2">
      <c r="A219" s="1938"/>
      <c r="B219" s="1932"/>
      <c r="C219" s="1680" t="s">
        <v>2596</v>
      </c>
      <c r="D219" s="1933" t="s">
        <v>1590</v>
      </c>
      <c r="E219" s="676" t="s">
        <v>1591</v>
      </c>
      <c r="F219" s="276"/>
      <c r="G219" s="548">
        <v>1</v>
      </c>
      <c r="H219" s="1559" t="s">
        <v>1944</v>
      </c>
      <c r="I219" s="2013">
        <f>SUMIF(F219:F225,"x",G219:G225)</f>
        <v>5</v>
      </c>
      <c r="J219" s="1549">
        <f>I219/6</f>
        <v>0.83333333333333337</v>
      </c>
      <c r="K219" s="844"/>
    </row>
    <row r="220" spans="1:11" x14ac:dyDescent="0.2">
      <c r="A220" s="1938"/>
      <c r="B220" s="1932"/>
      <c r="C220" s="1681"/>
      <c r="D220" s="1934"/>
      <c r="E220" s="677" t="s">
        <v>1592</v>
      </c>
      <c r="F220" s="564" t="s">
        <v>167</v>
      </c>
      <c r="G220" s="550">
        <v>1</v>
      </c>
      <c r="H220" s="1560"/>
      <c r="I220" s="2014"/>
      <c r="J220" s="1550"/>
      <c r="K220" s="844"/>
    </row>
    <row r="221" spans="1:11" x14ac:dyDescent="0.2">
      <c r="A221" s="1938"/>
      <c r="B221" s="1932"/>
      <c r="C221" s="1681"/>
      <c r="D221" s="1934"/>
      <c r="E221" s="677" t="s">
        <v>1593</v>
      </c>
      <c r="F221" s="161" t="s">
        <v>167</v>
      </c>
      <c r="G221" s="550">
        <v>1</v>
      </c>
      <c r="H221" s="1560"/>
      <c r="I221" s="2014"/>
      <c r="J221" s="1550"/>
      <c r="K221" s="289"/>
    </row>
    <row r="222" spans="1:11" x14ac:dyDescent="0.2">
      <c r="A222" s="1938"/>
      <c r="B222" s="1932"/>
      <c r="C222" s="1681"/>
      <c r="D222" s="1934"/>
      <c r="E222" s="677" t="s">
        <v>1594</v>
      </c>
      <c r="F222" s="564" t="s">
        <v>167</v>
      </c>
      <c r="G222" s="550">
        <v>1</v>
      </c>
      <c r="H222" s="1560"/>
      <c r="I222" s="2014"/>
      <c r="J222" s="1550"/>
      <c r="K222" s="844"/>
    </row>
    <row r="223" spans="1:11" x14ac:dyDescent="0.2">
      <c r="A223" s="1938"/>
      <c r="B223" s="1932"/>
      <c r="C223" s="1681"/>
      <c r="D223" s="1934"/>
      <c r="E223" s="677" t="s">
        <v>1595</v>
      </c>
      <c r="F223" s="564" t="s">
        <v>167</v>
      </c>
      <c r="G223" s="550">
        <v>1</v>
      </c>
      <c r="H223" s="1560"/>
      <c r="I223" s="2014"/>
      <c r="J223" s="1550"/>
      <c r="K223" s="844"/>
    </row>
    <row r="224" spans="1:11" x14ac:dyDescent="0.2">
      <c r="A224" s="1938"/>
      <c r="B224" s="1932"/>
      <c r="C224" s="1681"/>
      <c r="D224" s="1934"/>
      <c r="E224" s="677" t="s">
        <v>1596</v>
      </c>
      <c r="F224" s="564" t="s">
        <v>167</v>
      </c>
      <c r="G224" s="550">
        <v>1</v>
      </c>
      <c r="H224" s="1560"/>
      <c r="I224" s="2014"/>
      <c r="J224" s="1550"/>
      <c r="K224" s="844"/>
    </row>
    <row r="225" spans="1:11" ht="12.75" thickBot="1" x14ac:dyDescent="0.25">
      <c r="A225" s="1938"/>
      <c r="B225" s="1932"/>
      <c r="C225" s="1682"/>
      <c r="D225" s="1935"/>
      <c r="E225" s="652" t="s">
        <v>2143</v>
      </c>
      <c r="F225" s="279"/>
      <c r="G225" s="549">
        <v>0</v>
      </c>
      <c r="H225" s="1561"/>
      <c r="I225" s="2015"/>
      <c r="J225" s="1551"/>
      <c r="K225" s="844"/>
    </row>
    <row r="226" spans="1:11" ht="18.75" customHeight="1" x14ac:dyDescent="0.2">
      <c r="A226" s="1938"/>
      <c r="B226" s="1932"/>
      <c r="C226" s="1680" t="s">
        <v>2597</v>
      </c>
      <c r="D226" s="2000" t="s">
        <v>1597</v>
      </c>
      <c r="E226" s="674" t="s">
        <v>1598</v>
      </c>
      <c r="F226" s="1384" t="s">
        <v>1599</v>
      </c>
      <c r="G226" s="1664" t="s">
        <v>2526</v>
      </c>
      <c r="H226" s="1664" t="s">
        <v>2694</v>
      </c>
      <c r="I226" s="551">
        <v>0.3</v>
      </c>
      <c r="J226" s="1549">
        <f>IF(F226="k) Definió indicadores",30%,IF(F226="l) Definió indicadores  y realizó medición de los indicadores.",60%,IF(F226="m) Definió indicadores, realizó medición de los indicadores y  generó acciones de mejora a partir de los resultados de la medición.",100%,0)))</f>
        <v>0.6</v>
      </c>
      <c r="K226" s="844"/>
    </row>
    <row r="227" spans="1:11" ht="18" customHeight="1" x14ac:dyDescent="0.2">
      <c r="A227" s="1938"/>
      <c r="B227" s="1932"/>
      <c r="C227" s="1681"/>
      <c r="D227" s="2016"/>
      <c r="E227" s="761" t="s">
        <v>1599</v>
      </c>
      <c r="F227" s="1522"/>
      <c r="G227" s="1565"/>
      <c r="H227" s="1565"/>
      <c r="I227" s="591">
        <v>0.6</v>
      </c>
      <c r="J227" s="1550"/>
      <c r="K227" s="844"/>
    </row>
    <row r="228" spans="1:11" ht="24" x14ac:dyDescent="0.2">
      <c r="A228" s="1938"/>
      <c r="B228" s="1932"/>
      <c r="C228" s="1681"/>
      <c r="D228" s="2016"/>
      <c r="E228" s="688" t="s">
        <v>1600</v>
      </c>
      <c r="F228" s="1522"/>
      <c r="G228" s="1565"/>
      <c r="H228" s="1565"/>
      <c r="I228" s="591">
        <v>1</v>
      </c>
      <c r="J228" s="1550"/>
      <c r="K228" s="844"/>
    </row>
    <row r="229" spans="1:11" ht="18.75" customHeight="1" thickBot="1" x14ac:dyDescent="0.25">
      <c r="A229" s="1938"/>
      <c r="B229" s="1932"/>
      <c r="C229" s="1682"/>
      <c r="D229" s="2012"/>
      <c r="E229" s="675" t="s">
        <v>1601</v>
      </c>
      <c r="F229" s="1371"/>
      <c r="G229" s="1665"/>
      <c r="H229" s="1665"/>
      <c r="I229" s="360">
        <v>0</v>
      </c>
      <c r="J229" s="1551"/>
      <c r="K229" s="844"/>
    </row>
    <row r="230" spans="1:11" ht="20.25" customHeight="1" x14ac:dyDescent="0.2">
      <c r="A230" s="1938"/>
      <c r="B230" s="1932"/>
      <c r="C230" s="1680" t="s">
        <v>2598</v>
      </c>
      <c r="D230" s="1946" t="s">
        <v>1602</v>
      </c>
      <c r="E230" s="653" t="s">
        <v>1603</v>
      </c>
      <c r="F230" s="1384" t="s">
        <v>1605</v>
      </c>
      <c r="G230" s="1664" t="s">
        <v>2526</v>
      </c>
      <c r="H230" s="1559" t="s">
        <v>2743</v>
      </c>
      <c r="I230" s="551">
        <v>1</v>
      </c>
      <c r="J230" s="1549">
        <f>IF(F230="o) Lo tiene y está actualizado",100%,IF(F230="p)  Lo tiene y no está actualizado",50%,0))</f>
        <v>0</v>
      </c>
      <c r="K230" s="844"/>
    </row>
    <row r="231" spans="1:11" ht="17.25" customHeight="1" x14ac:dyDescent="0.2">
      <c r="A231" s="1938"/>
      <c r="B231" s="1932"/>
      <c r="C231" s="1681"/>
      <c r="D231" s="1646"/>
      <c r="E231" s="679" t="s">
        <v>1604</v>
      </c>
      <c r="F231" s="1522"/>
      <c r="G231" s="1565"/>
      <c r="H231" s="1560"/>
      <c r="I231" s="591">
        <v>0.5</v>
      </c>
      <c r="J231" s="1550"/>
      <c r="K231" s="844"/>
    </row>
    <row r="232" spans="1:11" ht="15" customHeight="1" thickBot="1" x14ac:dyDescent="0.25">
      <c r="A232" s="1938"/>
      <c r="B232" s="1932"/>
      <c r="C232" s="1682"/>
      <c r="D232" s="1947"/>
      <c r="E232" s="730" t="s">
        <v>1605</v>
      </c>
      <c r="F232" s="1371"/>
      <c r="G232" s="1665"/>
      <c r="H232" s="1561"/>
      <c r="I232" s="549" t="str">
        <f>IF(F232="X","0","0")</f>
        <v>0</v>
      </c>
      <c r="J232" s="1551"/>
      <c r="K232" s="844"/>
    </row>
    <row r="233" spans="1:11" ht="16.5" thickBot="1" x14ac:dyDescent="0.25">
      <c r="A233" s="1938"/>
      <c r="B233" s="1958" t="s">
        <v>1606</v>
      </c>
      <c r="C233" s="1959"/>
      <c r="D233" s="1959"/>
      <c r="E233" s="1959"/>
      <c r="F233" s="1959"/>
      <c r="G233" s="1959"/>
      <c r="H233" s="1959" t="s">
        <v>1607</v>
      </c>
      <c r="I233" s="1959"/>
      <c r="J233" s="586">
        <f>(J216+J219+J226+J230)/4</f>
        <v>0.60833333333333339</v>
      </c>
      <c r="K233" s="1073"/>
    </row>
    <row r="234" spans="1:11" x14ac:dyDescent="0.2">
      <c r="A234" s="1938"/>
      <c r="B234" s="1932" t="s">
        <v>2591</v>
      </c>
      <c r="C234" s="1680" t="s">
        <v>2599</v>
      </c>
      <c r="D234" s="1933" t="s">
        <v>1608</v>
      </c>
      <c r="E234" s="758" t="s">
        <v>2144</v>
      </c>
      <c r="F234" s="276" t="s">
        <v>167</v>
      </c>
      <c r="G234" s="548">
        <v>1</v>
      </c>
      <c r="H234" s="1559" t="s">
        <v>2744</v>
      </c>
      <c r="I234" s="1568">
        <f>SUMIF(F234:F240,"X",G234:G240)</f>
        <v>6</v>
      </c>
      <c r="J234" s="1549">
        <f>I234/6</f>
        <v>1</v>
      </c>
      <c r="K234" s="844"/>
    </row>
    <row r="235" spans="1:11" x14ac:dyDescent="0.2">
      <c r="A235" s="1938"/>
      <c r="B235" s="1932"/>
      <c r="C235" s="1681"/>
      <c r="D235" s="1934"/>
      <c r="E235" s="759" t="s">
        <v>2145</v>
      </c>
      <c r="F235" s="564" t="s">
        <v>167</v>
      </c>
      <c r="G235" s="550">
        <v>1</v>
      </c>
      <c r="H235" s="1562"/>
      <c r="I235" s="1588"/>
      <c r="J235" s="1550"/>
      <c r="K235" s="844"/>
    </row>
    <row r="236" spans="1:11" x14ac:dyDescent="0.2">
      <c r="A236" s="1938"/>
      <c r="B236" s="1932"/>
      <c r="C236" s="1681"/>
      <c r="D236" s="1934"/>
      <c r="E236" s="759" t="s">
        <v>2146</v>
      </c>
      <c r="F236" s="564" t="s">
        <v>167</v>
      </c>
      <c r="G236" s="550">
        <v>1</v>
      </c>
      <c r="H236" s="1562"/>
      <c r="I236" s="1588"/>
      <c r="J236" s="1550"/>
      <c r="K236" s="289"/>
    </row>
    <row r="237" spans="1:11" x14ac:dyDescent="0.2">
      <c r="A237" s="1938"/>
      <c r="B237" s="1932"/>
      <c r="C237" s="1681"/>
      <c r="D237" s="1934"/>
      <c r="E237" s="759" t="s">
        <v>2147</v>
      </c>
      <c r="F237" s="564" t="s">
        <v>167</v>
      </c>
      <c r="G237" s="550">
        <v>1</v>
      </c>
      <c r="H237" s="1562"/>
      <c r="I237" s="1588"/>
      <c r="J237" s="1550"/>
      <c r="K237" s="289"/>
    </row>
    <row r="238" spans="1:11" x14ac:dyDescent="0.2">
      <c r="A238" s="1938"/>
      <c r="B238" s="1932"/>
      <c r="C238" s="1681"/>
      <c r="D238" s="1934"/>
      <c r="E238" s="759" t="s">
        <v>2148</v>
      </c>
      <c r="F238" s="564" t="s">
        <v>167</v>
      </c>
      <c r="G238" s="550">
        <v>1</v>
      </c>
      <c r="H238" s="1562"/>
      <c r="I238" s="1588"/>
      <c r="J238" s="1550"/>
      <c r="K238" s="844"/>
    </row>
    <row r="239" spans="1:11" x14ac:dyDescent="0.2">
      <c r="A239" s="1938"/>
      <c r="B239" s="1932"/>
      <c r="C239" s="1681"/>
      <c r="D239" s="1934"/>
      <c r="E239" s="759" t="s">
        <v>2149</v>
      </c>
      <c r="F239" s="564" t="s">
        <v>167</v>
      </c>
      <c r="G239" s="550">
        <v>1</v>
      </c>
      <c r="H239" s="1562"/>
      <c r="I239" s="1588"/>
      <c r="J239" s="1550"/>
      <c r="K239" s="844"/>
    </row>
    <row r="240" spans="1:11" ht="12.75" thickBot="1" x14ac:dyDescent="0.25">
      <c r="A240" s="1938"/>
      <c r="B240" s="1932"/>
      <c r="C240" s="1682"/>
      <c r="D240" s="1935"/>
      <c r="E240" s="760" t="s">
        <v>2150</v>
      </c>
      <c r="F240" s="279" t="s">
        <v>167</v>
      </c>
      <c r="G240" s="549">
        <v>0</v>
      </c>
      <c r="H240" s="1555"/>
      <c r="I240" s="1569"/>
      <c r="J240" s="1551"/>
      <c r="K240" s="844"/>
    </row>
    <row r="241" spans="1:11" x14ac:dyDescent="0.2">
      <c r="A241" s="1938"/>
      <c r="B241" s="1932"/>
      <c r="C241" s="1680" t="s">
        <v>2600</v>
      </c>
      <c r="D241" s="1940" t="s">
        <v>1609</v>
      </c>
      <c r="E241" s="762" t="s">
        <v>1610</v>
      </c>
      <c r="F241" s="276"/>
      <c r="G241" s="1664" t="s">
        <v>2671</v>
      </c>
      <c r="H241" s="1559" t="s">
        <v>2693</v>
      </c>
      <c r="I241" s="594">
        <f>IF(F241="x",50%,0)</f>
        <v>0</v>
      </c>
      <c r="J241" s="1549">
        <f>IF(I241+I242=50%,50%,IF(I241+I242=100%,70%,IF(I243=100%,100%,0)))</f>
        <v>0.5</v>
      </c>
      <c r="K241" s="844"/>
    </row>
    <row r="242" spans="1:11" x14ac:dyDescent="0.2">
      <c r="A242" s="1938"/>
      <c r="B242" s="1932"/>
      <c r="C242" s="1681"/>
      <c r="D242" s="1941"/>
      <c r="E242" s="763" t="s">
        <v>1611</v>
      </c>
      <c r="F242" s="564" t="s">
        <v>167</v>
      </c>
      <c r="G242" s="1565"/>
      <c r="H242" s="1560"/>
      <c r="I242" s="595">
        <f>IF(F242="x",50%,0)</f>
        <v>0.5</v>
      </c>
      <c r="J242" s="1550"/>
      <c r="K242" s="844"/>
    </row>
    <row r="243" spans="1:11" ht="24" x14ac:dyDescent="0.2">
      <c r="A243" s="1938"/>
      <c r="B243" s="1932"/>
      <c r="C243" s="1681"/>
      <c r="D243" s="1941"/>
      <c r="E243" s="763" t="s">
        <v>1612</v>
      </c>
      <c r="F243" s="564" t="s">
        <v>167</v>
      </c>
      <c r="G243" s="1565"/>
      <c r="H243" s="1560"/>
      <c r="I243" s="595">
        <f>IF(F243="x",100%,0)</f>
        <v>1</v>
      </c>
      <c r="J243" s="1550"/>
      <c r="K243" s="844"/>
    </row>
    <row r="244" spans="1:11" ht="31.5" customHeight="1" thickBot="1" x14ac:dyDescent="0.25">
      <c r="A244" s="1938"/>
      <c r="B244" s="1932"/>
      <c r="C244" s="1682"/>
      <c r="D244" s="1942"/>
      <c r="E244" s="764" t="s">
        <v>1613</v>
      </c>
      <c r="F244" s="279"/>
      <c r="G244" s="1665"/>
      <c r="H244" s="1561"/>
      <c r="I244" s="596" t="str">
        <f>IF(F244="x","0","0")</f>
        <v>0</v>
      </c>
      <c r="J244" s="1551"/>
      <c r="K244" s="844"/>
    </row>
    <row r="245" spans="1:11" ht="38.25" customHeight="1" x14ac:dyDescent="0.2">
      <c r="A245" s="1938"/>
      <c r="B245" s="1932"/>
      <c r="C245" s="1680" t="s">
        <v>2601</v>
      </c>
      <c r="D245" s="1946" t="s">
        <v>1614</v>
      </c>
      <c r="E245" s="653" t="s">
        <v>2672</v>
      </c>
      <c r="F245" s="1265" t="s">
        <v>1616</v>
      </c>
      <c r="G245" s="1664" t="s">
        <v>2526</v>
      </c>
      <c r="H245" s="548" t="s">
        <v>1615</v>
      </c>
      <c r="I245" s="597">
        <v>1</v>
      </c>
      <c r="J245" s="1988">
        <f>IF(F245="l) Si",100%,0)</f>
        <v>0</v>
      </c>
      <c r="K245" s="844"/>
    </row>
    <row r="246" spans="1:11" ht="45" customHeight="1" thickBot="1" x14ac:dyDescent="0.25">
      <c r="A246" s="1938"/>
      <c r="B246" s="1932"/>
      <c r="C246" s="1682"/>
      <c r="D246" s="1947"/>
      <c r="E246" s="654" t="s">
        <v>1616</v>
      </c>
      <c r="F246" s="1625"/>
      <c r="G246" s="1665"/>
      <c r="H246" s="549" t="s">
        <v>1617</v>
      </c>
      <c r="I246" s="593" t="str">
        <f>IF(F246="x","0","0")</f>
        <v>0</v>
      </c>
      <c r="J246" s="1989"/>
      <c r="K246" s="844"/>
    </row>
    <row r="247" spans="1:11" ht="42" customHeight="1" x14ac:dyDescent="0.2">
      <c r="A247" s="1938"/>
      <c r="B247" s="1932"/>
      <c r="C247" s="1680" t="s">
        <v>2602</v>
      </c>
      <c r="D247" s="2000" t="s">
        <v>1618</v>
      </c>
      <c r="E247" s="674" t="s">
        <v>2673</v>
      </c>
      <c r="F247" s="1265" t="s">
        <v>2673</v>
      </c>
      <c r="G247" s="1664" t="s">
        <v>2526</v>
      </c>
      <c r="H247" s="548" t="s">
        <v>1620</v>
      </c>
      <c r="I247" s="597">
        <v>1</v>
      </c>
      <c r="J247" s="1988">
        <f>IF(F247="n) Si",100%,0)</f>
        <v>1</v>
      </c>
      <c r="K247" s="844"/>
    </row>
    <row r="248" spans="1:11" ht="30.75" customHeight="1" thickBot="1" x14ac:dyDescent="0.25">
      <c r="A248" s="1938"/>
      <c r="B248" s="1932"/>
      <c r="C248" s="1682"/>
      <c r="D248" s="2012"/>
      <c r="E248" s="675" t="s">
        <v>1621</v>
      </c>
      <c r="F248" s="1625"/>
      <c r="G248" s="1665"/>
      <c r="H248" s="549" t="s">
        <v>1622</v>
      </c>
      <c r="I248" s="593" t="str">
        <f>IF(F248="x","0","0")</f>
        <v>0</v>
      </c>
      <c r="J248" s="1989"/>
      <c r="K248" s="844"/>
    </row>
    <row r="249" spans="1:11" ht="16.5" thickBot="1" x14ac:dyDescent="0.25">
      <c r="A249" s="1938"/>
      <c r="B249" s="1958" t="s">
        <v>2151</v>
      </c>
      <c r="C249" s="1959"/>
      <c r="D249" s="1959"/>
      <c r="E249" s="1959"/>
      <c r="F249" s="1959"/>
      <c r="G249" s="1959"/>
      <c r="H249" s="1959" t="s">
        <v>1623</v>
      </c>
      <c r="I249" s="1959"/>
      <c r="J249" s="586">
        <f>(J234+J241+J245+J247)/4</f>
        <v>0.625</v>
      </c>
      <c r="K249" s="1073"/>
    </row>
    <row r="250" spans="1:11" ht="27.75" customHeight="1" x14ac:dyDescent="0.2">
      <c r="A250" s="1938"/>
      <c r="B250" s="1932" t="s">
        <v>2592</v>
      </c>
      <c r="C250" s="1680" t="s">
        <v>2603</v>
      </c>
      <c r="D250" s="1933" t="s">
        <v>1624</v>
      </c>
      <c r="E250" s="658" t="s">
        <v>1625</v>
      </c>
      <c r="F250" s="276" t="s">
        <v>167</v>
      </c>
      <c r="G250" s="1664" t="s">
        <v>2671</v>
      </c>
      <c r="H250" s="1559" t="s">
        <v>2695</v>
      </c>
      <c r="I250" s="548" t="str">
        <f>IF(F250="x","30%","0")</f>
        <v>30%</v>
      </c>
      <c r="J250" s="1909">
        <f>IF(AND(F250="X",F251="X",F252="X"),1,IF(AND(F250="X",F251="X"),0.7,IF(OR(F250="X",F251="X",F252="X"),0.3,0)))</f>
        <v>0.3</v>
      </c>
      <c r="K250" s="844"/>
    </row>
    <row r="251" spans="1:11" ht="27.75" customHeight="1" x14ac:dyDescent="0.2">
      <c r="A251" s="1938"/>
      <c r="B251" s="1932"/>
      <c r="C251" s="1681"/>
      <c r="D251" s="1934"/>
      <c r="E251" s="659" t="s">
        <v>1626</v>
      </c>
      <c r="F251" s="564"/>
      <c r="G251" s="1565"/>
      <c r="H251" s="1560"/>
      <c r="I251" s="550" t="str">
        <f>IF(F251="x","30%","0")</f>
        <v>0</v>
      </c>
      <c r="J251" s="1910"/>
      <c r="K251" s="844"/>
    </row>
    <row r="252" spans="1:11" ht="19.5" customHeight="1" x14ac:dyDescent="0.2">
      <c r="A252" s="1938"/>
      <c r="B252" s="1932"/>
      <c r="C252" s="1681"/>
      <c r="D252" s="1934"/>
      <c r="E252" s="659" t="s">
        <v>1627</v>
      </c>
      <c r="F252" s="564" t="s">
        <v>167</v>
      </c>
      <c r="G252" s="1565"/>
      <c r="H252" s="1560"/>
      <c r="I252" s="550" t="str">
        <f>IF(F252="x","30%","0")</f>
        <v>30%</v>
      </c>
      <c r="J252" s="1910"/>
      <c r="K252" s="844"/>
    </row>
    <row r="253" spans="1:11" ht="19.5" customHeight="1" thickBot="1" x14ac:dyDescent="0.25">
      <c r="A253" s="1938"/>
      <c r="B253" s="1932"/>
      <c r="C253" s="1682"/>
      <c r="D253" s="1935"/>
      <c r="E253" s="660" t="s">
        <v>1628</v>
      </c>
      <c r="F253" s="279"/>
      <c r="G253" s="1665"/>
      <c r="H253" s="1561"/>
      <c r="I253" s="549" t="str">
        <f>IF(F253="x","0","0")</f>
        <v>0</v>
      </c>
      <c r="J253" s="1911"/>
      <c r="K253" s="844"/>
    </row>
    <row r="254" spans="1:11" ht="44.25" customHeight="1" x14ac:dyDescent="0.2">
      <c r="A254" s="1938"/>
      <c r="B254" s="1932"/>
      <c r="C254" s="1680" t="s">
        <v>2604</v>
      </c>
      <c r="D254" s="1946" t="s">
        <v>1629</v>
      </c>
      <c r="E254" s="671" t="s">
        <v>1630</v>
      </c>
      <c r="F254" s="1265" t="s">
        <v>1630</v>
      </c>
      <c r="G254" s="1664" t="s">
        <v>2526</v>
      </c>
      <c r="H254" s="548" t="s">
        <v>1631</v>
      </c>
      <c r="I254" s="620">
        <v>1</v>
      </c>
      <c r="J254" s="1988">
        <f>IF(F254="e)SI",100%,0)</f>
        <v>1</v>
      </c>
      <c r="K254" s="844"/>
    </row>
    <row r="255" spans="1:11" ht="23.25" customHeight="1" thickBot="1" x14ac:dyDescent="0.25">
      <c r="A255" s="1938"/>
      <c r="B255" s="1932"/>
      <c r="C255" s="1682"/>
      <c r="D255" s="1947"/>
      <c r="E255" s="673" t="s">
        <v>1632</v>
      </c>
      <c r="F255" s="1625"/>
      <c r="G255" s="1665"/>
      <c r="H255" s="549" t="s">
        <v>1633</v>
      </c>
      <c r="I255" s="549">
        <v>0</v>
      </c>
      <c r="J255" s="1989"/>
      <c r="K255" s="844"/>
    </row>
    <row r="256" spans="1:11" x14ac:dyDescent="0.2">
      <c r="A256" s="1938"/>
      <c r="B256" s="1932"/>
      <c r="C256" s="1680" t="s">
        <v>2605</v>
      </c>
      <c r="D256" s="1940" t="s">
        <v>1634</v>
      </c>
      <c r="E256" s="662" t="s">
        <v>1635</v>
      </c>
      <c r="F256" s="276"/>
      <c r="G256" s="548">
        <v>1</v>
      </c>
      <c r="H256" s="1559" t="s">
        <v>2746</v>
      </c>
      <c r="I256" s="1554">
        <f>SUMIF(F256:F262,"X",G256:G262)</f>
        <v>0</v>
      </c>
      <c r="J256" s="1549">
        <f>I256/6</f>
        <v>0</v>
      </c>
      <c r="K256" s="844"/>
    </row>
    <row r="257" spans="1:11" ht="24" x14ac:dyDescent="0.2">
      <c r="A257" s="1938"/>
      <c r="B257" s="1932"/>
      <c r="C257" s="1681"/>
      <c r="D257" s="1941"/>
      <c r="E257" s="663" t="s">
        <v>1636</v>
      </c>
      <c r="F257" s="564"/>
      <c r="G257" s="550">
        <v>1</v>
      </c>
      <c r="H257" s="1562"/>
      <c r="I257" s="1562"/>
      <c r="J257" s="1550"/>
      <c r="K257" s="844"/>
    </row>
    <row r="258" spans="1:11" x14ac:dyDescent="0.2">
      <c r="A258" s="1938"/>
      <c r="B258" s="1932"/>
      <c r="C258" s="1681"/>
      <c r="D258" s="1941"/>
      <c r="E258" s="663" t="s">
        <v>1637</v>
      </c>
      <c r="F258" s="564"/>
      <c r="G258" s="550">
        <v>1</v>
      </c>
      <c r="H258" s="1562"/>
      <c r="I258" s="1562"/>
      <c r="J258" s="1550"/>
      <c r="K258" s="844"/>
    </row>
    <row r="259" spans="1:11" x14ac:dyDescent="0.2">
      <c r="A259" s="1938"/>
      <c r="B259" s="1932"/>
      <c r="C259" s="1681"/>
      <c r="D259" s="1941"/>
      <c r="E259" s="663" t="s">
        <v>1638</v>
      </c>
      <c r="F259" s="564"/>
      <c r="G259" s="550">
        <v>1</v>
      </c>
      <c r="H259" s="1562"/>
      <c r="I259" s="1562"/>
      <c r="J259" s="1550"/>
      <c r="K259" s="844"/>
    </row>
    <row r="260" spans="1:11" x14ac:dyDescent="0.2">
      <c r="A260" s="1938"/>
      <c r="B260" s="1932"/>
      <c r="C260" s="1681"/>
      <c r="D260" s="1941"/>
      <c r="E260" s="663" t="s">
        <v>1639</v>
      </c>
      <c r="F260" s="564"/>
      <c r="G260" s="550">
        <v>1</v>
      </c>
      <c r="H260" s="1562"/>
      <c r="I260" s="1562"/>
      <c r="J260" s="1550"/>
      <c r="K260" s="844"/>
    </row>
    <row r="261" spans="1:11" x14ac:dyDescent="0.2">
      <c r="A261" s="1938"/>
      <c r="B261" s="1932"/>
      <c r="C261" s="1681"/>
      <c r="D261" s="1941"/>
      <c r="E261" s="663" t="s">
        <v>2745</v>
      </c>
      <c r="F261" s="564"/>
      <c r="G261" s="550">
        <v>1</v>
      </c>
      <c r="H261" s="1562"/>
      <c r="I261" s="1562"/>
      <c r="J261" s="1550"/>
      <c r="K261" s="844"/>
    </row>
    <row r="262" spans="1:11" ht="30" customHeight="1" thickBot="1" x14ac:dyDescent="0.25">
      <c r="A262" s="1938"/>
      <c r="B262" s="1932"/>
      <c r="C262" s="1682"/>
      <c r="D262" s="1942"/>
      <c r="E262" s="664" t="s">
        <v>1640</v>
      </c>
      <c r="F262" s="279" t="s">
        <v>167</v>
      </c>
      <c r="G262" s="549">
        <v>0</v>
      </c>
      <c r="H262" s="1555"/>
      <c r="I262" s="1555"/>
      <c r="J262" s="1551"/>
      <c r="K262" s="844"/>
    </row>
    <row r="263" spans="1:11" ht="16.5" thickBot="1" x14ac:dyDescent="0.25">
      <c r="A263" s="1938"/>
      <c r="B263" s="1958" t="s">
        <v>2152</v>
      </c>
      <c r="C263" s="1959"/>
      <c r="D263" s="1959"/>
      <c r="E263" s="1959"/>
      <c r="F263" s="1959"/>
      <c r="G263" s="1959"/>
      <c r="H263" s="1959" t="s">
        <v>1641</v>
      </c>
      <c r="I263" s="1959"/>
      <c r="J263" s="586">
        <f>(J250+J254+J256)/3</f>
        <v>0.43333333333333335</v>
      </c>
      <c r="K263" s="1073"/>
    </row>
    <row r="264" spans="1:11" ht="36.75" customHeight="1" x14ac:dyDescent="0.2">
      <c r="A264" s="1938"/>
      <c r="B264" s="1956" t="s">
        <v>2593</v>
      </c>
      <c r="C264" s="2017" t="s">
        <v>2606</v>
      </c>
      <c r="D264" s="2019" t="s">
        <v>1642</v>
      </c>
      <c r="E264" s="671" t="s">
        <v>1643</v>
      </c>
      <c r="F264" s="1265" t="s">
        <v>1643</v>
      </c>
      <c r="G264" s="1664" t="s">
        <v>2526</v>
      </c>
      <c r="H264" s="548" t="s">
        <v>1557</v>
      </c>
      <c r="I264" s="548" t="str">
        <f>IF(F264="x","100%","0")</f>
        <v>0</v>
      </c>
      <c r="J264" s="1988">
        <f>IF(F264="a) Sí",100%,0)</f>
        <v>1</v>
      </c>
      <c r="K264" s="844"/>
    </row>
    <row r="265" spans="1:11" ht="42" customHeight="1" thickBot="1" x14ac:dyDescent="0.25">
      <c r="A265" s="1938"/>
      <c r="B265" s="1956"/>
      <c r="C265" s="2018"/>
      <c r="D265" s="2020"/>
      <c r="E265" s="673" t="s">
        <v>1644</v>
      </c>
      <c r="F265" s="1625"/>
      <c r="G265" s="1665"/>
      <c r="H265" s="549" t="s">
        <v>1558</v>
      </c>
      <c r="I265" s="549" t="str">
        <f>IF(F265="x","0","0")</f>
        <v>0</v>
      </c>
      <c r="J265" s="1989"/>
      <c r="K265" s="844"/>
    </row>
    <row r="266" spans="1:11" x14ac:dyDescent="0.2">
      <c r="A266" s="1938"/>
      <c r="B266" s="1956"/>
      <c r="C266" s="1943" t="s">
        <v>2607</v>
      </c>
      <c r="D266" s="1933" t="s">
        <v>1645</v>
      </c>
      <c r="E266" s="658" t="s">
        <v>1646</v>
      </c>
      <c r="F266" s="276" t="s">
        <v>167</v>
      </c>
      <c r="G266" s="548">
        <v>1</v>
      </c>
      <c r="H266" s="1559" t="s">
        <v>2747</v>
      </c>
      <c r="I266" s="1554">
        <f>SUMIF(F266:F270,"X",G266:G270)</f>
        <v>4</v>
      </c>
      <c r="J266" s="1549">
        <f>I266/4</f>
        <v>1</v>
      </c>
      <c r="K266" s="844"/>
    </row>
    <row r="267" spans="1:11" x14ac:dyDescent="0.2">
      <c r="A267" s="1938"/>
      <c r="B267" s="1956"/>
      <c r="C267" s="1944"/>
      <c r="D267" s="1934"/>
      <c r="E267" s="659" t="s">
        <v>1647</v>
      </c>
      <c r="F267" s="564" t="s">
        <v>167</v>
      </c>
      <c r="G267" s="550">
        <v>1</v>
      </c>
      <c r="H267" s="1560"/>
      <c r="I267" s="1562"/>
      <c r="J267" s="1550"/>
      <c r="K267" s="844"/>
    </row>
    <row r="268" spans="1:11" x14ac:dyDescent="0.2">
      <c r="A268" s="1938"/>
      <c r="B268" s="1956"/>
      <c r="C268" s="1944"/>
      <c r="D268" s="1934"/>
      <c r="E268" s="659" t="s">
        <v>1648</v>
      </c>
      <c r="F268" s="564" t="s">
        <v>167</v>
      </c>
      <c r="G268" s="550">
        <v>1</v>
      </c>
      <c r="H268" s="1560"/>
      <c r="I268" s="1562"/>
      <c r="J268" s="1550"/>
      <c r="K268" s="844"/>
    </row>
    <row r="269" spans="1:11" ht="19.5" customHeight="1" x14ac:dyDescent="0.2">
      <c r="A269" s="1938"/>
      <c r="B269" s="1956"/>
      <c r="C269" s="1944"/>
      <c r="D269" s="1934"/>
      <c r="E269" s="659" t="s">
        <v>1649</v>
      </c>
      <c r="F269" s="564" t="s">
        <v>167</v>
      </c>
      <c r="G269" s="550">
        <v>1</v>
      </c>
      <c r="H269" s="1560"/>
      <c r="I269" s="1562"/>
      <c r="J269" s="1550"/>
      <c r="K269" s="844"/>
    </row>
    <row r="270" spans="1:11" ht="27.75" customHeight="1" thickBot="1" x14ac:dyDescent="0.25">
      <c r="A270" s="1938"/>
      <c r="B270" s="1956"/>
      <c r="C270" s="1945"/>
      <c r="D270" s="1935"/>
      <c r="E270" s="660" t="s">
        <v>1650</v>
      </c>
      <c r="F270" s="279" t="s">
        <v>167</v>
      </c>
      <c r="G270" s="549">
        <v>0</v>
      </c>
      <c r="H270" s="1561"/>
      <c r="I270" s="1555"/>
      <c r="J270" s="1551"/>
      <c r="K270" s="844"/>
    </row>
    <row r="271" spans="1:11" ht="30.75" customHeight="1" x14ac:dyDescent="0.2">
      <c r="A271" s="1938"/>
      <c r="B271" s="1956"/>
      <c r="C271" s="1943" t="s">
        <v>2608</v>
      </c>
      <c r="D271" s="2000" t="s">
        <v>1651</v>
      </c>
      <c r="E271" s="684" t="s">
        <v>1652</v>
      </c>
      <c r="F271" s="1265" t="s">
        <v>1652</v>
      </c>
      <c r="G271" s="1664" t="s">
        <v>2526</v>
      </c>
      <c r="H271" s="548" t="s">
        <v>1653</v>
      </c>
      <c r="I271" s="548" t="str">
        <f>IF(F271="x","100%","0")</f>
        <v>0</v>
      </c>
      <c r="J271" s="1988">
        <f>IF(F271="h)Si",100%,0)</f>
        <v>1</v>
      </c>
      <c r="K271" s="844"/>
    </row>
    <row r="272" spans="1:11" ht="34.5" customHeight="1" thickBot="1" x14ac:dyDescent="0.25">
      <c r="A272" s="1938"/>
      <c r="B272" s="1956"/>
      <c r="C272" s="1945"/>
      <c r="D272" s="2012"/>
      <c r="E272" s="686" t="s">
        <v>1654</v>
      </c>
      <c r="F272" s="1625"/>
      <c r="G272" s="1665"/>
      <c r="H272" s="549" t="s">
        <v>1655</v>
      </c>
      <c r="I272" s="549" t="str">
        <f>IF(F272="x","0","0")</f>
        <v>0</v>
      </c>
      <c r="J272" s="1989"/>
      <c r="K272" s="844"/>
    </row>
    <row r="273" spans="1:11" ht="24" x14ac:dyDescent="0.2">
      <c r="A273" s="1938"/>
      <c r="B273" s="1956"/>
      <c r="C273" s="1943" t="s">
        <v>2609</v>
      </c>
      <c r="D273" s="1940" t="s">
        <v>1656</v>
      </c>
      <c r="E273" s="662" t="s">
        <v>1657</v>
      </c>
      <c r="F273" s="276" t="s">
        <v>167</v>
      </c>
      <c r="G273" s="548">
        <v>1</v>
      </c>
      <c r="H273" s="1559" t="s">
        <v>2748</v>
      </c>
      <c r="I273" s="1554">
        <f>SUMIF(F273:F277,"X",G273:G277)</f>
        <v>4</v>
      </c>
      <c r="J273" s="1549">
        <f>I273/4</f>
        <v>1</v>
      </c>
      <c r="K273" s="844"/>
    </row>
    <row r="274" spans="1:11" x14ac:dyDescent="0.2">
      <c r="A274" s="1938"/>
      <c r="B274" s="1956"/>
      <c r="C274" s="1944"/>
      <c r="D274" s="1941"/>
      <c r="E274" s="663" t="s">
        <v>1658</v>
      </c>
      <c r="F274" s="564" t="s">
        <v>167</v>
      </c>
      <c r="G274" s="550">
        <v>1</v>
      </c>
      <c r="H274" s="1560"/>
      <c r="I274" s="1562"/>
      <c r="J274" s="1550"/>
      <c r="K274" s="844"/>
    </row>
    <row r="275" spans="1:11" x14ac:dyDescent="0.2">
      <c r="A275" s="1938"/>
      <c r="B275" s="1956"/>
      <c r="C275" s="1944"/>
      <c r="D275" s="1941"/>
      <c r="E275" s="663" t="s">
        <v>1659</v>
      </c>
      <c r="F275" s="564" t="s">
        <v>167</v>
      </c>
      <c r="G275" s="550">
        <v>1</v>
      </c>
      <c r="H275" s="1560"/>
      <c r="I275" s="1562"/>
      <c r="J275" s="1550"/>
      <c r="K275" s="844"/>
    </row>
    <row r="276" spans="1:11" ht="24" x14ac:dyDescent="0.2">
      <c r="A276" s="1938"/>
      <c r="B276" s="1956"/>
      <c r="C276" s="1944"/>
      <c r="D276" s="1941"/>
      <c r="E276" s="663" t="s">
        <v>1660</v>
      </c>
      <c r="F276" s="564" t="s">
        <v>167</v>
      </c>
      <c r="G276" s="550">
        <v>1</v>
      </c>
      <c r="H276" s="1560"/>
      <c r="I276" s="1562"/>
      <c r="J276" s="1550"/>
      <c r="K276" s="844"/>
    </row>
    <row r="277" spans="1:11" ht="12.75" thickBot="1" x14ac:dyDescent="0.25">
      <c r="A277" s="1938"/>
      <c r="B277" s="1956"/>
      <c r="C277" s="1945"/>
      <c r="D277" s="1942"/>
      <c r="E277" s="664" t="s">
        <v>1661</v>
      </c>
      <c r="F277" s="279"/>
      <c r="G277" s="549">
        <v>0</v>
      </c>
      <c r="H277" s="1561"/>
      <c r="I277" s="1555"/>
      <c r="J277" s="1551"/>
      <c r="K277" s="844"/>
    </row>
    <row r="278" spans="1:11" x14ac:dyDescent="0.2">
      <c r="A278" s="1938"/>
      <c r="B278" s="1956"/>
      <c r="C278" s="1943" t="s">
        <v>2610</v>
      </c>
      <c r="D278" s="1933" t="s">
        <v>1662</v>
      </c>
      <c r="E278" s="650" t="s">
        <v>1663</v>
      </c>
      <c r="F278" s="276" t="s">
        <v>167</v>
      </c>
      <c r="G278" s="1664" t="s">
        <v>2671</v>
      </c>
      <c r="H278" s="1559" t="s">
        <v>2749</v>
      </c>
      <c r="I278" s="548" t="str">
        <f>IF(F278="x","30%","0")</f>
        <v>30%</v>
      </c>
      <c r="J278" s="1909">
        <f>IF(AND(F278="X",F279="X",F280="X"),1,IF(AND(F278="X",F279="X"),0.7,IF(OR(F278="X",F279="X",F280="X"),0.3,0)))</f>
        <v>1</v>
      </c>
      <c r="K278" s="844"/>
    </row>
    <row r="279" spans="1:11" x14ac:dyDescent="0.2">
      <c r="A279" s="1938"/>
      <c r="B279" s="1956"/>
      <c r="C279" s="1944"/>
      <c r="D279" s="1934"/>
      <c r="E279" s="651" t="s">
        <v>1664</v>
      </c>
      <c r="F279" s="564" t="s">
        <v>167</v>
      </c>
      <c r="G279" s="1565"/>
      <c r="H279" s="1562"/>
      <c r="I279" s="550" t="str">
        <f>IF(F279="x","30%","0")</f>
        <v>30%</v>
      </c>
      <c r="J279" s="1910"/>
      <c r="K279" s="844"/>
    </row>
    <row r="280" spans="1:11" x14ac:dyDescent="0.2">
      <c r="A280" s="1938"/>
      <c r="B280" s="1956"/>
      <c r="C280" s="1944"/>
      <c r="D280" s="1934"/>
      <c r="E280" s="651" t="s">
        <v>1665</v>
      </c>
      <c r="F280" s="564" t="s">
        <v>167</v>
      </c>
      <c r="G280" s="1565"/>
      <c r="H280" s="1562"/>
      <c r="I280" s="550" t="str">
        <f>IF(F280="x","30%","0")</f>
        <v>30%</v>
      </c>
      <c r="J280" s="1910"/>
      <c r="K280" s="844"/>
    </row>
    <row r="281" spans="1:11" ht="12.75" thickBot="1" x14ac:dyDescent="0.25">
      <c r="A281" s="1938"/>
      <c r="B281" s="1956"/>
      <c r="C281" s="1945"/>
      <c r="D281" s="1935"/>
      <c r="E281" s="652" t="s">
        <v>1666</v>
      </c>
      <c r="F281" s="279"/>
      <c r="G281" s="1665"/>
      <c r="H281" s="1555"/>
      <c r="I281" s="549" t="str">
        <f>IF(F281="x","0","0")</f>
        <v>0</v>
      </c>
      <c r="J281" s="1911"/>
      <c r="K281" s="844"/>
    </row>
    <row r="282" spans="1:11" ht="27.75" customHeight="1" x14ac:dyDescent="0.2">
      <c r="A282" s="1938"/>
      <c r="B282" s="1956"/>
      <c r="C282" s="1943" t="s">
        <v>2611</v>
      </c>
      <c r="D282" s="1946" t="s">
        <v>1667</v>
      </c>
      <c r="E282" s="671" t="s">
        <v>1668</v>
      </c>
      <c r="F282" s="1384" t="s">
        <v>1670</v>
      </c>
      <c r="G282" s="1664" t="s">
        <v>2526</v>
      </c>
      <c r="H282" s="548" t="s">
        <v>1669</v>
      </c>
      <c r="I282" s="551">
        <v>1</v>
      </c>
      <c r="J282" s="1549">
        <f>IF(F282="s) Totalmente (Políticas y Parametrización en mas del 90% de Sistemas de Información)",100%,IF(F282="t) Parcialmente (Políticas y parametrización entre el 50 y 90% de sus sistemas de información)",50%,0))</f>
        <v>0.5</v>
      </c>
      <c r="K282" s="844"/>
    </row>
    <row r="283" spans="1:11" ht="16.5" customHeight="1" x14ac:dyDescent="0.2">
      <c r="A283" s="1938"/>
      <c r="B283" s="1956"/>
      <c r="C283" s="1944"/>
      <c r="D283" s="1646"/>
      <c r="E283" s="672" t="s">
        <v>1670</v>
      </c>
      <c r="F283" s="1522"/>
      <c r="G283" s="1565"/>
      <c r="H283" s="550" t="s">
        <v>1671</v>
      </c>
      <c r="I283" s="591">
        <v>0.5</v>
      </c>
      <c r="J283" s="1550"/>
      <c r="K283" s="844"/>
    </row>
    <row r="284" spans="1:11" ht="30.75" customHeight="1" thickBot="1" x14ac:dyDescent="0.25">
      <c r="A284" s="1938"/>
      <c r="B284" s="1956"/>
      <c r="C284" s="1945"/>
      <c r="D284" s="1947"/>
      <c r="E284" s="765" t="s">
        <v>1672</v>
      </c>
      <c r="F284" s="1371"/>
      <c r="G284" s="1665"/>
      <c r="H284" s="549" t="s">
        <v>1673</v>
      </c>
      <c r="I284" s="549" t="str">
        <f>IF(F284="x","0","0")</f>
        <v>0</v>
      </c>
      <c r="J284" s="1551"/>
      <c r="K284" s="844"/>
    </row>
    <row r="285" spans="1:11" ht="16.5" thickBot="1" x14ac:dyDescent="0.25">
      <c r="A285" s="1938"/>
      <c r="B285" s="1958" t="s">
        <v>2153</v>
      </c>
      <c r="C285" s="1959"/>
      <c r="D285" s="1959"/>
      <c r="E285" s="1959"/>
      <c r="F285" s="1959"/>
      <c r="G285" s="1959"/>
      <c r="H285" s="1959" t="s">
        <v>1674</v>
      </c>
      <c r="I285" s="1959"/>
      <c r="J285" s="586">
        <f>(J264+J266+J271+J273+J278+J282)/6</f>
        <v>0.91666666666666663</v>
      </c>
      <c r="K285" s="121"/>
    </row>
    <row r="286" spans="1:11" ht="22.5" customHeight="1" x14ac:dyDescent="0.2">
      <c r="A286" s="1938"/>
      <c r="B286" s="2028" t="s">
        <v>2594</v>
      </c>
      <c r="C286" s="1943" t="s">
        <v>2612</v>
      </c>
      <c r="D286" s="2000" t="s">
        <v>1675</v>
      </c>
      <c r="E286" s="687" t="s">
        <v>1676</v>
      </c>
      <c r="F286" s="1384" t="s">
        <v>1676</v>
      </c>
      <c r="G286" s="1559" t="s">
        <v>2526</v>
      </c>
      <c r="H286" s="548" t="s">
        <v>1677</v>
      </c>
      <c r="I286" s="551">
        <v>0.5</v>
      </c>
      <c r="J286" s="1549">
        <f>IF(F286="a) Documentada y no actualizada",50%,IF(F286="b) Documentada y Actualizada",100%,0))</f>
        <v>0.5</v>
      </c>
      <c r="K286" s="844"/>
    </row>
    <row r="287" spans="1:11" ht="14.25" customHeight="1" x14ac:dyDescent="0.2">
      <c r="A287" s="1938"/>
      <c r="B287" s="2028"/>
      <c r="C287" s="1944"/>
      <c r="D287" s="2016"/>
      <c r="E287" s="688" t="s">
        <v>1678</v>
      </c>
      <c r="F287" s="1522"/>
      <c r="G287" s="1560"/>
      <c r="H287" s="550" t="s">
        <v>1679</v>
      </c>
      <c r="I287" s="591">
        <v>1</v>
      </c>
      <c r="J287" s="1550"/>
      <c r="K287" s="844"/>
    </row>
    <row r="288" spans="1:11" ht="18" customHeight="1" thickBot="1" x14ac:dyDescent="0.25">
      <c r="A288" s="1938"/>
      <c r="B288" s="2028"/>
      <c r="C288" s="1945"/>
      <c r="D288" s="2012"/>
      <c r="E288" s="689" t="s">
        <v>1680</v>
      </c>
      <c r="F288" s="1371"/>
      <c r="G288" s="1561"/>
      <c r="H288" s="549" t="s">
        <v>1681</v>
      </c>
      <c r="I288" s="549" t="str">
        <f>IF(F288="x","0","0")</f>
        <v>0</v>
      </c>
      <c r="J288" s="1551"/>
      <c r="K288" s="844"/>
    </row>
    <row r="289" spans="1:11" ht="21.75" customHeight="1" x14ac:dyDescent="0.2">
      <c r="A289" s="1938"/>
      <c r="B289" s="2028"/>
      <c r="C289" s="1943" t="s">
        <v>2750</v>
      </c>
      <c r="D289" s="1946" t="s">
        <v>1682</v>
      </c>
      <c r="E289" s="661" t="s">
        <v>1683</v>
      </c>
      <c r="F289" s="1265" t="s">
        <v>1685</v>
      </c>
      <c r="G289" s="1559" t="s">
        <v>2526</v>
      </c>
      <c r="H289" s="548" t="s">
        <v>1684</v>
      </c>
      <c r="I289" s="551">
        <v>1</v>
      </c>
      <c r="J289" s="1549">
        <f>IF(F289="d)Siempre",100%,IF(F289="e) Algunas veces",50%,0))</f>
        <v>0.5</v>
      </c>
      <c r="K289" s="844"/>
    </row>
    <row r="290" spans="1:11" ht="40.5" customHeight="1" x14ac:dyDescent="0.2">
      <c r="A290" s="1938"/>
      <c r="B290" s="2028"/>
      <c r="C290" s="1944"/>
      <c r="D290" s="1646"/>
      <c r="E290" s="766" t="s">
        <v>1685</v>
      </c>
      <c r="F290" s="2002"/>
      <c r="G290" s="1560"/>
      <c r="H290" s="550" t="s">
        <v>1686</v>
      </c>
      <c r="I290" s="591">
        <v>0.5</v>
      </c>
      <c r="J290" s="1550"/>
      <c r="K290" s="844"/>
    </row>
    <row r="291" spans="1:11" ht="32.25" customHeight="1" thickBot="1" x14ac:dyDescent="0.25">
      <c r="A291" s="1938"/>
      <c r="B291" s="2028"/>
      <c r="C291" s="1945"/>
      <c r="D291" s="1947"/>
      <c r="E291" s="765" t="s">
        <v>1687</v>
      </c>
      <c r="F291" s="1625"/>
      <c r="G291" s="1561"/>
      <c r="H291" s="549" t="s">
        <v>1688</v>
      </c>
      <c r="I291" s="549" t="str">
        <f>IF(F291="x","0","0")</f>
        <v>0</v>
      </c>
      <c r="J291" s="1551"/>
      <c r="K291" s="844"/>
    </row>
    <row r="292" spans="1:11" ht="46.5" customHeight="1" x14ac:dyDescent="0.2">
      <c r="A292" s="1938"/>
      <c r="B292" s="2028"/>
      <c r="C292" s="1943" t="s">
        <v>2613</v>
      </c>
      <c r="D292" s="2000" t="s">
        <v>1689</v>
      </c>
      <c r="E292" s="687" t="s">
        <v>1690</v>
      </c>
      <c r="F292" s="1265" t="s">
        <v>1690</v>
      </c>
      <c r="G292" s="1559" t="s">
        <v>2526</v>
      </c>
      <c r="H292" s="1559" t="s">
        <v>2751</v>
      </c>
      <c r="I292" s="620">
        <v>1</v>
      </c>
      <c r="J292" s="1988">
        <f>IF(F292="g)Sí",100%,0)</f>
        <v>1</v>
      </c>
      <c r="K292" s="844"/>
    </row>
    <row r="293" spans="1:11" ht="47.25" customHeight="1" thickBot="1" x14ac:dyDescent="0.25">
      <c r="A293" s="1938"/>
      <c r="B293" s="2028"/>
      <c r="C293" s="1945"/>
      <c r="D293" s="2012"/>
      <c r="E293" s="689" t="s">
        <v>1691</v>
      </c>
      <c r="F293" s="1625"/>
      <c r="G293" s="1561"/>
      <c r="H293" s="1561"/>
      <c r="I293" s="549" t="str">
        <f>IF(F293="x","0","0")</f>
        <v>0</v>
      </c>
      <c r="J293" s="1989"/>
      <c r="K293" s="844"/>
    </row>
    <row r="294" spans="1:11" ht="18" customHeight="1" x14ac:dyDescent="0.2">
      <c r="A294" s="1938"/>
      <c r="B294" s="2028"/>
      <c r="C294" s="1943" t="s">
        <v>2614</v>
      </c>
      <c r="D294" s="1933" t="s">
        <v>1692</v>
      </c>
      <c r="E294" s="668" t="s">
        <v>1693</v>
      </c>
      <c r="F294" s="276" t="s">
        <v>167</v>
      </c>
      <c r="G294" s="1664" t="s">
        <v>2671</v>
      </c>
      <c r="H294" s="1559" t="s">
        <v>2696</v>
      </c>
      <c r="I294" s="548">
        <v>25</v>
      </c>
      <c r="J294" s="1909">
        <f>IF(AND(F295="x",F296="x"),1,IF(OR(F294="X",F296="X"),0.25,IF(F295="X",0.5,IF(F297="X",0.3,0))))</f>
        <v>1</v>
      </c>
      <c r="K294" s="844"/>
    </row>
    <row r="295" spans="1:11" ht="24" x14ac:dyDescent="0.2">
      <c r="A295" s="1938"/>
      <c r="B295" s="2028"/>
      <c r="C295" s="1944"/>
      <c r="D295" s="1934"/>
      <c r="E295" s="669" t="s">
        <v>1694</v>
      </c>
      <c r="F295" s="616" t="s">
        <v>167</v>
      </c>
      <c r="G295" s="1565"/>
      <c r="H295" s="1562"/>
      <c r="I295" s="550">
        <v>50</v>
      </c>
      <c r="J295" s="1910"/>
      <c r="K295" s="844"/>
    </row>
    <row r="296" spans="1:11" ht="24" x14ac:dyDescent="0.2">
      <c r="A296" s="1938"/>
      <c r="B296" s="2028"/>
      <c r="C296" s="1944"/>
      <c r="D296" s="1934"/>
      <c r="E296" s="669" t="s">
        <v>1695</v>
      </c>
      <c r="F296" s="616" t="s">
        <v>167</v>
      </c>
      <c r="G296" s="1565"/>
      <c r="H296" s="1562"/>
      <c r="I296" s="550">
        <v>50</v>
      </c>
      <c r="J296" s="1910"/>
      <c r="K296" s="844"/>
    </row>
    <row r="297" spans="1:11" ht="15" customHeight="1" x14ac:dyDescent="0.2">
      <c r="A297" s="1938"/>
      <c r="B297" s="2028"/>
      <c r="C297" s="1944"/>
      <c r="D297" s="1934"/>
      <c r="E297" s="669" t="s">
        <v>1696</v>
      </c>
      <c r="F297" s="616" t="s">
        <v>167</v>
      </c>
      <c r="G297" s="1565"/>
      <c r="H297" s="1562"/>
      <c r="I297" s="550">
        <v>30</v>
      </c>
      <c r="J297" s="1910"/>
      <c r="K297" s="844"/>
    </row>
    <row r="298" spans="1:11" ht="15.75" customHeight="1" thickBot="1" x14ac:dyDescent="0.25">
      <c r="A298" s="1938"/>
      <c r="B298" s="2028"/>
      <c r="C298" s="1945"/>
      <c r="D298" s="1935"/>
      <c r="E298" s="670" t="s">
        <v>1697</v>
      </c>
      <c r="F298" s="279"/>
      <c r="G298" s="1665"/>
      <c r="H298" s="1555"/>
      <c r="I298" s="549" t="str">
        <f>IF(F298="x","0","0")</f>
        <v>0</v>
      </c>
      <c r="J298" s="1911"/>
      <c r="K298" s="844"/>
    </row>
    <row r="299" spans="1:11" x14ac:dyDescent="0.2">
      <c r="A299" s="1938"/>
      <c r="B299" s="2028"/>
      <c r="C299" s="1943" t="s">
        <v>2615</v>
      </c>
      <c r="D299" s="2025" t="s">
        <v>1698</v>
      </c>
      <c r="E299" s="662" t="s">
        <v>1699</v>
      </c>
      <c r="F299" s="276" t="s">
        <v>167</v>
      </c>
      <c r="G299" s="613">
        <v>1</v>
      </c>
      <c r="H299" s="1559" t="s">
        <v>1700</v>
      </c>
      <c r="I299" s="1554">
        <f>SUMIF(F299:F302,"X",G299:G302)</f>
        <v>2</v>
      </c>
      <c r="J299" s="1549">
        <f>I299/3</f>
        <v>0.66666666666666663</v>
      </c>
      <c r="K299" s="844"/>
    </row>
    <row r="300" spans="1:11" ht="21.75" customHeight="1" x14ac:dyDescent="0.2">
      <c r="A300" s="1938"/>
      <c r="B300" s="2028"/>
      <c r="C300" s="1944"/>
      <c r="D300" s="2026"/>
      <c r="E300" s="663" t="s">
        <v>1701</v>
      </c>
      <c r="F300" s="612" t="s">
        <v>167</v>
      </c>
      <c r="G300" s="614">
        <v>1</v>
      </c>
      <c r="H300" s="1562"/>
      <c r="I300" s="1562"/>
      <c r="J300" s="1550"/>
      <c r="K300" s="844"/>
    </row>
    <row r="301" spans="1:11" ht="30.75" customHeight="1" x14ac:dyDescent="0.2">
      <c r="A301" s="1938"/>
      <c r="B301" s="2028"/>
      <c r="C301" s="1944"/>
      <c r="D301" s="2026"/>
      <c r="E301" s="663" t="s">
        <v>1702</v>
      </c>
      <c r="F301" s="612"/>
      <c r="G301" s="614">
        <v>1</v>
      </c>
      <c r="H301" s="1562"/>
      <c r="I301" s="1562"/>
      <c r="J301" s="1550"/>
      <c r="K301" s="844"/>
    </row>
    <row r="302" spans="1:11" ht="24.75" customHeight="1" thickBot="1" x14ac:dyDescent="0.25">
      <c r="A302" s="1938"/>
      <c r="B302" s="2028"/>
      <c r="C302" s="1945"/>
      <c r="D302" s="2027"/>
      <c r="E302" s="664" t="s">
        <v>1703</v>
      </c>
      <c r="F302" s="279"/>
      <c r="G302" s="615">
        <v>0</v>
      </c>
      <c r="H302" s="1555"/>
      <c r="I302" s="1555"/>
      <c r="J302" s="1551"/>
      <c r="K302" s="844"/>
    </row>
    <row r="303" spans="1:11" x14ac:dyDescent="0.2">
      <c r="A303" s="1938"/>
      <c r="B303" s="2028"/>
      <c r="C303" s="1943" t="s">
        <v>2616</v>
      </c>
      <c r="D303" s="1933" t="s">
        <v>1704</v>
      </c>
      <c r="E303" s="658" t="s">
        <v>1705</v>
      </c>
      <c r="F303" s="276"/>
      <c r="G303" s="613">
        <v>1</v>
      </c>
      <c r="H303" s="1559" t="s">
        <v>1706</v>
      </c>
      <c r="I303" s="1554">
        <f>SUMIF(F303:F309,"X",G303:G309)</f>
        <v>2</v>
      </c>
      <c r="J303" s="1909">
        <f>I303/6</f>
        <v>0.33333333333333331</v>
      </c>
      <c r="K303" s="844"/>
    </row>
    <row r="304" spans="1:11" x14ac:dyDescent="0.2">
      <c r="A304" s="1938"/>
      <c r="B304" s="2028"/>
      <c r="C304" s="1944"/>
      <c r="D304" s="1934"/>
      <c r="E304" s="659" t="s">
        <v>1707</v>
      </c>
      <c r="F304" s="612" t="s">
        <v>167</v>
      </c>
      <c r="G304" s="614">
        <v>1</v>
      </c>
      <c r="H304" s="1562"/>
      <c r="I304" s="1562"/>
      <c r="J304" s="1910"/>
      <c r="K304" s="844"/>
    </row>
    <row r="305" spans="1:11" x14ac:dyDescent="0.2">
      <c r="A305" s="1938"/>
      <c r="B305" s="2028"/>
      <c r="C305" s="1944"/>
      <c r="D305" s="1934"/>
      <c r="E305" s="659" t="s">
        <v>1708</v>
      </c>
      <c r="F305" s="612"/>
      <c r="G305" s="614">
        <v>1</v>
      </c>
      <c r="H305" s="1562"/>
      <c r="I305" s="1562"/>
      <c r="J305" s="1910"/>
      <c r="K305" s="844"/>
    </row>
    <row r="306" spans="1:11" x14ac:dyDescent="0.2">
      <c r="A306" s="1938"/>
      <c r="B306" s="2028"/>
      <c r="C306" s="1944"/>
      <c r="D306" s="1934"/>
      <c r="E306" s="659" t="s">
        <v>1709</v>
      </c>
      <c r="F306" s="612" t="s">
        <v>167</v>
      </c>
      <c r="G306" s="614">
        <v>1</v>
      </c>
      <c r="H306" s="1562"/>
      <c r="I306" s="1562"/>
      <c r="J306" s="1910"/>
      <c r="K306" s="844"/>
    </row>
    <row r="307" spans="1:11" ht="24" x14ac:dyDescent="0.2">
      <c r="A307" s="1938"/>
      <c r="B307" s="2028"/>
      <c r="C307" s="1944"/>
      <c r="D307" s="1934"/>
      <c r="E307" s="659" t="s">
        <v>1710</v>
      </c>
      <c r="F307" s="612"/>
      <c r="G307" s="614">
        <v>1</v>
      </c>
      <c r="H307" s="1562"/>
      <c r="I307" s="1562"/>
      <c r="J307" s="1910"/>
      <c r="K307" s="844"/>
    </row>
    <row r="308" spans="1:11" ht="24" x14ac:dyDescent="0.2">
      <c r="A308" s="1938"/>
      <c r="B308" s="2028"/>
      <c r="C308" s="1944"/>
      <c r="D308" s="1934"/>
      <c r="E308" s="659" t="s">
        <v>1711</v>
      </c>
      <c r="F308" s="612"/>
      <c r="G308" s="614">
        <v>1</v>
      </c>
      <c r="H308" s="1562"/>
      <c r="I308" s="1562"/>
      <c r="J308" s="1910"/>
      <c r="K308" s="844"/>
    </row>
    <row r="309" spans="1:11" ht="12.75" thickBot="1" x14ac:dyDescent="0.25">
      <c r="A309" s="1938"/>
      <c r="B309" s="2028"/>
      <c r="C309" s="1945"/>
      <c r="D309" s="1935"/>
      <c r="E309" s="660" t="s">
        <v>1712</v>
      </c>
      <c r="F309" s="279"/>
      <c r="G309" s="615">
        <v>0</v>
      </c>
      <c r="H309" s="1555"/>
      <c r="I309" s="1555"/>
      <c r="J309" s="1911"/>
      <c r="K309" s="844"/>
    </row>
    <row r="310" spans="1:11" ht="16.5" thickBot="1" x14ac:dyDescent="0.25">
      <c r="A310" s="1938"/>
      <c r="B310" s="2021" t="s">
        <v>2154</v>
      </c>
      <c r="C310" s="2022"/>
      <c r="D310" s="2022"/>
      <c r="E310" s="2022"/>
      <c r="F310" s="2022"/>
      <c r="G310" s="2022"/>
      <c r="H310" s="1959" t="s">
        <v>1713</v>
      </c>
      <c r="I310" s="1959"/>
      <c r="J310" s="586">
        <f>(J286+J289+J292+J294+J299+J303)/6</f>
        <v>0.66666666666666663</v>
      </c>
      <c r="K310" s="1073"/>
    </row>
    <row r="311" spans="1:11" ht="12" customHeight="1" x14ac:dyDescent="0.2">
      <c r="A311" s="1938"/>
      <c r="B311" s="2023" t="s">
        <v>1714</v>
      </c>
      <c r="C311" s="2017" t="s">
        <v>2617</v>
      </c>
      <c r="D311" s="1940" t="s">
        <v>1715</v>
      </c>
      <c r="E311" s="655" t="s">
        <v>1716</v>
      </c>
      <c r="F311" s="276"/>
      <c r="G311" s="592">
        <v>1</v>
      </c>
      <c r="H311" s="1559" t="s">
        <v>1717</v>
      </c>
      <c r="I311" s="1554">
        <f>SUMIF(F311:F316,"x",G311:G316)</f>
        <v>0</v>
      </c>
      <c r="J311" s="1549">
        <f>(I311/5)*50%</f>
        <v>0</v>
      </c>
      <c r="K311" s="844"/>
    </row>
    <row r="312" spans="1:11" x14ac:dyDescent="0.2">
      <c r="A312" s="1938"/>
      <c r="B312" s="2023"/>
      <c r="C312" s="2024"/>
      <c r="D312" s="1941"/>
      <c r="E312" s="656" t="s">
        <v>1718</v>
      </c>
      <c r="F312" s="612"/>
      <c r="G312" s="42">
        <v>1</v>
      </c>
      <c r="H312" s="1560"/>
      <c r="I312" s="1562"/>
      <c r="J312" s="1550"/>
      <c r="K312" s="844"/>
    </row>
    <row r="313" spans="1:11" x14ac:dyDescent="0.2">
      <c r="A313" s="1938"/>
      <c r="B313" s="2023"/>
      <c r="C313" s="2024"/>
      <c r="D313" s="1941"/>
      <c r="E313" s="656" t="s">
        <v>1719</v>
      </c>
      <c r="F313" s="612"/>
      <c r="G313" s="42">
        <v>1</v>
      </c>
      <c r="H313" s="1560"/>
      <c r="I313" s="1562"/>
      <c r="J313" s="1550"/>
      <c r="K313" s="844"/>
    </row>
    <row r="314" spans="1:11" x14ac:dyDescent="0.2">
      <c r="A314" s="1938"/>
      <c r="B314" s="2023"/>
      <c r="C314" s="2024"/>
      <c r="D314" s="1941"/>
      <c r="E314" s="656" t="s">
        <v>1720</v>
      </c>
      <c r="F314" s="612"/>
      <c r="G314" s="42">
        <v>1</v>
      </c>
      <c r="H314" s="1560"/>
      <c r="I314" s="1562"/>
      <c r="J314" s="1550"/>
      <c r="K314" s="844"/>
    </row>
    <row r="315" spans="1:11" x14ac:dyDescent="0.2">
      <c r="A315" s="1938"/>
      <c r="B315" s="2023"/>
      <c r="C315" s="2024"/>
      <c r="D315" s="1941"/>
      <c r="E315" s="656" t="s">
        <v>1721</v>
      </c>
      <c r="F315" s="612"/>
      <c r="G315" s="42">
        <v>1</v>
      </c>
      <c r="H315" s="1560"/>
      <c r="I315" s="1562"/>
      <c r="J315" s="1550"/>
      <c r="K315" s="844"/>
    </row>
    <row r="316" spans="1:11" ht="12.75" thickBot="1" x14ac:dyDescent="0.25">
      <c r="A316" s="1938"/>
      <c r="B316" s="2023"/>
      <c r="C316" s="2024"/>
      <c r="D316" s="1941"/>
      <c r="E316" s="656" t="s">
        <v>1722</v>
      </c>
      <c r="F316" s="612"/>
      <c r="G316" s="42">
        <v>0</v>
      </c>
      <c r="H316" s="1560"/>
      <c r="I316" s="1562"/>
      <c r="J316" s="1550"/>
      <c r="K316" s="844"/>
    </row>
    <row r="317" spans="1:11" ht="21" customHeight="1" x14ac:dyDescent="0.2">
      <c r="A317" s="1938"/>
      <c r="B317" s="2023"/>
      <c r="C317" s="2024"/>
      <c r="D317" s="1646" t="s">
        <v>1723</v>
      </c>
      <c r="E317" s="740" t="s">
        <v>1724</v>
      </c>
      <c r="F317" s="1265" t="s">
        <v>1724</v>
      </c>
      <c r="G317" s="1649" t="s">
        <v>2526</v>
      </c>
      <c r="H317" s="575" t="s">
        <v>1725</v>
      </c>
      <c r="I317" s="575" t="str">
        <f>IF(F317="x","50%","0")</f>
        <v>0</v>
      </c>
      <c r="J317" s="2029">
        <f>IF(F317="g) Sí",50%,0)</f>
        <v>0.5</v>
      </c>
      <c r="K317" s="844"/>
    </row>
    <row r="318" spans="1:11" ht="15.75" customHeight="1" thickBot="1" x14ac:dyDescent="0.25">
      <c r="A318" s="1938"/>
      <c r="B318" s="2023"/>
      <c r="C318" s="2018"/>
      <c r="D318" s="1947"/>
      <c r="E318" s="730" t="s">
        <v>1691</v>
      </c>
      <c r="F318" s="1625"/>
      <c r="G318" s="1665"/>
      <c r="H318" s="576" t="s">
        <v>1726</v>
      </c>
      <c r="I318" s="576" t="str">
        <f>IF(F318="x","0","0")</f>
        <v>0</v>
      </c>
      <c r="J318" s="2030"/>
      <c r="K318" s="844"/>
    </row>
    <row r="319" spans="1:11" ht="16.5" thickBot="1" x14ac:dyDescent="0.25">
      <c r="A319" s="1938"/>
      <c r="B319" s="2021" t="s">
        <v>2155</v>
      </c>
      <c r="C319" s="2022"/>
      <c r="D319" s="2022"/>
      <c r="E319" s="2022"/>
      <c r="F319" s="2022"/>
      <c r="G319" s="2022"/>
      <c r="H319" s="1959" t="s">
        <v>1727</v>
      </c>
      <c r="I319" s="1959"/>
      <c r="J319" s="586">
        <f>(J311+J317)</f>
        <v>0.5</v>
      </c>
      <c r="K319" s="1073"/>
    </row>
    <row r="320" spans="1:11" x14ac:dyDescent="0.2">
      <c r="A320" s="1938"/>
      <c r="B320" s="2028" t="s">
        <v>1728</v>
      </c>
      <c r="C320" s="1943" t="s">
        <v>2618</v>
      </c>
      <c r="D320" s="1933" t="s">
        <v>1729</v>
      </c>
      <c r="E320" s="650" t="s">
        <v>1730</v>
      </c>
      <c r="F320" s="276" t="s">
        <v>167</v>
      </c>
      <c r="G320" s="592">
        <v>1</v>
      </c>
      <c r="H320" s="1559" t="s">
        <v>1731</v>
      </c>
      <c r="I320" s="1554">
        <f>SUMIF(F320:F326,"x",G320:G326)</f>
        <v>6</v>
      </c>
      <c r="J320" s="1909">
        <f>I320/6</f>
        <v>1</v>
      </c>
      <c r="K320" s="844"/>
    </row>
    <row r="321" spans="1:11" x14ac:dyDescent="0.2">
      <c r="A321" s="1938"/>
      <c r="B321" s="2028"/>
      <c r="C321" s="1944"/>
      <c r="D321" s="1934"/>
      <c r="E321" s="651" t="s">
        <v>1732</v>
      </c>
      <c r="F321" s="616" t="s">
        <v>167</v>
      </c>
      <c r="G321" s="42">
        <v>1</v>
      </c>
      <c r="H321" s="1562"/>
      <c r="I321" s="1562"/>
      <c r="J321" s="1910"/>
      <c r="K321" s="844"/>
    </row>
    <row r="322" spans="1:11" x14ac:dyDescent="0.2">
      <c r="A322" s="1938"/>
      <c r="B322" s="2028"/>
      <c r="C322" s="1944"/>
      <c r="D322" s="1934"/>
      <c r="E322" s="651" t="s">
        <v>2752</v>
      </c>
      <c r="F322" s="616" t="s">
        <v>167</v>
      </c>
      <c r="G322" s="42">
        <v>1</v>
      </c>
      <c r="H322" s="1562"/>
      <c r="I322" s="1562"/>
      <c r="J322" s="1910"/>
      <c r="K322" s="844"/>
    </row>
    <row r="323" spans="1:11" x14ac:dyDescent="0.2">
      <c r="A323" s="1938"/>
      <c r="B323" s="2028"/>
      <c r="C323" s="1944"/>
      <c r="D323" s="1934"/>
      <c r="E323" s="651" t="s">
        <v>2753</v>
      </c>
      <c r="F323" s="616" t="s">
        <v>167</v>
      </c>
      <c r="G323" s="42">
        <v>1</v>
      </c>
      <c r="H323" s="1562"/>
      <c r="I323" s="1562"/>
      <c r="J323" s="1910"/>
      <c r="K323" s="844"/>
    </row>
    <row r="324" spans="1:11" x14ac:dyDescent="0.2">
      <c r="A324" s="1938"/>
      <c r="B324" s="2028"/>
      <c r="C324" s="1944"/>
      <c r="D324" s="1934"/>
      <c r="E324" s="651" t="s">
        <v>1733</v>
      </c>
      <c r="F324" s="616" t="s">
        <v>167</v>
      </c>
      <c r="G324" s="42">
        <v>1</v>
      </c>
      <c r="H324" s="1562"/>
      <c r="I324" s="1562"/>
      <c r="J324" s="1910"/>
      <c r="K324" s="844"/>
    </row>
    <row r="325" spans="1:11" x14ac:dyDescent="0.2">
      <c r="A325" s="1938"/>
      <c r="B325" s="2028"/>
      <c r="C325" s="1944"/>
      <c r="D325" s="1934"/>
      <c r="E325" s="651" t="s">
        <v>1734</v>
      </c>
      <c r="F325" s="616" t="s">
        <v>167</v>
      </c>
      <c r="G325" s="42">
        <v>1</v>
      </c>
      <c r="H325" s="1562"/>
      <c r="I325" s="1562"/>
      <c r="J325" s="1910"/>
      <c r="K325" s="844"/>
    </row>
    <row r="326" spans="1:11" ht="12.75" thickBot="1" x14ac:dyDescent="0.25">
      <c r="A326" s="1938"/>
      <c r="B326" s="2028"/>
      <c r="C326" s="1945"/>
      <c r="D326" s="1935"/>
      <c r="E326" s="652" t="s">
        <v>1735</v>
      </c>
      <c r="F326" s="279"/>
      <c r="G326" s="593">
        <v>0</v>
      </c>
      <c r="H326" s="1555"/>
      <c r="I326" s="1555"/>
      <c r="J326" s="1911"/>
      <c r="K326" s="844"/>
    </row>
    <row r="327" spans="1:11" x14ac:dyDescent="0.2">
      <c r="A327" s="1938"/>
      <c r="B327" s="2028"/>
      <c r="C327" s="1943" t="s">
        <v>2619</v>
      </c>
      <c r="D327" s="1940" t="s">
        <v>1736</v>
      </c>
      <c r="E327" s="655" t="s">
        <v>1737</v>
      </c>
      <c r="F327" s="276" t="s">
        <v>167</v>
      </c>
      <c r="G327" s="592">
        <v>1</v>
      </c>
      <c r="H327" s="1559" t="s">
        <v>2757</v>
      </c>
      <c r="I327" s="1554">
        <f>SUMIF(F327:F332,"x",G327:G332)</f>
        <v>4</v>
      </c>
      <c r="J327" s="1909">
        <f>I327/4</f>
        <v>1</v>
      </c>
      <c r="K327" s="844"/>
    </row>
    <row r="328" spans="1:11" x14ac:dyDescent="0.2">
      <c r="A328" s="1938"/>
      <c r="B328" s="2028"/>
      <c r="C328" s="1944"/>
      <c r="D328" s="1941"/>
      <c r="E328" s="656" t="s">
        <v>1738</v>
      </c>
      <c r="F328" s="616" t="s">
        <v>167</v>
      </c>
      <c r="G328" s="42">
        <v>1</v>
      </c>
      <c r="H328" s="1562"/>
      <c r="I328" s="1562"/>
      <c r="J328" s="1910"/>
      <c r="K328" s="844"/>
    </row>
    <row r="329" spans="1:11" x14ac:dyDescent="0.2">
      <c r="A329" s="1938"/>
      <c r="B329" s="2028"/>
      <c r="C329" s="1944"/>
      <c r="D329" s="1941"/>
      <c r="E329" s="656" t="s">
        <v>2755</v>
      </c>
      <c r="F329" s="616" t="s">
        <v>167</v>
      </c>
      <c r="G329" s="42">
        <v>1</v>
      </c>
      <c r="H329" s="1562"/>
      <c r="I329" s="1562"/>
      <c r="J329" s="1910"/>
      <c r="K329" s="844"/>
    </row>
    <row r="330" spans="1:11" x14ac:dyDescent="0.2">
      <c r="A330" s="1938"/>
      <c r="B330" s="2028"/>
      <c r="C330" s="1944"/>
      <c r="D330" s="1941"/>
      <c r="E330" s="656" t="s">
        <v>2754</v>
      </c>
      <c r="F330" s="616" t="s">
        <v>167</v>
      </c>
      <c r="G330" s="42">
        <v>1</v>
      </c>
      <c r="H330" s="1562"/>
      <c r="I330" s="1562"/>
      <c r="J330" s="1910"/>
      <c r="K330" s="844"/>
    </row>
    <row r="331" spans="1:11" x14ac:dyDescent="0.2">
      <c r="A331" s="1938"/>
      <c r="B331" s="2028"/>
      <c r="C331" s="1944"/>
      <c r="D331" s="1941"/>
      <c r="E331" s="656" t="s">
        <v>1739</v>
      </c>
      <c r="F331" s="616"/>
      <c r="G331" s="42">
        <v>0</v>
      </c>
      <c r="H331" s="1562"/>
      <c r="I331" s="1562"/>
      <c r="J331" s="1910"/>
      <c r="K331" s="844"/>
    </row>
    <row r="332" spans="1:11" ht="12.75" thickBot="1" x14ac:dyDescent="0.25">
      <c r="A332" s="1938"/>
      <c r="B332" s="2028"/>
      <c r="C332" s="1945"/>
      <c r="D332" s="1942"/>
      <c r="E332" s="657" t="s">
        <v>1640</v>
      </c>
      <c r="F332" s="279"/>
      <c r="G332" s="593">
        <v>0</v>
      </c>
      <c r="H332" s="1555"/>
      <c r="I332" s="1555"/>
      <c r="J332" s="1911"/>
      <c r="K332" s="844"/>
    </row>
    <row r="333" spans="1:11" ht="30.75" customHeight="1" x14ac:dyDescent="0.2">
      <c r="A333" s="1938"/>
      <c r="B333" s="2028"/>
      <c r="C333" s="1943" t="s">
        <v>2620</v>
      </c>
      <c r="D333" s="1946" t="s">
        <v>1740</v>
      </c>
      <c r="E333" s="729" t="s">
        <v>1619</v>
      </c>
      <c r="F333" s="1265" t="s">
        <v>1619</v>
      </c>
      <c r="G333" s="1664" t="s">
        <v>2526</v>
      </c>
      <c r="H333" s="1559" t="s">
        <v>2756</v>
      </c>
      <c r="I333" s="573">
        <v>0.5</v>
      </c>
      <c r="J333" s="2029">
        <f>IF(F333="n) Sí",50%,0)</f>
        <v>0.5</v>
      </c>
      <c r="K333" s="844"/>
    </row>
    <row r="334" spans="1:11" ht="27.75" customHeight="1" thickBot="1" x14ac:dyDescent="0.25">
      <c r="A334" s="1938"/>
      <c r="B334" s="2028"/>
      <c r="C334" s="1944"/>
      <c r="D334" s="1646"/>
      <c r="E334" s="740" t="s">
        <v>1621</v>
      </c>
      <c r="F334" s="1625"/>
      <c r="G334" s="1648"/>
      <c r="H334" s="1560"/>
      <c r="I334" s="569" t="str">
        <f>IF(F334="x","0","0")</f>
        <v>0</v>
      </c>
      <c r="J334" s="2030"/>
      <c r="K334" s="844"/>
    </row>
    <row r="335" spans="1:11" x14ac:dyDescent="0.2">
      <c r="A335" s="1938"/>
      <c r="B335" s="2028"/>
      <c r="C335" s="1944"/>
      <c r="D335" s="1934" t="s">
        <v>1741</v>
      </c>
      <c r="E335" s="651" t="s">
        <v>1742</v>
      </c>
      <c r="F335" s="616"/>
      <c r="G335" s="42">
        <v>1</v>
      </c>
      <c r="H335" s="1560" t="s">
        <v>1743</v>
      </c>
      <c r="I335" s="1562">
        <f>SUMIF(F335:F337,"x",G335:G337)</f>
        <v>0</v>
      </c>
      <c r="J335" s="1550">
        <f>(I335/2)*50%</f>
        <v>0</v>
      </c>
      <c r="K335" s="844"/>
    </row>
    <row r="336" spans="1:11" x14ac:dyDescent="0.2">
      <c r="A336" s="1938"/>
      <c r="B336" s="2028"/>
      <c r="C336" s="1944"/>
      <c r="D336" s="1934"/>
      <c r="E336" s="651" t="s">
        <v>1744</v>
      </c>
      <c r="F336" s="616"/>
      <c r="G336" s="42">
        <v>1</v>
      </c>
      <c r="H336" s="1562"/>
      <c r="I336" s="1562"/>
      <c r="J336" s="1550"/>
      <c r="K336" s="844"/>
    </row>
    <row r="337" spans="1:11" ht="12.75" thickBot="1" x14ac:dyDescent="0.25">
      <c r="A337" s="1938"/>
      <c r="B337" s="2028"/>
      <c r="C337" s="1945"/>
      <c r="D337" s="1935"/>
      <c r="E337" s="652" t="s">
        <v>1745</v>
      </c>
      <c r="F337" s="279"/>
      <c r="G337" s="593">
        <v>0</v>
      </c>
      <c r="H337" s="1555"/>
      <c r="I337" s="1555"/>
      <c r="J337" s="1551"/>
      <c r="K337" s="844"/>
    </row>
    <row r="338" spans="1:11" ht="15.75" x14ac:dyDescent="0.2">
      <c r="A338" s="1939"/>
      <c r="B338" s="1958" t="s">
        <v>2156</v>
      </c>
      <c r="C338" s="1982"/>
      <c r="D338" s="1982"/>
      <c r="E338" s="1982"/>
      <c r="F338" s="1982"/>
      <c r="G338" s="1982"/>
      <c r="H338" s="1982" t="s">
        <v>1746</v>
      </c>
      <c r="I338" s="1982"/>
      <c r="J338" s="578">
        <f>(J320+J327+J333+J335)/3</f>
        <v>0.83333333333333337</v>
      </c>
      <c r="K338" s="121"/>
    </row>
    <row r="339" spans="1:11" ht="16.5" thickBot="1" x14ac:dyDescent="0.25">
      <c r="A339" s="1581" t="s">
        <v>1747</v>
      </c>
      <c r="B339" s="1581"/>
      <c r="C339" s="1572"/>
      <c r="D339" s="1572"/>
      <c r="E339" s="1572"/>
      <c r="F339" s="1572"/>
      <c r="G339" s="1572"/>
      <c r="H339" s="1572" t="s">
        <v>1748</v>
      </c>
      <c r="I339" s="1572"/>
      <c r="J339" s="577">
        <f>(J233+J249+J263+J285+J310+J319+J338)/7</f>
        <v>0.65476190476190477</v>
      </c>
      <c r="K339" s="121"/>
    </row>
    <row r="340" spans="1:11" ht="26.25" customHeight="1" x14ac:dyDescent="0.2">
      <c r="A340" s="1983" t="s">
        <v>2621</v>
      </c>
      <c r="B340" s="1932"/>
      <c r="C340" s="2031" t="s">
        <v>1584</v>
      </c>
      <c r="D340" s="2032"/>
      <c r="E340" s="767" t="s">
        <v>2544</v>
      </c>
      <c r="F340" s="276">
        <v>4</v>
      </c>
      <c r="G340" s="1568" t="s">
        <v>2411</v>
      </c>
      <c r="H340" s="1568" t="s">
        <v>1945</v>
      </c>
      <c r="I340" s="1575">
        <f>J340</f>
        <v>1</v>
      </c>
      <c r="J340" s="1988">
        <f>IFERROR(IF(F340/F341&gt;1,1,F340/F341),"0")</f>
        <v>1</v>
      </c>
      <c r="K340" s="844"/>
    </row>
    <row r="341" spans="1:11" ht="30.75" customHeight="1" thickBot="1" x14ac:dyDescent="0.25">
      <c r="A341" s="1984"/>
      <c r="B341" s="1932"/>
      <c r="C341" s="2033"/>
      <c r="D341" s="2034"/>
      <c r="E341" s="768" t="s">
        <v>2622</v>
      </c>
      <c r="F341" s="279">
        <v>4</v>
      </c>
      <c r="G341" s="1569"/>
      <c r="H341" s="1569"/>
      <c r="I341" s="1569"/>
      <c r="J341" s="1989"/>
      <c r="K341" s="844"/>
    </row>
    <row r="342" spans="1:11" ht="24" x14ac:dyDescent="0.2">
      <c r="A342" s="1984"/>
      <c r="B342" s="1932"/>
      <c r="C342" s="2033"/>
      <c r="D342" s="2034"/>
      <c r="E342" s="767" t="s">
        <v>2623</v>
      </c>
      <c r="F342" s="276">
        <v>1</v>
      </c>
      <c r="G342" s="1568" t="s">
        <v>2411</v>
      </c>
      <c r="H342" s="1568" t="s">
        <v>1749</v>
      </c>
      <c r="I342" s="1575">
        <f t="shared" ref="I342" si="0">J342</f>
        <v>1</v>
      </c>
      <c r="J342" s="1988">
        <f>IFERROR(IF(F342/F343&gt;1,1,F342/F343),"0")</f>
        <v>1</v>
      </c>
      <c r="K342" s="844"/>
    </row>
    <row r="343" spans="1:11" ht="27" customHeight="1" thickBot="1" x14ac:dyDescent="0.25">
      <c r="A343" s="1984"/>
      <c r="B343" s="1932"/>
      <c r="C343" s="2033"/>
      <c r="D343" s="2034"/>
      <c r="E343" s="768" t="s">
        <v>2624</v>
      </c>
      <c r="F343" s="279">
        <v>1</v>
      </c>
      <c r="G343" s="1569"/>
      <c r="H343" s="1569"/>
      <c r="I343" s="1569"/>
      <c r="J343" s="1989"/>
      <c r="K343" s="844"/>
    </row>
    <row r="344" spans="1:11" ht="21.75" customHeight="1" x14ac:dyDescent="0.2">
      <c r="A344" s="1984"/>
      <c r="B344" s="1932"/>
      <c r="C344" s="2033"/>
      <c r="D344" s="2034"/>
      <c r="E344" s="767" t="s">
        <v>2625</v>
      </c>
      <c r="F344" s="276">
        <v>3</v>
      </c>
      <c r="G344" s="1568" t="s">
        <v>2411</v>
      </c>
      <c r="H344" s="1568" t="s">
        <v>1750</v>
      </c>
      <c r="I344" s="1575">
        <f t="shared" ref="I344" si="1">J344</f>
        <v>1</v>
      </c>
      <c r="J344" s="1988">
        <f>IFERROR(IF(F344/F345&gt;1,1,F344/F345),"0")</f>
        <v>1</v>
      </c>
      <c r="K344" s="844"/>
    </row>
    <row r="345" spans="1:11" ht="20.25" customHeight="1" thickBot="1" x14ac:dyDescent="0.25">
      <c r="A345" s="1984"/>
      <c r="B345" s="1932"/>
      <c r="C345" s="2033"/>
      <c r="D345" s="2034"/>
      <c r="E345" s="768" t="s">
        <v>2626</v>
      </c>
      <c r="F345" s="279">
        <v>3</v>
      </c>
      <c r="G345" s="1569"/>
      <c r="H345" s="1569"/>
      <c r="I345" s="1569"/>
      <c r="J345" s="1989"/>
      <c r="K345" s="844"/>
    </row>
    <row r="346" spans="1:11" ht="18" customHeight="1" x14ac:dyDescent="0.2">
      <c r="A346" s="1984"/>
      <c r="B346" s="1932"/>
      <c r="C346" s="2033"/>
      <c r="D346" s="2034"/>
      <c r="E346" s="767" t="s">
        <v>2627</v>
      </c>
      <c r="F346" s="276">
        <v>3</v>
      </c>
      <c r="G346" s="1568" t="s">
        <v>2411</v>
      </c>
      <c r="H346" s="1568" t="s">
        <v>1751</v>
      </c>
      <c r="I346" s="1575">
        <f t="shared" ref="I346" si="2">J346</f>
        <v>1</v>
      </c>
      <c r="J346" s="1988">
        <f>IFERROR(IF(F346/F347&gt;1,1,F346/F347),"0")</f>
        <v>1</v>
      </c>
      <c r="K346" s="844"/>
    </row>
    <row r="347" spans="1:11" ht="24.75" thickBot="1" x14ac:dyDescent="0.25">
      <c r="A347" s="1984"/>
      <c r="B347" s="1932"/>
      <c r="C347" s="2033"/>
      <c r="D347" s="2034"/>
      <c r="E347" s="768" t="s">
        <v>2629</v>
      </c>
      <c r="F347" s="279">
        <v>3</v>
      </c>
      <c r="G347" s="1569"/>
      <c r="H347" s="1569"/>
      <c r="I347" s="1569"/>
      <c r="J347" s="1989"/>
      <c r="K347" s="844"/>
    </row>
    <row r="348" spans="1:11" ht="18.75" customHeight="1" x14ac:dyDescent="0.2">
      <c r="A348" s="1984"/>
      <c r="B348" s="1932"/>
      <c r="C348" s="2033"/>
      <c r="D348" s="2035"/>
      <c r="E348" s="769" t="s">
        <v>2628</v>
      </c>
      <c r="F348" s="563">
        <v>1</v>
      </c>
      <c r="G348" s="1568" t="s">
        <v>2411</v>
      </c>
      <c r="H348" s="1588" t="s">
        <v>1752</v>
      </c>
      <c r="I348" s="1575">
        <f t="shared" ref="I348" si="3">J348</f>
        <v>1</v>
      </c>
      <c r="J348" s="2003">
        <f>IFERROR(IF(F348/F349&gt;1,1,F348/F349),"0")</f>
        <v>1</v>
      </c>
      <c r="K348" s="844"/>
    </row>
    <row r="349" spans="1:11" ht="18.75" customHeight="1" thickBot="1" x14ac:dyDescent="0.25">
      <c r="A349" s="1984"/>
      <c r="B349" s="1932"/>
      <c r="C349" s="2036"/>
      <c r="D349" s="2037"/>
      <c r="E349" s="770" t="s">
        <v>2630</v>
      </c>
      <c r="F349" s="279">
        <v>1</v>
      </c>
      <c r="G349" s="1569"/>
      <c r="H349" s="1569"/>
      <c r="I349" s="1569"/>
      <c r="J349" s="1989"/>
      <c r="K349" s="844"/>
    </row>
    <row r="350" spans="1:11" ht="26.25" customHeight="1" x14ac:dyDescent="0.2">
      <c r="A350" s="1984"/>
      <c r="B350" s="1932"/>
      <c r="C350" s="2065" t="s">
        <v>2631</v>
      </c>
      <c r="D350" s="2066"/>
      <c r="E350" s="729" t="s">
        <v>1753</v>
      </c>
      <c r="F350" s="1265" t="s">
        <v>1753</v>
      </c>
      <c r="G350" s="1664" t="s">
        <v>2526</v>
      </c>
      <c r="H350" s="1559" t="s">
        <v>2758</v>
      </c>
      <c r="I350" s="620">
        <v>1</v>
      </c>
      <c r="J350" s="2029">
        <f>IF(F350="k)Sí",100%,0)</f>
        <v>1</v>
      </c>
      <c r="K350" s="844"/>
    </row>
    <row r="351" spans="1:11" ht="30.75" customHeight="1" thickBot="1" x14ac:dyDescent="0.25">
      <c r="A351" s="2008"/>
      <c r="B351" s="1932"/>
      <c r="C351" s="2067"/>
      <c r="D351" s="2068"/>
      <c r="E351" s="730" t="s">
        <v>1754</v>
      </c>
      <c r="F351" s="1625"/>
      <c r="G351" s="1665"/>
      <c r="H351" s="1561"/>
      <c r="I351" s="570">
        <v>0</v>
      </c>
      <c r="J351" s="2030"/>
      <c r="K351" s="844"/>
    </row>
    <row r="352" spans="1:11" ht="15.75" x14ac:dyDescent="0.2">
      <c r="A352" s="1581" t="s">
        <v>2157</v>
      </c>
      <c r="B352" s="1581"/>
      <c r="C352" s="1574"/>
      <c r="D352" s="1574"/>
      <c r="E352" s="1574"/>
      <c r="F352" s="1574"/>
      <c r="G352" s="1574"/>
      <c r="H352" s="1574" t="s">
        <v>1755</v>
      </c>
      <c r="I352" s="1574"/>
      <c r="J352" s="578">
        <f>(J340+J342+J344+J346+J348+J350)/6</f>
        <v>1</v>
      </c>
      <c r="K352" s="121"/>
    </row>
    <row r="353" spans="1:11" ht="18.75" x14ac:dyDescent="0.2">
      <c r="A353" s="1925" t="s">
        <v>2674</v>
      </c>
      <c r="B353" s="1926"/>
      <c r="C353" s="1926"/>
      <c r="D353" s="1926"/>
      <c r="E353" s="1926"/>
      <c r="F353" s="1926"/>
      <c r="G353" s="1927"/>
      <c r="H353" s="1936" t="s">
        <v>1756</v>
      </c>
      <c r="I353" s="1936"/>
      <c r="J353" s="546">
        <f>(J339+J352)/2</f>
        <v>0.82738095238095233</v>
      </c>
      <c r="K353" s="121"/>
    </row>
    <row r="354" spans="1:11" ht="18.75" customHeight="1" thickBot="1" x14ac:dyDescent="0.25">
      <c r="A354" s="2105" t="s">
        <v>2675</v>
      </c>
      <c r="B354" s="2106"/>
      <c r="C354" s="2107"/>
      <c r="D354" s="2107"/>
      <c r="E354" s="2107"/>
      <c r="F354" s="2107"/>
      <c r="G354" s="2107"/>
      <c r="H354" s="2107"/>
      <c r="I354" s="2107"/>
      <c r="J354" s="2108"/>
      <c r="K354" s="121"/>
    </row>
    <row r="355" spans="1:11" ht="24" x14ac:dyDescent="0.2">
      <c r="A355" s="1937" t="s">
        <v>2632</v>
      </c>
      <c r="B355" s="2051" t="s">
        <v>2633</v>
      </c>
      <c r="C355" s="1943" t="s">
        <v>2634</v>
      </c>
      <c r="D355" s="1933" t="s">
        <v>1757</v>
      </c>
      <c r="E355" s="658" t="s">
        <v>1758</v>
      </c>
      <c r="F355" s="276" t="s">
        <v>167</v>
      </c>
      <c r="G355" s="1664" t="s">
        <v>2671</v>
      </c>
      <c r="H355" s="565" t="s">
        <v>1759</v>
      </c>
      <c r="I355" s="568" t="str">
        <f>IF(F355="x","50%","0")</f>
        <v>50%</v>
      </c>
      <c r="J355" s="1549">
        <f>I355+I356</f>
        <v>0.5</v>
      </c>
      <c r="K355" s="844"/>
    </row>
    <row r="356" spans="1:11" ht="24" x14ac:dyDescent="0.2">
      <c r="A356" s="1938"/>
      <c r="B356" s="2052"/>
      <c r="C356" s="1944"/>
      <c r="D356" s="1934"/>
      <c r="E356" s="659" t="s">
        <v>1760</v>
      </c>
      <c r="F356" s="564"/>
      <c r="G356" s="1565"/>
      <c r="H356" s="566" t="s">
        <v>1761</v>
      </c>
      <c r="I356" s="569" t="str">
        <f>IF(F356="x","50%","0")</f>
        <v>0</v>
      </c>
      <c r="J356" s="1550"/>
      <c r="K356" s="844"/>
    </row>
    <row r="357" spans="1:11" ht="12.75" thickBot="1" x14ac:dyDescent="0.25">
      <c r="A357" s="1938"/>
      <c r="B357" s="2052"/>
      <c r="C357" s="1945"/>
      <c r="D357" s="1935"/>
      <c r="E357" s="660" t="s">
        <v>1762</v>
      </c>
      <c r="F357" s="279"/>
      <c r="G357" s="1665"/>
      <c r="H357" s="567" t="s">
        <v>1763</v>
      </c>
      <c r="I357" s="570" t="str">
        <f>IF(F357="x","0","0")</f>
        <v>0</v>
      </c>
      <c r="J357" s="1551"/>
      <c r="K357" s="844"/>
    </row>
    <row r="358" spans="1:11" ht="24" customHeight="1" x14ac:dyDescent="0.2">
      <c r="A358" s="1938"/>
      <c r="B358" s="2052"/>
      <c r="C358" s="1948" t="s">
        <v>2635</v>
      </c>
      <c r="D358" s="1585" t="s">
        <v>1764</v>
      </c>
      <c r="E358" s="671" t="s">
        <v>1765</v>
      </c>
      <c r="F358" s="1265" t="s">
        <v>1765</v>
      </c>
      <c r="G358" s="1664" t="s">
        <v>2767</v>
      </c>
      <c r="H358" s="1559" t="s">
        <v>2766</v>
      </c>
      <c r="I358" s="573">
        <v>1</v>
      </c>
      <c r="J358" s="2029">
        <f>IF(F358="d) Sí",100%,0)</f>
        <v>1</v>
      </c>
      <c r="K358" s="844"/>
    </row>
    <row r="359" spans="1:11" ht="33" customHeight="1" thickBot="1" x14ac:dyDescent="0.25">
      <c r="A359" s="1938"/>
      <c r="B359" s="2052"/>
      <c r="C359" s="1957"/>
      <c r="D359" s="1587"/>
      <c r="E359" s="673" t="s">
        <v>1766</v>
      </c>
      <c r="F359" s="1625"/>
      <c r="G359" s="1665"/>
      <c r="H359" s="1561"/>
      <c r="I359" s="570" t="str">
        <f>IF(F359="x","0","0")</f>
        <v>0</v>
      </c>
      <c r="J359" s="2030"/>
      <c r="K359" s="844"/>
    </row>
    <row r="360" spans="1:11" ht="18.75" customHeight="1" x14ac:dyDescent="0.2">
      <c r="A360" s="1938"/>
      <c r="B360" s="2052"/>
      <c r="C360" s="1957"/>
      <c r="D360" s="1578" t="s">
        <v>1767</v>
      </c>
      <c r="E360" s="662" t="s">
        <v>1768</v>
      </c>
      <c r="F360" s="276" t="s">
        <v>167</v>
      </c>
      <c r="G360" s="1664" t="s">
        <v>2671</v>
      </c>
      <c r="H360" s="1559" t="s">
        <v>1769</v>
      </c>
      <c r="I360" s="568" t="str">
        <f>IF(F360="x","50%","0")</f>
        <v>50%</v>
      </c>
      <c r="J360" s="1549">
        <f>(I360+I361)</f>
        <v>1</v>
      </c>
      <c r="K360" s="844"/>
    </row>
    <row r="361" spans="1:11" ht="19.5" customHeight="1" x14ac:dyDescent="0.2">
      <c r="A361" s="1938"/>
      <c r="B361" s="2052"/>
      <c r="C361" s="1957"/>
      <c r="D361" s="1579"/>
      <c r="E361" s="663" t="s">
        <v>1770</v>
      </c>
      <c r="F361" s="564" t="s">
        <v>167</v>
      </c>
      <c r="G361" s="1565"/>
      <c r="H361" s="1562"/>
      <c r="I361" s="569" t="str">
        <f>IF(F361="x","50%","0")</f>
        <v>50%</v>
      </c>
      <c r="J361" s="1550"/>
      <c r="K361" s="844"/>
    </row>
    <row r="362" spans="1:11" ht="18.75" customHeight="1" thickBot="1" x14ac:dyDescent="0.25">
      <c r="A362" s="1938"/>
      <c r="B362" s="2052"/>
      <c r="C362" s="1957"/>
      <c r="D362" s="1580"/>
      <c r="E362" s="664" t="s">
        <v>1771</v>
      </c>
      <c r="F362" s="279"/>
      <c r="G362" s="1665"/>
      <c r="H362" s="1555"/>
      <c r="I362" s="570" t="str">
        <f>IF(F362="x","0","0")</f>
        <v>0</v>
      </c>
      <c r="J362" s="1551"/>
      <c r="K362" s="844"/>
    </row>
    <row r="363" spans="1:11" x14ac:dyDescent="0.2">
      <c r="A363" s="1938"/>
      <c r="B363" s="2052"/>
      <c r="C363" s="1957"/>
      <c r="D363" s="1659" t="s">
        <v>1772</v>
      </c>
      <c r="E363" s="684" t="s">
        <v>1773</v>
      </c>
      <c r="F363" s="1384" t="s">
        <v>1776</v>
      </c>
      <c r="G363" s="1664" t="s">
        <v>2767</v>
      </c>
      <c r="H363" s="1559" t="s">
        <v>2697</v>
      </c>
      <c r="I363" s="573">
        <v>0.25</v>
      </c>
      <c r="J363" s="1549">
        <f>IF(F363="i) En construcción",25%,IF(F363="j) En revisión ",50%,IF(F363="k) En aprobación",75%,IF(F363="l) Revisado, Aprobado y divulgado por el comité institucional de desarrollo administrativo o el que haga sus veces.",100%,0))))</f>
        <v>1</v>
      </c>
      <c r="K363" s="844"/>
    </row>
    <row r="364" spans="1:11" ht="15" customHeight="1" x14ac:dyDescent="0.2">
      <c r="A364" s="1938"/>
      <c r="B364" s="2052"/>
      <c r="C364" s="1957"/>
      <c r="D364" s="1662"/>
      <c r="E364" s="685" t="s">
        <v>1774</v>
      </c>
      <c r="F364" s="1522"/>
      <c r="G364" s="1565"/>
      <c r="H364" s="1562"/>
      <c r="I364" s="591">
        <v>0.5</v>
      </c>
      <c r="J364" s="1550"/>
      <c r="K364" s="844"/>
    </row>
    <row r="365" spans="1:11" ht="15" customHeight="1" x14ac:dyDescent="0.2">
      <c r="A365" s="1938"/>
      <c r="B365" s="2052"/>
      <c r="C365" s="1957"/>
      <c r="D365" s="1662"/>
      <c r="E365" s="685" t="s">
        <v>1775</v>
      </c>
      <c r="F365" s="1522"/>
      <c r="G365" s="1565"/>
      <c r="H365" s="1562"/>
      <c r="I365" s="591">
        <v>0.75</v>
      </c>
      <c r="J365" s="1550"/>
      <c r="K365" s="844"/>
    </row>
    <row r="366" spans="1:11" ht="24.75" customHeight="1" x14ac:dyDescent="0.2">
      <c r="A366" s="1938"/>
      <c r="B366" s="2052"/>
      <c r="C366" s="1957"/>
      <c r="D366" s="1662"/>
      <c r="E366" s="685" t="s">
        <v>1776</v>
      </c>
      <c r="F366" s="1522"/>
      <c r="G366" s="1565"/>
      <c r="H366" s="1562"/>
      <c r="I366" s="591">
        <v>1</v>
      </c>
      <c r="J366" s="1550"/>
      <c r="K366" s="844"/>
    </row>
    <row r="367" spans="1:11" ht="15.75" customHeight="1" thickBot="1" x14ac:dyDescent="0.25">
      <c r="A367" s="1938"/>
      <c r="B367" s="2052"/>
      <c r="C367" s="1950"/>
      <c r="D367" s="1663"/>
      <c r="E367" s="686" t="s">
        <v>1777</v>
      </c>
      <c r="F367" s="1371"/>
      <c r="G367" s="1665"/>
      <c r="H367" s="1555"/>
      <c r="I367" s="570" t="str">
        <f>IF(F367="x","0","0")</f>
        <v>0</v>
      </c>
      <c r="J367" s="1551"/>
      <c r="K367" s="844"/>
    </row>
    <row r="368" spans="1:11" ht="60" customHeight="1" x14ac:dyDescent="0.2">
      <c r="A368" s="1938"/>
      <c r="B368" s="2052"/>
      <c r="C368" s="1943" t="s">
        <v>2636</v>
      </c>
      <c r="D368" s="1946" t="s">
        <v>2759</v>
      </c>
      <c r="E368" s="755" t="s">
        <v>1619</v>
      </c>
      <c r="F368" s="1265" t="s">
        <v>1619</v>
      </c>
      <c r="G368" s="1664" t="s">
        <v>2767</v>
      </c>
      <c r="H368" s="1559" t="s">
        <v>2698</v>
      </c>
      <c r="I368" s="573">
        <v>1</v>
      </c>
      <c r="J368" s="2029">
        <f>IF(F368="n) Sí",100%,0)</f>
        <v>1</v>
      </c>
      <c r="K368" s="844"/>
    </row>
    <row r="369" spans="1:11" ht="60" customHeight="1" thickBot="1" x14ac:dyDescent="0.25">
      <c r="A369" s="1938"/>
      <c r="B369" s="2052"/>
      <c r="C369" s="1945"/>
      <c r="D369" s="1947"/>
      <c r="E369" s="765" t="s">
        <v>1621</v>
      </c>
      <c r="F369" s="1625"/>
      <c r="G369" s="1665"/>
      <c r="H369" s="1561"/>
      <c r="I369" s="570" t="str">
        <f>IF(F369="x","0","0")</f>
        <v>0</v>
      </c>
      <c r="J369" s="2030"/>
      <c r="K369" s="844"/>
    </row>
    <row r="370" spans="1:11" x14ac:dyDescent="0.2">
      <c r="A370" s="1938"/>
      <c r="B370" s="2052"/>
      <c r="C370" s="2038" t="s">
        <v>2637</v>
      </c>
      <c r="D370" s="1659" t="s">
        <v>2760</v>
      </c>
      <c r="E370" s="684" t="s">
        <v>1778</v>
      </c>
      <c r="F370" s="1384" t="s">
        <v>1780</v>
      </c>
      <c r="G370" s="1664" t="s">
        <v>2768</v>
      </c>
      <c r="H370" s="1559" t="s">
        <v>2699</v>
      </c>
      <c r="I370" s="573">
        <v>0.25</v>
      </c>
      <c r="J370" s="1549">
        <f>IF(F370="p) En construcción",25%,IF(F370="q) En revisión ",50%,IF(F370="r) En aprobación",75%,IF(F370="s) Revisado, Aprobado y divulgado por comité institucional de desarrollo administrativo o el que haga sus veces.",100%,0))))</f>
        <v>0.75</v>
      </c>
      <c r="K370" s="844"/>
    </row>
    <row r="371" spans="1:11" ht="15" customHeight="1" x14ac:dyDescent="0.2">
      <c r="A371" s="1938"/>
      <c r="B371" s="2052"/>
      <c r="C371" s="2039"/>
      <c r="D371" s="1662"/>
      <c r="E371" s="685" t="s">
        <v>1779</v>
      </c>
      <c r="F371" s="1522"/>
      <c r="G371" s="1565"/>
      <c r="H371" s="1562"/>
      <c r="I371" s="591">
        <v>0.5</v>
      </c>
      <c r="J371" s="1550"/>
      <c r="K371" s="844"/>
    </row>
    <row r="372" spans="1:11" ht="15" customHeight="1" x14ac:dyDescent="0.2">
      <c r="A372" s="1938"/>
      <c r="B372" s="2052"/>
      <c r="C372" s="2039"/>
      <c r="D372" s="1662"/>
      <c r="E372" s="685" t="s">
        <v>1780</v>
      </c>
      <c r="F372" s="1522"/>
      <c r="G372" s="1565"/>
      <c r="H372" s="1562"/>
      <c r="I372" s="591">
        <v>0.75</v>
      </c>
      <c r="J372" s="1550"/>
      <c r="K372" s="844"/>
    </row>
    <row r="373" spans="1:11" ht="24.75" customHeight="1" x14ac:dyDescent="0.2">
      <c r="A373" s="1938"/>
      <c r="B373" s="2052"/>
      <c r="C373" s="2039"/>
      <c r="D373" s="1662"/>
      <c r="E373" s="685" t="s">
        <v>1781</v>
      </c>
      <c r="F373" s="1522"/>
      <c r="G373" s="1565"/>
      <c r="H373" s="1562"/>
      <c r="I373" s="591">
        <v>1</v>
      </c>
      <c r="J373" s="1550"/>
      <c r="K373" s="844"/>
    </row>
    <row r="374" spans="1:11" ht="30.75" customHeight="1" thickBot="1" x14ac:dyDescent="0.25">
      <c r="A374" s="1938"/>
      <c r="B374" s="2052"/>
      <c r="C374" s="2039"/>
      <c r="D374" s="1663"/>
      <c r="E374" s="686" t="s">
        <v>1782</v>
      </c>
      <c r="F374" s="1371"/>
      <c r="G374" s="1665"/>
      <c r="H374" s="1555"/>
      <c r="I374" s="570" t="str">
        <f>IF(F374="x","0","0")</f>
        <v>0</v>
      </c>
      <c r="J374" s="1551"/>
      <c r="K374" s="844"/>
    </row>
    <row r="375" spans="1:11" x14ac:dyDescent="0.2">
      <c r="A375" s="1938"/>
      <c r="B375" s="2052"/>
      <c r="C375" s="1944"/>
      <c r="D375" s="1645" t="s">
        <v>2761</v>
      </c>
      <c r="E375" s="682" t="s">
        <v>1783</v>
      </c>
      <c r="F375" s="1265" t="s">
        <v>1784</v>
      </c>
      <c r="G375" s="1664" t="s">
        <v>2768</v>
      </c>
      <c r="H375" s="1664" t="s">
        <v>2700</v>
      </c>
      <c r="I375" s="587">
        <v>1</v>
      </c>
      <c r="J375" s="1897">
        <f>IF(F375="u) Sí",100%,IF(F375="v) En Desarrollo/En proceso",50%,0))</f>
        <v>0.5</v>
      </c>
      <c r="K375" s="844"/>
    </row>
    <row r="376" spans="1:11" ht="15" customHeight="1" x14ac:dyDescent="0.2">
      <c r="A376" s="1938"/>
      <c r="B376" s="2052"/>
      <c r="C376" s="1944"/>
      <c r="D376" s="1646"/>
      <c r="E376" s="672" t="s">
        <v>1784</v>
      </c>
      <c r="F376" s="2002"/>
      <c r="G376" s="1565"/>
      <c r="H376" s="1565"/>
      <c r="I376" s="591">
        <v>0.5</v>
      </c>
      <c r="J376" s="1550"/>
      <c r="K376" s="844"/>
    </row>
    <row r="377" spans="1:11" ht="26.25" customHeight="1" thickBot="1" x14ac:dyDescent="0.25">
      <c r="A377" s="1938"/>
      <c r="B377" s="2052"/>
      <c r="C377" s="1945"/>
      <c r="D377" s="1947"/>
      <c r="E377" s="673" t="s">
        <v>1785</v>
      </c>
      <c r="F377" s="1625"/>
      <c r="G377" s="1665"/>
      <c r="H377" s="1665"/>
      <c r="I377" s="570" t="str">
        <f>IF(F377="x","0","0")</f>
        <v>0</v>
      </c>
      <c r="J377" s="1551"/>
      <c r="K377" s="844"/>
    </row>
    <row r="378" spans="1:11" ht="24" x14ac:dyDescent="0.2">
      <c r="A378" s="1938"/>
      <c r="B378" s="2052"/>
      <c r="C378" s="2038" t="s">
        <v>2638</v>
      </c>
      <c r="D378" s="1556" t="s">
        <v>1786</v>
      </c>
      <c r="E378" s="658" t="s">
        <v>1787</v>
      </c>
      <c r="F378" s="276" t="s">
        <v>167</v>
      </c>
      <c r="G378" s="568">
        <v>12.5</v>
      </c>
      <c r="H378" s="2041" t="s">
        <v>2701</v>
      </c>
      <c r="I378" s="2044">
        <f>SUMIF(F378:F384,"X",G378:G384)</f>
        <v>162.49</v>
      </c>
      <c r="J378" s="2047">
        <f>IF(I378=99.99,100%,IF(I378=83.33,75%,IF(I378=12.5,12.5%,IF(I378=45.83,50%,IF(I378=37.5,50%,0)))))</f>
        <v>0</v>
      </c>
      <c r="K378" s="844"/>
    </row>
    <row r="379" spans="1:11" ht="24" x14ac:dyDescent="0.2">
      <c r="A379" s="1938"/>
      <c r="B379" s="2052"/>
      <c r="C379" s="2039"/>
      <c r="D379" s="1557"/>
      <c r="E379" s="659" t="s">
        <v>1788</v>
      </c>
      <c r="F379" s="564" t="s">
        <v>167</v>
      </c>
      <c r="G379" s="569">
        <v>33.33</v>
      </c>
      <c r="H379" s="2042"/>
      <c r="I379" s="2045"/>
      <c r="J379" s="2048"/>
      <c r="K379" s="844"/>
    </row>
    <row r="380" spans="1:11" x14ac:dyDescent="0.2">
      <c r="A380" s="1938"/>
      <c r="B380" s="2052"/>
      <c r="C380" s="2039"/>
      <c r="D380" s="1557"/>
      <c r="E380" s="659" t="s">
        <v>1789</v>
      </c>
      <c r="F380" s="564" t="s">
        <v>167</v>
      </c>
      <c r="G380" s="569">
        <v>25</v>
      </c>
      <c r="H380" s="2042"/>
      <c r="I380" s="2045"/>
      <c r="J380" s="2048"/>
      <c r="K380" s="844"/>
    </row>
    <row r="381" spans="1:11" x14ac:dyDescent="0.2">
      <c r="A381" s="1938"/>
      <c r="B381" s="2052"/>
      <c r="C381" s="2039"/>
      <c r="D381" s="1557"/>
      <c r="E381" s="659" t="s">
        <v>1790</v>
      </c>
      <c r="F381" s="564" t="s">
        <v>167</v>
      </c>
      <c r="G381" s="569">
        <v>33.33</v>
      </c>
      <c r="H381" s="2042"/>
      <c r="I381" s="2045"/>
      <c r="J381" s="2048"/>
      <c r="K381" s="844"/>
    </row>
    <row r="382" spans="1:11" x14ac:dyDescent="0.2">
      <c r="A382" s="1938"/>
      <c r="B382" s="2052"/>
      <c r="C382" s="2039"/>
      <c r="D382" s="1557"/>
      <c r="E382" s="659" t="s">
        <v>1791</v>
      </c>
      <c r="F382" s="564" t="s">
        <v>167</v>
      </c>
      <c r="G382" s="569">
        <v>25</v>
      </c>
      <c r="H382" s="2042"/>
      <c r="I382" s="2045"/>
      <c r="J382" s="2048"/>
      <c r="K382" s="844"/>
    </row>
    <row r="383" spans="1:11" x14ac:dyDescent="0.2">
      <c r="A383" s="1938"/>
      <c r="B383" s="2052"/>
      <c r="C383" s="2039"/>
      <c r="D383" s="1557"/>
      <c r="E383" s="659" t="s">
        <v>1792</v>
      </c>
      <c r="F383" s="564" t="s">
        <v>167</v>
      </c>
      <c r="G383" s="569">
        <v>33.33</v>
      </c>
      <c r="H383" s="2042"/>
      <c r="I383" s="2045"/>
      <c r="J383" s="2048"/>
      <c r="K383" s="844"/>
    </row>
    <row r="384" spans="1:11" ht="12.75" thickBot="1" x14ac:dyDescent="0.25">
      <c r="A384" s="1938"/>
      <c r="B384" s="2052"/>
      <c r="C384" s="2039"/>
      <c r="D384" s="1558"/>
      <c r="E384" s="660" t="s">
        <v>1793</v>
      </c>
      <c r="F384" s="279"/>
      <c r="G384" s="570">
        <v>0</v>
      </c>
      <c r="H384" s="2043"/>
      <c r="I384" s="2046"/>
      <c r="J384" s="2049"/>
      <c r="K384" s="844"/>
    </row>
    <row r="385" spans="1:11" ht="14.25" customHeight="1" x14ac:dyDescent="0.2">
      <c r="A385" s="1938"/>
      <c r="B385" s="2052"/>
      <c r="C385" s="2039"/>
      <c r="D385" s="1659" t="s">
        <v>2762</v>
      </c>
      <c r="E385" s="684" t="s">
        <v>1794</v>
      </c>
      <c r="F385" s="1265" t="s">
        <v>1794</v>
      </c>
      <c r="G385" s="1664" t="s">
        <v>2767</v>
      </c>
      <c r="H385" s="1664" t="s">
        <v>2702</v>
      </c>
      <c r="I385" s="573">
        <v>1</v>
      </c>
      <c r="J385" s="1897">
        <f>IF(F385="ae) Sí",100%,IF(F385="af) En Desarrollo/En proceso",50%,0))</f>
        <v>1</v>
      </c>
      <c r="K385" s="844"/>
    </row>
    <row r="386" spans="1:11" ht="32.25" customHeight="1" x14ac:dyDescent="0.2">
      <c r="A386" s="1938"/>
      <c r="B386" s="2052"/>
      <c r="C386" s="2039"/>
      <c r="D386" s="1662"/>
      <c r="E386" s="685" t="s">
        <v>1795</v>
      </c>
      <c r="F386" s="2002"/>
      <c r="G386" s="1565"/>
      <c r="H386" s="1565"/>
      <c r="I386" s="591">
        <v>0.5</v>
      </c>
      <c r="J386" s="1550"/>
      <c r="K386" s="844"/>
    </row>
    <row r="387" spans="1:11" ht="36" customHeight="1" thickBot="1" x14ac:dyDescent="0.25">
      <c r="A387" s="1938"/>
      <c r="B387" s="2052"/>
      <c r="C387" s="2039"/>
      <c r="D387" s="1663"/>
      <c r="E387" s="686" t="s">
        <v>1796</v>
      </c>
      <c r="F387" s="1625"/>
      <c r="G387" s="1665"/>
      <c r="H387" s="1665"/>
      <c r="I387" s="570" t="str">
        <f>IF(F387="x","0","0")</f>
        <v>0</v>
      </c>
      <c r="J387" s="1551"/>
      <c r="K387" s="844"/>
    </row>
    <row r="388" spans="1:11" x14ac:dyDescent="0.2">
      <c r="A388" s="1938"/>
      <c r="B388" s="2052"/>
      <c r="C388" s="2039"/>
      <c r="D388" s="1585" t="s">
        <v>2763</v>
      </c>
      <c r="E388" s="671" t="s">
        <v>1797</v>
      </c>
      <c r="F388" s="1384" t="s">
        <v>1797</v>
      </c>
      <c r="G388" s="1664" t="s">
        <v>2767</v>
      </c>
      <c r="H388" s="1559" t="s">
        <v>2769</v>
      </c>
      <c r="I388" s="573">
        <v>0.25</v>
      </c>
      <c r="J388" s="1549">
        <f>IF(F388="ah) En construcción",25%,IF(F388="ai) En revisión",50%,IF(F388="aj) En aprobación",75%,IF(F388="ak) Revisado, Aprobado y divulgado por comité institucional de desarrollo o el que haga sus veces.",100%,0))))</f>
        <v>0.25</v>
      </c>
      <c r="K388" s="844"/>
    </row>
    <row r="389" spans="1:11" ht="15" customHeight="1" x14ac:dyDescent="0.2">
      <c r="A389" s="1938"/>
      <c r="B389" s="2052"/>
      <c r="C389" s="2039"/>
      <c r="D389" s="1586"/>
      <c r="E389" s="672" t="s">
        <v>1798</v>
      </c>
      <c r="F389" s="1522"/>
      <c r="G389" s="1565"/>
      <c r="H389" s="1562"/>
      <c r="I389" s="591">
        <v>0.5</v>
      </c>
      <c r="J389" s="1550"/>
      <c r="K389" s="844"/>
    </row>
    <row r="390" spans="1:11" ht="15" customHeight="1" x14ac:dyDescent="0.2">
      <c r="A390" s="1938"/>
      <c r="B390" s="2052"/>
      <c r="C390" s="2039"/>
      <c r="D390" s="1586"/>
      <c r="E390" s="672" t="s">
        <v>1799</v>
      </c>
      <c r="F390" s="1522"/>
      <c r="G390" s="1565"/>
      <c r="H390" s="1562"/>
      <c r="I390" s="591">
        <v>0.75</v>
      </c>
      <c r="J390" s="1550"/>
      <c r="K390" s="844"/>
    </row>
    <row r="391" spans="1:11" ht="15" customHeight="1" x14ac:dyDescent="0.2">
      <c r="A391" s="1938"/>
      <c r="B391" s="2052"/>
      <c r="C391" s="2039"/>
      <c r="D391" s="1586"/>
      <c r="E391" s="672" t="s">
        <v>1800</v>
      </c>
      <c r="F391" s="1522"/>
      <c r="G391" s="1565"/>
      <c r="H391" s="1562"/>
      <c r="I391" s="591">
        <v>1</v>
      </c>
      <c r="J391" s="1550"/>
      <c r="K391" s="844"/>
    </row>
    <row r="392" spans="1:11" ht="15.75" customHeight="1" thickBot="1" x14ac:dyDescent="0.25">
      <c r="A392" s="1938"/>
      <c r="B392" s="2052"/>
      <c r="C392" s="2040"/>
      <c r="D392" s="1587"/>
      <c r="E392" s="673" t="s">
        <v>1801</v>
      </c>
      <c r="F392" s="1371"/>
      <c r="G392" s="1665"/>
      <c r="H392" s="1555"/>
      <c r="I392" s="570" t="str">
        <f>IF(F392="x","0","0")</f>
        <v>0</v>
      </c>
      <c r="J392" s="1551"/>
      <c r="K392" s="844"/>
    </row>
    <row r="393" spans="1:11" ht="27.75" customHeight="1" x14ac:dyDescent="0.2">
      <c r="A393" s="1938"/>
      <c r="B393" s="2061"/>
      <c r="C393" s="1966" t="s">
        <v>2639</v>
      </c>
      <c r="D393" s="1659" t="s">
        <v>2764</v>
      </c>
      <c r="E393" s="684" t="s">
        <v>1802</v>
      </c>
      <c r="F393" s="1265" t="s">
        <v>1802</v>
      </c>
      <c r="G393" s="1664" t="s">
        <v>2767</v>
      </c>
      <c r="H393" s="1664" t="s">
        <v>2703</v>
      </c>
      <c r="I393" s="573">
        <v>1</v>
      </c>
      <c r="J393" s="1897">
        <f>IF(F393="am) Sí",100%,IF(F393="an) En Desarrollo",50%,0))</f>
        <v>1</v>
      </c>
      <c r="K393" s="844"/>
    </row>
    <row r="394" spans="1:11" ht="37.5" customHeight="1" x14ac:dyDescent="0.2">
      <c r="A394" s="1938"/>
      <c r="B394" s="2061"/>
      <c r="C394" s="1967"/>
      <c r="D394" s="1662"/>
      <c r="E394" s="685" t="s">
        <v>1803</v>
      </c>
      <c r="F394" s="2002"/>
      <c r="G394" s="1565"/>
      <c r="H394" s="1565"/>
      <c r="I394" s="591">
        <v>0.5</v>
      </c>
      <c r="J394" s="1550"/>
      <c r="K394" s="844"/>
    </row>
    <row r="395" spans="1:11" ht="32.25" customHeight="1" thickBot="1" x14ac:dyDescent="0.25">
      <c r="A395" s="1938"/>
      <c r="B395" s="2061"/>
      <c r="C395" s="1967"/>
      <c r="D395" s="1663"/>
      <c r="E395" s="686" t="s">
        <v>1804</v>
      </c>
      <c r="F395" s="1625"/>
      <c r="G395" s="1665"/>
      <c r="H395" s="1665"/>
      <c r="I395" s="570" t="str">
        <f>IF(F395="x","0","0")</f>
        <v>0</v>
      </c>
      <c r="J395" s="1551"/>
      <c r="K395" s="844"/>
    </row>
    <row r="396" spans="1:11" x14ac:dyDescent="0.2">
      <c r="A396" s="1938"/>
      <c r="B396" s="2061"/>
      <c r="C396" s="1967"/>
      <c r="D396" s="1556" t="s">
        <v>1805</v>
      </c>
      <c r="E396" s="658" t="s">
        <v>1806</v>
      </c>
      <c r="F396" s="276" t="s">
        <v>167</v>
      </c>
      <c r="G396" s="1664" t="s">
        <v>2671</v>
      </c>
      <c r="H396" s="1559" t="s">
        <v>1807</v>
      </c>
      <c r="I396" s="579">
        <f>IF(F396="X",0.25,0)</f>
        <v>0.25</v>
      </c>
      <c r="J396" s="1909">
        <f>SUMIF(F396:F399,"x",I396:I399)</f>
        <v>1</v>
      </c>
      <c r="K396" s="844"/>
    </row>
    <row r="397" spans="1:11" x14ac:dyDescent="0.2">
      <c r="A397" s="1938"/>
      <c r="B397" s="2061"/>
      <c r="C397" s="1967"/>
      <c r="D397" s="1557"/>
      <c r="E397" s="659" t="s">
        <v>1808</v>
      </c>
      <c r="F397" s="564" t="s">
        <v>167</v>
      </c>
      <c r="G397" s="1565"/>
      <c r="H397" s="1560"/>
      <c r="I397" s="574">
        <f>IF(F397="X",0.25,0)</f>
        <v>0.25</v>
      </c>
      <c r="J397" s="1910"/>
      <c r="K397" s="844"/>
    </row>
    <row r="398" spans="1:11" x14ac:dyDescent="0.2">
      <c r="A398" s="1938"/>
      <c r="B398" s="2061"/>
      <c r="C398" s="1967"/>
      <c r="D398" s="1557"/>
      <c r="E398" s="659" t="s">
        <v>1809</v>
      </c>
      <c r="F398" s="564" t="s">
        <v>167</v>
      </c>
      <c r="G398" s="1565"/>
      <c r="H398" s="1560"/>
      <c r="I398" s="574">
        <f>IF(F398="X",0.25,0)</f>
        <v>0.25</v>
      </c>
      <c r="J398" s="1910"/>
      <c r="K398" s="844"/>
    </row>
    <row r="399" spans="1:11" x14ac:dyDescent="0.2">
      <c r="A399" s="1938"/>
      <c r="B399" s="2061"/>
      <c r="C399" s="1967"/>
      <c r="D399" s="1557"/>
      <c r="E399" s="659" t="s">
        <v>1810</v>
      </c>
      <c r="F399" s="564" t="s">
        <v>167</v>
      </c>
      <c r="G399" s="1565"/>
      <c r="H399" s="1560"/>
      <c r="I399" s="574">
        <f>IF(F399="X",0.25,0)</f>
        <v>0.25</v>
      </c>
      <c r="J399" s="1910"/>
      <c r="K399" s="844"/>
    </row>
    <row r="400" spans="1:11" ht="24" customHeight="1" thickBot="1" x14ac:dyDescent="0.25">
      <c r="A400" s="1938"/>
      <c r="B400" s="2062"/>
      <c r="C400" s="1967"/>
      <c r="D400" s="1558"/>
      <c r="E400" s="660" t="s">
        <v>2765</v>
      </c>
      <c r="F400" s="279"/>
      <c r="G400" s="1665"/>
      <c r="H400" s="1561"/>
      <c r="I400" s="570">
        <v>0</v>
      </c>
      <c r="J400" s="1911"/>
      <c r="K400" s="844"/>
    </row>
    <row r="401" spans="1:11" ht="16.5" thickBot="1" x14ac:dyDescent="0.25">
      <c r="A401" s="1938"/>
      <c r="B401" s="1958" t="s">
        <v>2158</v>
      </c>
      <c r="C401" s="2060"/>
      <c r="D401" s="1959"/>
      <c r="E401" s="1959"/>
      <c r="F401" s="1959"/>
      <c r="G401" s="1959"/>
      <c r="H401" s="1959" t="s">
        <v>1811</v>
      </c>
      <c r="I401" s="1959"/>
      <c r="J401" s="586">
        <f>AVERAGE(J355:J400)</f>
        <v>0.75</v>
      </c>
      <c r="K401" s="121"/>
    </row>
    <row r="402" spans="1:11" ht="15.75" customHeight="1" x14ac:dyDescent="0.2">
      <c r="A402" s="1938"/>
      <c r="B402" s="2051" t="s">
        <v>2640</v>
      </c>
      <c r="C402" s="1943" t="s">
        <v>2704</v>
      </c>
      <c r="D402" s="1940" t="s">
        <v>1812</v>
      </c>
      <c r="E402" s="655" t="s">
        <v>1813</v>
      </c>
      <c r="F402" s="276" t="s">
        <v>167</v>
      </c>
      <c r="G402" s="592">
        <v>1</v>
      </c>
      <c r="H402" s="1559" t="s">
        <v>2705</v>
      </c>
      <c r="I402" s="1554">
        <f>SUMIF(F402:F408,"X",G402:G408)</f>
        <v>5</v>
      </c>
      <c r="J402" s="1549">
        <f>I402/5</f>
        <v>1</v>
      </c>
      <c r="K402" s="844"/>
    </row>
    <row r="403" spans="1:11" ht="17.25" customHeight="1" x14ac:dyDescent="0.2">
      <c r="A403" s="1938"/>
      <c r="B403" s="2052"/>
      <c r="C403" s="1944"/>
      <c r="D403" s="1941"/>
      <c r="E403" s="656" t="s">
        <v>1814</v>
      </c>
      <c r="F403" s="564" t="s">
        <v>167</v>
      </c>
      <c r="G403" s="42">
        <v>1</v>
      </c>
      <c r="H403" s="1562"/>
      <c r="I403" s="1562"/>
      <c r="J403" s="1550"/>
      <c r="K403" s="844"/>
    </row>
    <row r="404" spans="1:11" ht="19.5" customHeight="1" x14ac:dyDescent="0.2">
      <c r="A404" s="1938"/>
      <c r="B404" s="2052"/>
      <c r="C404" s="1944"/>
      <c r="D404" s="1941"/>
      <c r="E404" s="656" t="s">
        <v>1815</v>
      </c>
      <c r="F404" s="564" t="s">
        <v>167</v>
      </c>
      <c r="G404" s="42">
        <v>1</v>
      </c>
      <c r="H404" s="1562"/>
      <c r="I404" s="1562"/>
      <c r="J404" s="1550"/>
      <c r="K404" s="844"/>
    </row>
    <row r="405" spans="1:11" ht="18" customHeight="1" x14ac:dyDescent="0.2">
      <c r="A405" s="1938"/>
      <c r="B405" s="2052"/>
      <c r="C405" s="1944"/>
      <c r="D405" s="1941"/>
      <c r="E405" s="656" t="s">
        <v>1816</v>
      </c>
      <c r="F405" s="564" t="s">
        <v>167</v>
      </c>
      <c r="G405" s="42">
        <v>1</v>
      </c>
      <c r="H405" s="1562"/>
      <c r="I405" s="1562"/>
      <c r="J405" s="1550"/>
      <c r="K405" s="844"/>
    </row>
    <row r="406" spans="1:11" ht="24" x14ac:dyDescent="0.2">
      <c r="A406" s="1938"/>
      <c r="B406" s="2052"/>
      <c r="C406" s="1944"/>
      <c r="D406" s="1941"/>
      <c r="E406" s="663" t="s">
        <v>1817</v>
      </c>
      <c r="F406" s="564" t="s">
        <v>167</v>
      </c>
      <c r="G406" s="42">
        <v>1</v>
      </c>
      <c r="H406" s="1562"/>
      <c r="I406" s="1562"/>
      <c r="J406" s="1550"/>
      <c r="K406" s="844"/>
    </row>
    <row r="407" spans="1:11" x14ac:dyDescent="0.2">
      <c r="A407" s="1938"/>
      <c r="B407" s="2052"/>
      <c r="C407" s="1944"/>
      <c r="D407" s="1941"/>
      <c r="E407" s="656" t="s">
        <v>1818</v>
      </c>
      <c r="F407" s="564"/>
      <c r="G407" s="42">
        <v>0</v>
      </c>
      <c r="H407" s="1562"/>
      <c r="I407" s="1562"/>
      <c r="J407" s="1550"/>
      <c r="K407" s="844"/>
    </row>
    <row r="408" spans="1:11" ht="12.75" thickBot="1" x14ac:dyDescent="0.25">
      <c r="A408" s="1938"/>
      <c r="B408" s="2052"/>
      <c r="C408" s="1945"/>
      <c r="D408" s="1942"/>
      <c r="E408" s="657" t="s">
        <v>1735</v>
      </c>
      <c r="F408" s="279"/>
      <c r="G408" s="593">
        <v>0</v>
      </c>
      <c r="H408" s="1555"/>
      <c r="I408" s="1555"/>
      <c r="J408" s="1551"/>
      <c r="K408" s="844"/>
    </row>
    <row r="409" spans="1:11" ht="24" x14ac:dyDescent="0.2">
      <c r="A409" s="1938"/>
      <c r="B409" s="2052"/>
      <c r="C409" s="1943" t="s">
        <v>2641</v>
      </c>
      <c r="D409" s="1933" t="s">
        <v>1819</v>
      </c>
      <c r="E409" s="658" t="s">
        <v>1820</v>
      </c>
      <c r="F409" s="276" t="s">
        <v>167</v>
      </c>
      <c r="G409" s="568">
        <v>12.5</v>
      </c>
      <c r="H409" s="1559" t="s">
        <v>2770</v>
      </c>
      <c r="I409" s="2044">
        <f>SUMIF(F409:F415,"X",G409:G415)</f>
        <v>37.5</v>
      </c>
      <c r="J409" s="2054">
        <f>IF(I409=12.5,12.5%,IF(I409=33.33,12.5%,IF(I409=25,25%,IF(I409=66.66,25%,IF(I409=45.83,25%,IF(I409=79.16,75%,IF(I409=99.99,100%,IF(I409=37.5,50%,IF(I409=58.33,75%,0)))))))))</f>
        <v>0.5</v>
      </c>
      <c r="K409" s="844"/>
    </row>
    <row r="410" spans="1:11" ht="24" x14ac:dyDescent="0.2">
      <c r="A410" s="1938"/>
      <c r="B410" s="2052"/>
      <c r="C410" s="1944"/>
      <c r="D410" s="1934"/>
      <c r="E410" s="659" t="s">
        <v>1821</v>
      </c>
      <c r="F410" s="800"/>
      <c r="G410" s="569">
        <v>33.33</v>
      </c>
      <c r="H410" s="1560"/>
      <c r="I410" s="2045"/>
      <c r="J410" s="2055"/>
      <c r="K410" s="844"/>
    </row>
    <row r="411" spans="1:11" ht="24" x14ac:dyDescent="0.2">
      <c r="A411" s="1938"/>
      <c r="B411" s="2052"/>
      <c r="C411" s="1944"/>
      <c r="D411" s="1934"/>
      <c r="E411" s="659" t="s">
        <v>1822</v>
      </c>
      <c r="F411" s="793" t="s">
        <v>167</v>
      </c>
      <c r="G411" s="569">
        <v>12.5</v>
      </c>
      <c r="H411" s="1560"/>
      <c r="I411" s="2045"/>
      <c r="J411" s="2055"/>
      <c r="K411" s="844"/>
    </row>
    <row r="412" spans="1:11" ht="24" x14ac:dyDescent="0.2">
      <c r="A412" s="1938"/>
      <c r="B412" s="2052"/>
      <c r="C412" s="1944"/>
      <c r="D412" s="1934"/>
      <c r="E412" s="659" t="s">
        <v>1823</v>
      </c>
      <c r="F412" s="793"/>
      <c r="G412" s="569">
        <v>33.33</v>
      </c>
      <c r="H412" s="1560"/>
      <c r="I412" s="2045"/>
      <c r="J412" s="2055"/>
      <c r="K412" s="844"/>
    </row>
    <row r="413" spans="1:11" ht="24" x14ac:dyDescent="0.2">
      <c r="A413" s="1938"/>
      <c r="B413" s="2052"/>
      <c r="C413" s="1944"/>
      <c r="D413" s="1934"/>
      <c r="E413" s="659" t="s">
        <v>1824</v>
      </c>
      <c r="F413" s="793" t="s">
        <v>167</v>
      </c>
      <c r="G413" s="569">
        <v>12.5</v>
      </c>
      <c r="H413" s="1560"/>
      <c r="I413" s="2045"/>
      <c r="J413" s="2055"/>
      <c r="K413" s="844"/>
    </row>
    <row r="414" spans="1:11" ht="24" x14ac:dyDescent="0.2">
      <c r="A414" s="1938"/>
      <c r="B414" s="2052"/>
      <c r="C414" s="1944"/>
      <c r="D414" s="1934"/>
      <c r="E414" s="659" t="s">
        <v>1825</v>
      </c>
      <c r="F414" s="793"/>
      <c r="G414" s="569">
        <v>33.33</v>
      </c>
      <c r="H414" s="1560"/>
      <c r="I414" s="2045"/>
      <c r="J414" s="2055"/>
      <c r="K414" s="844"/>
    </row>
    <row r="415" spans="1:11" ht="26.25" customHeight="1" thickBot="1" x14ac:dyDescent="0.25">
      <c r="A415" s="1938"/>
      <c r="B415" s="2052"/>
      <c r="C415" s="1945"/>
      <c r="D415" s="1935"/>
      <c r="E415" s="660" t="s">
        <v>1601</v>
      </c>
      <c r="F415" s="279"/>
      <c r="G415" s="570">
        <v>0</v>
      </c>
      <c r="H415" s="1561"/>
      <c r="I415" s="2046"/>
      <c r="J415" s="2056"/>
      <c r="K415" s="844"/>
    </row>
    <row r="416" spans="1:11" ht="20.25" customHeight="1" x14ac:dyDescent="0.2">
      <c r="A416" s="1938"/>
      <c r="B416" s="2052"/>
      <c r="C416" s="1943" t="s">
        <v>2642</v>
      </c>
      <c r="D416" s="1946" t="s">
        <v>1826</v>
      </c>
      <c r="E416" s="671" t="s">
        <v>1827</v>
      </c>
      <c r="F416" s="1384"/>
      <c r="G416" s="1664" t="s">
        <v>2526</v>
      </c>
      <c r="H416" s="1559" t="s">
        <v>2706</v>
      </c>
      <c r="I416" s="573">
        <v>0.25</v>
      </c>
      <c r="J416" s="1549">
        <f>IF(F416="o) Lo tiene pero no lo ejecuta.",25%,IF(F416="p) Lo ejecuta sin tener en cuenta la caracterización de grupos focales (Usuarios, Directivos, Técnicos y Terceros).",50%,IF(F416="q) Lo ejecuta con base a la caracterización de grupos focales (Usuarios, Directivos, Técnicos y Terceros).",100%,0)))</f>
        <v>0</v>
      </c>
      <c r="K416" s="844"/>
    </row>
    <row r="417" spans="1:11" ht="31.5" customHeight="1" x14ac:dyDescent="0.2">
      <c r="A417" s="1938"/>
      <c r="B417" s="2052"/>
      <c r="C417" s="1944"/>
      <c r="D417" s="1646"/>
      <c r="E417" s="672" t="s">
        <v>1828</v>
      </c>
      <c r="F417" s="1522"/>
      <c r="G417" s="1565"/>
      <c r="H417" s="1562"/>
      <c r="I417" s="591">
        <v>0.5</v>
      </c>
      <c r="J417" s="1550"/>
      <c r="K417" s="844"/>
    </row>
    <row r="418" spans="1:11" ht="34.5" customHeight="1" x14ac:dyDescent="0.2">
      <c r="A418" s="1938"/>
      <c r="B418" s="2052"/>
      <c r="C418" s="1944"/>
      <c r="D418" s="1646"/>
      <c r="E418" s="672" t="s">
        <v>1829</v>
      </c>
      <c r="F418" s="1522"/>
      <c r="G418" s="1565"/>
      <c r="H418" s="1562"/>
      <c r="I418" s="591">
        <v>1</v>
      </c>
      <c r="J418" s="1550"/>
      <c r="K418" s="844"/>
    </row>
    <row r="419" spans="1:11" ht="40.5" customHeight="1" thickBot="1" x14ac:dyDescent="0.25">
      <c r="A419" s="1938"/>
      <c r="B419" s="2053"/>
      <c r="C419" s="1945"/>
      <c r="D419" s="1947"/>
      <c r="E419" s="673" t="s">
        <v>1830</v>
      </c>
      <c r="F419" s="1371"/>
      <c r="G419" s="1665"/>
      <c r="H419" s="1555"/>
      <c r="I419" s="570" t="str">
        <f>IF(F419="x","0","0")</f>
        <v>0</v>
      </c>
      <c r="J419" s="1551"/>
      <c r="K419" s="844"/>
    </row>
    <row r="420" spans="1:11" ht="16.5" thickBot="1" x14ac:dyDescent="0.25">
      <c r="A420" s="1938"/>
      <c r="B420" s="1958" t="s">
        <v>2159</v>
      </c>
      <c r="C420" s="1959"/>
      <c r="D420" s="1959"/>
      <c r="E420" s="1959"/>
      <c r="F420" s="1959"/>
      <c r="G420" s="1959"/>
      <c r="H420" s="1959" t="s">
        <v>1831</v>
      </c>
      <c r="I420" s="1959"/>
      <c r="J420" s="586">
        <f>(J402+J409+J416)/3</f>
        <v>0.5</v>
      </c>
      <c r="K420" s="1073"/>
    </row>
    <row r="421" spans="1:11" ht="19.5" customHeight="1" x14ac:dyDescent="0.2">
      <c r="A421" s="1938"/>
      <c r="B421" s="1956" t="s">
        <v>2643</v>
      </c>
      <c r="C421" s="2038" t="s">
        <v>2644</v>
      </c>
      <c r="D421" s="1659" t="s">
        <v>1832</v>
      </c>
      <c r="E421" s="684" t="s">
        <v>1643</v>
      </c>
      <c r="F421" s="1265" t="s">
        <v>1643</v>
      </c>
      <c r="G421" s="1664" t="s">
        <v>2526</v>
      </c>
      <c r="H421" s="1559" t="s">
        <v>2707</v>
      </c>
      <c r="I421" s="573">
        <v>1</v>
      </c>
      <c r="J421" s="2029">
        <f>IF(F421="a) Sí",100%,0)</f>
        <v>1</v>
      </c>
      <c r="K421" s="844"/>
    </row>
    <row r="422" spans="1:11" ht="36.75" customHeight="1" thickBot="1" x14ac:dyDescent="0.25">
      <c r="A422" s="1938"/>
      <c r="B422" s="1956"/>
      <c r="C422" s="2039"/>
      <c r="D422" s="1663"/>
      <c r="E422" s="686" t="s">
        <v>1644</v>
      </c>
      <c r="F422" s="1625"/>
      <c r="G422" s="1665"/>
      <c r="H422" s="1561"/>
      <c r="I422" s="570" t="str">
        <f>IF(F422="x","0","0")</f>
        <v>0</v>
      </c>
      <c r="J422" s="2030"/>
      <c r="K422" s="844"/>
    </row>
    <row r="423" spans="1:11" ht="15" customHeight="1" x14ac:dyDescent="0.2">
      <c r="A423" s="1938"/>
      <c r="B423" s="1956"/>
      <c r="C423" s="2039"/>
      <c r="D423" s="1585" t="s">
        <v>1833</v>
      </c>
      <c r="E423" s="671" t="s">
        <v>1834</v>
      </c>
      <c r="F423" s="1384" t="s">
        <v>1834</v>
      </c>
      <c r="G423" s="1664" t="s">
        <v>2526</v>
      </c>
      <c r="H423" s="1559" t="s">
        <v>2772</v>
      </c>
      <c r="I423" s="572">
        <v>1</v>
      </c>
      <c r="J423" s="1549">
        <f>IF(F423="c) Seguimiento a la medición de efectividad de los controles.",100%,IF(F423="d) Determinar la eficacia en la gestión de incidentes de seguridad de la información en la entidad.",100%,IF(F423="e) c y d",100%,0)))</f>
        <v>1</v>
      </c>
      <c r="K423" s="844"/>
    </row>
    <row r="424" spans="1:11" x14ac:dyDescent="0.2">
      <c r="A424" s="1938"/>
      <c r="B424" s="1956"/>
      <c r="C424" s="2039"/>
      <c r="D424" s="1586"/>
      <c r="E424" s="672" t="s">
        <v>1835</v>
      </c>
      <c r="F424" s="1522"/>
      <c r="G424" s="1565"/>
      <c r="H424" s="2063"/>
      <c r="I424" s="539">
        <v>1</v>
      </c>
      <c r="J424" s="1892"/>
      <c r="K424" s="844"/>
    </row>
    <row r="425" spans="1:11" x14ac:dyDescent="0.2">
      <c r="A425" s="1938"/>
      <c r="B425" s="1956"/>
      <c r="C425" s="2039"/>
      <c r="D425" s="1586"/>
      <c r="E425" s="672" t="s">
        <v>1836</v>
      </c>
      <c r="F425" s="1522"/>
      <c r="G425" s="1565"/>
      <c r="H425" s="2063"/>
      <c r="I425" s="539">
        <v>1</v>
      </c>
      <c r="J425" s="1892"/>
      <c r="K425" s="844"/>
    </row>
    <row r="426" spans="1:11" ht="12.75" thickBot="1" x14ac:dyDescent="0.25">
      <c r="A426" s="1938"/>
      <c r="B426" s="1956"/>
      <c r="C426" s="2039"/>
      <c r="D426" s="1587"/>
      <c r="E426" s="673" t="s">
        <v>1837</v>
      </c>
      <c r="F426" s="1371"/>
      <c r="G426" s="1665"/>
      <c r="H426" s="1561"/>
      <c r="I426" s="571">
        <v>0</v>
      </c>
      <c r="J426" s="1551"/>
      <c r="K426" s="844"/>
    </row>
    <row r="427" spans="1:11" ht="24.75" thickBot="1" x14ac:dyDescent="0.25">
      <c r="A427" s="1938"/>
      <c r="B427" s="1956"/>
      <c r="C427" s="2039"/>
      <c r="D427" s="1659" t="s">
        <v>1838</v>
      </c>
      <c r="E427" s="684" t="s">
        <v>1839</v>
      </c>
      <c r="F427" s="1384" t="s">
        <v>2771</v>
      </c>
      <c r="G427" s="1664" t="s">
        <v>2671</v>
      </c>
      <c r="H427" s="1559" t="s">
        <v>2773</v>
      </c>
      <c r="I427" s="579">
        <v>1</v>
      </c>
      <c r="J427" s="1549">
        <f>IF(F427="g) Plan de seguimiento, evaluación y análisis de resultados del MSPI, teniendo en cuenta los indicadores de gestión y cumplimiento.",100%,IF(F427="h) Planes de auditoria para la revisión y verificación de la gestión de la seguridad y privacidad de la información al interior de la entidad.",100%,IF(F427="i) g y h",100%,0)))</f>
        <v>1</v>
      </c>
      <c r="K427" s="844"/>
    </row>
    <row r="428" spans="1:11" ht="24.75" customHeight="1" x14ac:dyDescent="0.2">
      <c r="A428" s="1938"/>
      <c r="B428" s="1956"/>
      <c r="C428" s="2039"/>
      <c r="D428" s="1662"/>
      <c r="E428" s="685" t="s">
        <v>2771</v>
      </c>
      <c r="F428" s="1522"/>
      <c r="G428" s="1565"/>
      <c r="H428" s="1560"/>
      <c r="I428" s="579">
        <v>1</v>
      </c>
      <c r="J428" s="1550"/>
      <c r="K428" s="844"/>
    </row>
    <row r="429" spans="1:11" ht="14.25" customHeight="1" x14ac:dyDescent="0.2">
      <c r="A429" s="1938"/>
      <c r="B429" s="1956"/>
      <c r="C429" s="2039"/>
      <c r="D429" s="1662"/>
      <c r="E429" s="685" t="s">
        <v>1840</v>
      </c>
      <c r="F429" s="1522"/>
      <c r="G429" s="1565"/>
      <c r="H429" s="1560"/>
      <c r="I429" s="574">
        <v>1</v>
      </c>
      <c r="J429" s="1550"/>
      <c r="K429" s="844"/>
    </row>
    <row r="430" spans="1:11" ht="15.75" customHeight="1" thickBot="1" x14ac:dyDescent="0.25">
      <c r="A430" s="1938"/>
      <c r="B430" s="1956"/>
      <c r="C430" s="2039"/>
      <c r="D430" s="1663"/>
      <c r="E430" s="686" t="s">
        <v>1841</v>
      </c>
      <c r="F430" s="1371"/>
      <c r="G430" s="1665"/>
      <c r="H430" s="1561"/>
      <c r="I430" s="360">
        <v>0</v>
      </c>
      <c r="J430" s="1551"/>
      <c r="K430" s="844"/>
    </row>
    <row r="431" spans="1:11" ht="18" customHeight="1" x14ac:dyDescent="0.2">
      <c r="A431" s="1938"/>
      <c r="B431" s="1956"/>
      <c r="C431" s="2039"/>
      <c r="D431" s="1585" t="s">
        <v>1842</v>
      </c>
      <c r="E431" s="671" t="s">
        <v>1843</v>
      </c>
      <c r="F431" s="1265" t="s">
        <v>1843</v>
      </c>
      <c r="G431" s="1664" t="s">
        <v>2526</v>
      </c>
      <c r="H431" s="1559" t="s">
        <v>2708</v>
      </c>
      <c r="I431" s="573">
        <v>1</v>
      </c>
      <c r="J431" s="2029">
        <f>IF(F431="k) Sí",100%,0)</f>
        <v>1</v>
      </c>
      <c r="K431" s="844"/>
    </row>
    <row r="432" spans="1:11" ht="47.25" customHeight="1" thickBot="1" x14ac:dyDescent="0.25">
      <c r="A432" s="1938"/>
      <c r="B432" s="1956"/>
      <c r="C432" s="2040"/>
      <c r="D432" s="1587"/>
      <c r="E432" s="673" t="s">
        <v>1754</v>
      </c>
      <c r="F432" s="1625"/>
      <c r="G432" s="1665"/>
      <c r="H432" s="1561"/>
      <c r="I432" s="570" t="str">
        <f>IF(F432="x","0","0")</f>
        <v>0</v>
      </c>
      <c r="J432" s="2030"/>
      <c r="K432" s="844"/>
    </row>
    <row r="433" spans="1:11" ht="42" customHeight="1" x14ac:dyDescent="0.2">
      <c r="A433" s="1938"/>
      <c r="B433" s="1956"/>
      <c r="C433" s="2057" t="s">
        <v>2645</v>
      </c>
      <c r="D433" s="1659" t="s">
        <v>1844</v>
      </c>
      <c r="E433" s="684" t="s">
        <v>1845</v>
      </c>
      <c r="F433" s="1265" t="s">
        <v>1845</v>
      </c>
      <c r="G433" s="1664" t="s">
        <v>2526</v>
      </c>
      <c r="H433" s="1559" t="s">
        <v>2709</v>
      </c>
      <c r="I433" s="573">
        <v>1</v>
      </c>
      <c r="J433" s="2029">
        <f>IF(F433="m) Sí",100%,0)</f>
        <v>1</v>
      </c>
      <c r="K433" s="844"/>
    </row>
    <row r="434" spans="1:11" ht="42.75" customHeight="1" thickBot="1" x14ac:dyDescent="0.25">
      <c r="A434" s="1938"/>
      <c r="B434" s="1956"/>
      <c r="C434" s="2058"/>
      <c r="D434" s="1663"/>
      <c r="E434" s="686" t="s">
        <v>1846</v>
      </c>
      <c r="F434" s="1625"/>
      <c r="G434" s="1665"/>
      <c r="H434" s="1561"/>
      <c r="I434" s="570" t="str">
        <f>IF(F434="x","0","0")</f>
        <v>0</v>
      </c>
      <c r="J434" s="2030"/>
      <c r="K434" s="844"/>
    </row>
    <row r="435" spans="1:11" ht="30.75" customHeight="1" x14ac:dyDescent="0.2">
      <c r="A435" s="1938"/>
      <c r="B435" s="1956"/>
      <c r="C435" s="2058"/>
      <c r="D435" s="1585" t="s">
        <v>1847</v>
      </c>
      <c r="E435" s="671" t="s">
        <v>1848</v>
      </c>
      <c r="F435" s="1265" t="s">
        <v>1848</v>
      </c>
      <c r="G435" s="1664" t="s">
        <v>2526</v>
      </c>
      <c r="H435" s="1559" t="s">
        <v>2710</v>
      </c>
      <c r="I435" s="573">
        <v>1</v>
      </c>
      <c r="J435" s="2029">
        <f>IF(F435="o) Sí",100%,0)</f>
        <v>1</v>
      </c>
      <c r="K435" s="844"/>
    </row>
    <row r="436" spans="1:11" ht="32.25" customHeight="1" thickBot="1" x14ac:dyDescent="0.25">
      <c r="A436" s="1938"/>
      <c r="B436" s="1956"/>
      <c r="C436" s="2058"/>
      <c r="D436" s="1587"/>
      <c r="E436" s="673" t="s">
        <v>1849</v>
      </c>
      <c r="F436" s="1625"/>
      <c r="G436" s="1665"/>
      <c r="H436" s="1561"/>
      <c r="I436" s="570" t="str">
        <f>IF(F436="x","0","0")</f>
        <v>0</v>
      </c>
      <c r="J436" s="2030"/>
      <c r="K436" s="844"/>
    </row>
    <row r="437" spans="1:11" ht="42" customHeight="1" x14ac:dyDescent="0.2">
      <c r="A437" s="1938"/>
      <c r="B437" s="1956"/>
      <c r="C437" s="2058"/>
      <c r="D437" s="1659" t="s">
        <v>1850</v>
      </c>
      <c r="E437" s="684" t="s">
        <v>1851</v>
      </c>
      <c r="F437" s="1265" t="s">
        <v>1851</v>
      </c>
      <c r="G437" s="1664" t="s">
        <v>2526</v>
      </c>
      <c r="H437" s="1559" t="s">
        <v>2711</v>
      </c>
      <c r="I437" s="573">
        <v>1</v>
      </c>
      <c r="J437" s="2029">
        <f>IF(F437="q) Sí",100%,0)</f>
        <v>1</v>
      </c>
      <c r="K437" s="844"/>
    </row>
    <row r="438" spans="1:11" ht="48" customHeight="1" thickBot="1" x14ac:dyDescent="0.25">
      <c r="A438" s="1938"/>
      <c r="B438" s="1956"/>
      <c r="C438" s="2059"/>
      <c r="D438" s="1663"/>
      <c r="E438" s="686" t="s">
        <v>1852</v>
      </c>
      <c r="F438" s="1625"/>
      <c r="G438" s="1665"/>
      <c r="H438" s="1561"/>
      <c r="I438" s="570" t="str">
        <f>IF(F438="x","0","0")</f>
        <v>0</v>
      </c>
      <c r="J438" s="2030"/>
      <c r="K438" s="844"/>
    </row>
    <row r="439" spans="1:11" ht="15.75" x14ac:dyDescent="0.2">
      <c r="A439" s="1939"/>
      <c r="B439" s="1958" t="s">
        <v>2160</v>
      </c>
      <c r="C439" s="1982"/>
      <c r="D439" s="1982"/>
      <c r="E439" s="1982"/>
      <c r="F439" s="1982"/>
      <c r="G439" s="1982"/>
      <c r="H439" s="1982" t="s">
        <v>1853</v>
      </c>
      <c r="I439" s="1982"/>
      <c r="J439" s="578">
        <f>AVERAGE(J421:J438)</f>
        <v>1</v>
      </c>
      <c r="K439" s="121"/>
    </row>
    <row r="440" spans="1:11" ht="16.5" thickBot="1" x14ac:dyDescent="0.25">
      <c r="A440" s="1581" t="s">
        <v>2676</v>
      </c>
      <c r="B440" s="1581"/>
      <c r="C440" s="1572"/>
      <c r="D440" s="1572"/>
      <c r="E440" s="1572"/>
      <c r="F440" s="1572"/>
      <c r="G440" s="1572"/>
      <c r="H440" s="1572" t="s">
        <v>1854</v>
      </c>
      <c r="I440" s="1572"/>
      <c r="J440" s="577">
        <f>(J401+J420+J439)/3</f>
        <v>0.75</v>
      </c>
      <c r="K440" s="121"/>
    </row>
    <row r="441" spans="1:11" ht="28.5" customHeight="1" x14ac:dyDescent="0.2">
      <c r="A441" s="1593" t="s">
        <v>2646</v>
      </c>
      <c r="B441" s="1932"/>
      <c r="C441" s="1943" t="s">
        <v>2647</v>
      </c>
      <c r="D441" s="1946" t="s">
        <v>1855</v>
      </c>
      <c r="E441" s="729" t="s">
        <v>1643</v>
      </c>
      <c r="F441" s="1265" t="s">
        <v>1643</v>
      </c>
      <c r="G441" s="1664" t="s">
        <v>2526</v>
      </c>
      <c r="H441" s="1559" t="s">
        <v>2712</v>
      </c>
      <c r="I441" s="573">
        <v>1</v>
      </c>
      <c r="J441" s="2029">
        <f>IF(F441="a) Sí",100%,0)</f>
        <v>1</v>
      </c>
      <c r="K441" s="844"/>
    </row>
    <row r="442" spans="1:11" ht="37.5" customHeight="1" thickBot="1" x14ac:dyDescent="0.25">
      <c r="A442" s="1593"/>
      <c r="B442" s="1932"/>
      <c r="C442" s="1945"/>
      <c r="D442" s="1947"/>
      <c r="E442" s="730" t="s">
        <v>1644</v>
      </c>
      <c r="F442" s="1625"/>
      <c r="G442" s="1665"/>
      <c r="H442" s="1561"/>
      <c r="I442" s="570">
        <v>0</v>
      </c>
      <c r="J442" s="2030"/>
      <c r="K442" s="844"/>
    </row>
    <row r="443" spans="1:11" x14ac:dyDescent="0.2">
      <c r="A443" s="1593"/>
      <c r="B443" s="1932"/>
      <c r="C443" s="1943" t="s">
        <v>2648</v>
      </c>
      <c r="D443" s="2000" t="s">
        <v>1856</v>
      </c>
      <c r="E443" s="738" t="s">
        <v>1857</v>
      </c>
      <c r="F443" s="1384" t="s">
        <v>1861</v>
      </c>
      <c r="G443" s="1664" t="s">
        <v>2526</v>
      </c>
      <c r="H443" s="1559" t="s">
        <v>2713</v>
      </c>
      <c r="I443" s="573">
        <v>1</v>
      </c>
      <c r="J443" s="1549">
        <f>IF(F443="c) Minutos",100%,IF(F443="d) Horas",75%,IF(F443="e) Días",50%,)))</f>
        <v>0</v>
      </c>
      <c r="K443" s="844"/>
    </row>
    <row r="444" spans="1:11" ht="15" customHeight="1" x14ac:dyDescent="0.2">
      <c r="A444" s="1593"/>
      <c r="B444" s="1932"/>
      <c r="C444" s="1944"/>
      <c r="D444" s="2016"/>
      <c r="E444" s="771" t="s">
        <v>1858</v>
      </c>
      <c r="F444" s="1522"/>
      <c r="G444" s="1565"/>
      <c r="H444" s="1560"/>
      <c r="I444" s="591">
        <v>0.75</v>
      </c>
      <c r="J444" s="1550"/>
      <c r="K444" s="844"/>
    </row>
    <row r="445" spans="1:11" ht="15" customHeight="1" x14ac:dyDescent="0.2">
      <c r="A445" s="1593"/>
      <c r="B445" s="1932"/>
      <c r="C445" s="1944"/>
      <c r="D445" s="2016"/>
      <c r="E445" s="771" t="s">
        <v>1859</v>
      </c>
      <c r="F445" s="1522"/>
      <c r="G445" s="1565"/>
      <c r="H445" s="1560"/>
      <c r="I445" s="591">
        <v>0.5</v>
      </c>
      <c r="J445" s="1550"/>
      <c r="K445" s="844"/>
    </row>
    <row r="446" spans="1:11" ht="15" customHeight="1" x14ac:dyDescent="0.2">
      <c r="A446" s="1593"/>
      <c r="B446" s="1932"/>
      <c r="C446" s="1944"/>
      <c r="D446" s="2016"/>
      <c r="E446" s="771" t="s">
        <v>1860</v>
      </c>
      <c r="F446" s="1522"/>
      <c r="G446" s="1565"/>
      <c r="H446" s="1560"/>
      <c r="I446" s="569" t="str">
        <f>IF(F446="x","N.A","0")</f>
        <v>0</v>
      </c>
      <c r="J446" s="1550"/>
      <c r="K446" s="844"/>
    </row>
    <row r="447" spans="1:11" ht="15.75" customHeight="1" thickBot="1" x14ac:dyDescent="0.25">
      <c r="A447" s="1593"/>
      <c r="B447" s="1932"/>
      <c r="C447" s="1945"/>
      <c r="D447" s="2012"/>
      <c r="E447" s="739" t="s">
        <v>1861</v>
      </c>
      <c r="F447" s="1371"/>
      <c r="G447" s="1665"/>
      <c r="H447" s="1561"/>
      <c r="I447" s="570" t="str">
        <f>IF(F447="x","N.A","0")</f>
        <v>0</v>
      </c>
      <c r="J447" s="1551"/>
      <c r="K447" s="844"/>
    </row>
    <row r="448" spans="1:11" x14ac:dyDescent="0.2">
      <c r="A448" s="1593"/>
      <c r="B448" s="1932"/>
      <c r="C448" s="1943" t="s">
        <v>2649</v>
      </c>
      <c r="D448" s="1946" t="s">
        <v>2774</v>
      </c>
      <c r="E448" s="729" t="s">
        <v>1862</v>
      </c>
      <c r="F448" s="1384" t="s">
        <v>1863</v>
      </c>
      <c r="G448" s="1664" t="s">
        <v>2526</v>
      </c>
      <c r="H448" s="1559" t="s">
        <v>2714</v>
      </c>
      <c r="I448" s="573">
        <v>1</v>
      </c>
      <c r="J448" s="1549">
        <f>IF(F448="h) Si",100%,0)</f>
        <v>0</v>
      </c>
      <c r="K448" s="844"/>
    </row>
    <row r="449" spans="1:11" ht="21.75" customHeight="1" x14ac:dyDescent="0.2">
      <c r="A449" s="1593"/>
      <c r="B449" s="1932"/>
      <c r="C449" s="1944"/>
      <c r="D449" s="1646"/>
      <c r="E449" s="740" t="s">
        <v>1654</v>
      </c>
      <c r="F449" s="1522"/>
      <c r="G449" s="1565"/>
      <c r="H449" s="1560"/>
      <c r="I449" s="569">
        <v>0</v>
      </c>
      <c r="J449" s="1550"/>
      <c r="K449" s="844"/>
    </row>
    <row r="450" spans="1:11" ht="34.5" customHeight="1" thickBot="1" x14ac:dyDescent="0.25">
      <c r="A450" s="1593"/>
      <c r="B450" s="1932"/>
      <c r="C450" s="1945"/>
      <c r="D450" s="1947"/>
      <c r="E450" s="730" t="s">
        <v>1863</v>
      </c>
      <c r="F450" s="1371"/>
      <c r="G450" s="1665"/>
      <c r="H450" s="1561"/>
      <c r="I450" s="570">
        <v>0</v>
      </c>
      <c r="J450" s="1551"/>
      <c r="K450" s="844"/>
    </row>
    <row r="451" spans="1:11" ht="15.75" x14ac:dyDescent="0.2">
      <c r="A451" s="1581" t="s">
        <v>1864</v>
      </c>
      <c r="B451" s="1581"/>
      <c r="C451" s="1574"/>
      <c r="D451" s="1574"/>
      <c r="E451" s="1574"/>
      <c r="F451" s="1574"/>
      <c r="G451" s="1574"/>
      <c r="H451" s="1574" t="s">
        <v>1865</v>
      </c>
      <c r="I451" s="1574"/>
      <c r="J451" s="578">
        <f>(J441+J443+J448)/3</f>
        <v>0.33333333333333331</v>
      </c>
      <c r="K451" s="1073"/>
    </row>
    <row r="452" spans="1:11" ht="15.75" x14ac:dyDescent="0.2">
      <c r="A452" s="1936" t="s">
        <v>2677</v>
      </c>
      <c r="B452" s="1936"/>
      <c r="C452" s="1936"/>
      <c r="D452" s="1936"/>
      <c r="E452" s="1936"/>
      <c r="F452" s="1936"/>
      <c r="G452" s="1936"/>
      <c r="H452" s="1936" t="s">
        <v>1866</v>
      </c>
      <c r="I452" s="1936"/>
      <c r="J452" s="385">
        <f>(J440+J451)/2</f>
        <v>0.54166666666666663</v>
      </c>
      <c r="K452" s="121"/>
    </row>
    <row r="453" spans="1:11" ht="18.75" x14ac:dyDescent="0.2">
      <c r="A453" s="2050" t="s">
        <v>2684</v>
      </c>
      <c r="B453" s="2050"/>
      <c r="C453" s="2050"/>
      <c r="D453" s="2050"/>
      <c r="E453" s="2050"/>
      <c r="F453" s="2050"/>
      <c r="G453" s="2050"/>
      <c r="H453" s="1592" t="s">
        <v>2114</v>
      </c>
      <c r="I453" s="1592"/>
      <c r="J453" s="546">
        <f>IF(((J140+J214+J353+J452)/4)&gt;1,1,(J140+J214+J353+J452)/4)</f>
        <v>0.73361836490868748</v>
      </c>
      <c r="K453" s="121"/>
    </row>
    <row r="454" spans="1:11" ht="15" x14ac:dyDescent="0.2">
      <c r="J454" s="85"/>
    </row>
    <row r="455" spans="1:11" x14ac:dyDescent="0.2">
      <c r="A455" s="2112" t="s">
        <v>1964</v>
      </c>
      <c r="B455" s="2112"/>
      <c r="C455" s="2112"/>
      <c r="D455" s="604"/>
      <c r="E455" s="604"/>
      <c r="F455" s="10"/>
      <c r="G455" s="10"/>
      <c r="H455" s="10"/>
    </row>
    <row r="456" spans="1:11" x14ac:dyDescent="0.2">
      <c r="A456" s="598"/>
      <c r="B456" s="2113" t="s">
        <v>2161</v>
      </c>
      <c r="C456" s="2113"/>
      <c r="D456" s="605"/>
      <c r="E456" s="605"/>
      <c r="F456" s="10"/>
      <c r="G456" s="10"/>
      <c r="H456" s="10"/>
    </row>
    <row r="457" spans="1:11" x14ac:dyDescent="0.2">
      <c r="A457" s="599"/>
      <c r="B457" s="2113" t="s">
        <v>2162</v>
      </c>
      <c r="C457" s="2113"/>
      <c r="D457" s="605"/>
      <c r="E457" s="605"/>
      <c r="F457" s="10"/>
      <c r="G457" s="10"/>
      <c r="H457" s="10"/>
    </row>
    <row r="458" spans="1:11" x14ac:dyDescent="0.2">
      <c r="A458" s="600"/>
      <c r="B458" s="2113" t="s">
        <v>2163</v>
      </c>
      <c r="C458" s="2113"/>
      <c r="D458" s="605"/>
      <c r="E458" s="605"/>
      <c r="F458" s="10"/>
      <c r="G458" s="10"/>
      <c r="H458" s="10"/>
    </row>
    <row r="459" spans="1:11" x14ac:dyDescent="0.2">
      <c r="A459" s="601"/>
      <c r="B459" s="2113" t="s">
        <v>2164</v>
      </c>
      <c r="C459" s="2113"/>
      <c r="D459" s="605"/>
      <c r="E459" s="605"/>
      <c r="F459" s="10"/>
      <c r="G459" s="10"/>
      <c r="H459" s="10"/>
    </row>
    <row r="460" spans="1:11" ht="16.5" customHeight="1" x14ac:dyDescent="0.2">
      <c r="A460" s="602"/>
      <c r="B460" s="2113" t="s">
        <v>2011</v>
      </c>
      <c r="C460" s="2113"/>
      <c r="D460" s="605"/>
      <c r="E460" s="605"/>
      <c r="F460" s="10"/>
      <c r="G460" s="10"/>
      <c r="H460" s="10"/>
    </row>
    <row r="461" spans="1:11" ht="27.75" customHeight="1" x14ac:dyDescent="0.2">
      <c r="A461" s="603"/>
      <c r="B461" s="2114" t="s">
        <v>2165</v>
      </c>
      <c r="C461" s="2114"/>
      <c r="D461" s="605"/>
      <c r="E461" s="605"/>
      <c r="F461" s="10"/>
      <c r="G461" s="10"/>
      <c r="H461" s="10"/>
    </row>
    <row r="463" spans="1:11" ht="12.75" thickBot="1" x14ac:dyDescent="0.25"/>
    <row r="464" spans="1:11" ht="15.75" customHeight="1" thickBot="1" x14ac:dyDescent="0.25">
      <c r="A464" s="1181" t="s">
        <v>2227</v>
      </c>
      <c r="B464" s="1182"/>
      <c r="C464" s="1182"/>
      <c r="D464" s="1183"/>
      <c r="F464" s="10"/>
      <c r="G464" s="10"/>
      <c r="H464" s="10"/>
    </row>
    <row r="465" spans="1:8" ht="26.25" customHeight="1" thickBot="1" x14ac:dyDescent="0.25">
      <c r="A465" s="94" t="s">
        <v>2228</v>
      </c>
      <c r="B465" s="119" t="s">
        <v>2229</v>
      </c>
      <c r="C465" s="95" t="s">
        <v>2230</v>
      </c>
      <c r="D465" s="95" t="s">
        <v>2231</v>
      </c>
      <c r="F465" s="10"/>
      <c r="G465" s="10"/>
      <c r="H465" s="10"/>
    </row>
    <row r="466" spans="1:8" ht="30.75" customHeight="1" thickBot="1" x14ac:dyDescent="0.25">
      <c r="A466" s="96">
        <v>1</v>
      </c>
      <c r="B466" s="97" t="s">
        <v>2232</v>
      </c>
      <c r="C466" s="97" t="s">
        <v>2233</v>
      </c>
      <c r="D466" s="98"/>
      <c r="F466" s="10"/>
      <c r="G466" s="10"/>
      <c r="H466" s="10"/>
    </row>
    <row r="467" spans="1:8" ht="19.5" customHeight="1" thickBot="1" x14ac:dyDescent="0.25">
      <c r="A467" s="96">
        <v>2</v>
      </c>
      <c r="B467" s="97" t="s">
        <v>2234</v>
      </c>
      <c r="C467" s="97" t="s">
        <v>2235</v>
      </c>
      <c r="D467" s="99"/>
      <c r="F467" s="10"/>
      <c r="G467" s="10"/>
      <c r="H467" s="10"/>
    </row>
    <row r="468" spans="1:8" ht="18" customHeight="1" thickBot="1" x14ac:dyDescent="0.25">
      <c r="A468" s="96">
        <v>3</v>
      </c>
      <c r="B468" s="97" t="s">
        <v>2236</v>
      </c>
      <c r="C468" s="97" t="s">
        <v>2237</v>
      </c>
      <c r="D468" s="100"/>
      <c r="F468" s="10"/>
      <c r="G468" s="10"/>
      <c r="H468" s="10"/>
    </row>
    <row r="469" spans="1:8" ht="12.75" thickBot="1" x14ac:dyDescent="0.25">
      <c r="A469" s="96">
        <v>4</v>
      </c>
      <c r="B469" s="97" t="s">
        <v>2238</v>
      </c>
      <c r="C469" s="97" t="s">
        <v>2239</v>
      </c>
      <c r="D469" s="101"/>
      <c r="F469" s="10"/>
      <c r="G469" s="10"/>
      <c r="H469" s="10"/>
    </row>
    <row r="470" spans="1:8" ht="12.75" thickBot="1" x14ac:dyDescent="0.25">
      <c r="A470" s="96">
        <v>5</v>
      </c>
      <c r="B470" s="97" t="s">
        <v>2240</v>
      </c>
      <c r="C470" s="97" t="s">
        <v>2241</v>
      </c>
      <c r="D470" s="102"/>
    </row>
    <row r="473" spans="1:8" x14ac:dyDescent="0.2">
      <c r="A473" s="2115" t="s">
        <v>2288</v>
      </c>
      <c r="B473" s="2116"/>
      <c r="C473" s="2116"/>
      <c r="D473" s="2117"/>
      <c r="E473" s="604"/>
    </row>
    <row r="474" spans="1:8" ht="22.5" customHeight="1" x14ac:dyDescent="0.2">
      <c r="A474" s="2097" t="s">
        <v>2168</v>
      </c>
      <c r="B474" s="2098"/>
      <c r="C474" s="2098"/>
      <c r="D474" s="2099"/>
      <c r="E474" s="606"/>
    </row>
    <row r="475" spans="1:8" ht="24.75" customHeight="1" x14ac:dyDescent="0.2">
      <c r="A475" s="2100" t="s">
        <v>2167</v>
      </c>
      <c r="B475" s="1394"/>
      <c r="C475" s="1394"/>
      <c r="D475" s="2101"/>
      <c r="E475" s="606"/>
    </row>
    <row r="476" spans="1:8" ht="12" customHeight="1" x14ac:dyDescent="0.25">
      <c r="A476" s="2102" t="s">
        <v>2036</v>
      </c>
      <c r="B476" s="2103"/>
      <c r="C476" s="2103"/>
      <c r="D476" s="2104"/>
      <c r="E476" s="608"/>
    </row>
    <row r="477" spans="1:8" ht="12" customHeight="1" x14ac:dyDescent="0.2">
      <c r="A477" s="2102" t="s">
        <v>2057</v>
      </c>
      <c r="B477" s="2103"/>
      <c r="C477" s="2103"/>
      <c r="D477" s="2104"/>
      <c r="E477" s="607"/>
    </row>
    <row r="478" spans="1:8" ht="15" x14ac:dyDescent="0.25">
      <c r="A478" s="2109" t="s">
        <v>2166</v>
      </c>
      <c r="B478" s="2110"/>
      <c r="C478" s="2110"/>
      <c r="D478" s="2111"/>
      <c r="E478" s="609"/>
    </row>
  </sheetData>
  <sheetProtection password="B860" sheet="1" objects="1" scenarios="1"/>
  <mergeCells count="545">
    <mergeCell ref="A477:D477"/>
    <mergeCell ref="A478:D478"/>
    <mergeCell ref="A455:C455"/>
    <mergeCell ref="B456:C456"/>
    <mergeCell ref="B457:C457"/>
    <mergeCell ref="B458:C458"/>
    <mergeCell ref="B459:C459"/>
    <mergeCell ref="B460:C460"/>
    <mergeCell ref="B461:C461"/>
    <mergeCell ref="A464:D464"/>
    <mergeCell ref="A473:D473"/>
    <mergeCell ref="D187:D188"/>
    <mergeCell ref="F187:F188"/>
    <mergeCell ref="J187:J188"/>
    <mergeCell ref="A474:D474"/>
    <mergeCell ref="A475:D475"/>
    <mergeCell ref="A476:D476"/>
    <mergeCell ref="A354:J354"/>
    <mergeCell ref="F358:F359"/>
    <mergeCell ref="F363:F367"/>
    <mergeCell ref="F368:F369"/>
    <mergeCell ref="F370:F374"/>
    <mergeCell ref="F375:F377"/>
    <mergeCell ref="C370:C377"/>
    <mergeCell ref="D370:D374"/>
    <mergeCell ref="G370:G374"/>
    <mergeCell ref="H370:H374"/>
    <mergeCell ref="J370:J374"/>
    <mergeCell ref="D375:D377"/>
    <mergeCell ref="G375:G377"/>
    <mergeCell ref="H375:H377"/>
    <mergeCell ref="J375:J377"/>
    <mergeCell ref="F333:F334"/>
    <mergeCell ref="I348:I349"/>
    <mergeCell ref="F350:F351"/>
    <mergeCell ref="A353:G353"/>
    <mergeCell ref="C350:D351"/>
    <mergeCell ref="H350:H351"/>
    <mergeCell ref="G348:G349"/>
    <mergeCell ref="H348:H349"/>
    <mergeCell ref="H385:H387"/>
    <mergeCell ref="J385:J387"/>
    <mergeCell ref="A3:K3"/>
    <mergeCell ref="H35:H39"/>
    <mergeCell ref="I36:I37"/>
    <mergeCell ref="J37:J38"/>
    <mergeCell ref="H76:H79"/>
    <mergeCell ref="D67:D87"/>
    <mergeCell ref="I67:I87"/>
    <mergeCell ref="J67:J87"/>
    <mergeCell ref="D88:D112"/>
    <mergeCell ref="I88:I112"/>
    <mergeCell ref="J88:J112"/>
    <mergeCell ref="H100:H102"/>
    <mergeCell ref="D5:D66"/>
    <mergeCell ref="A5:A130"/>
    <mergeCell ref="B5:B117"/>
    <mergeCell ref="C5:C66"/>
    <mergeCell ref="C67:C112"/>
    <mergeCell ref="G113:G114"/>
    <mergeCell ref="K113:K114"/>
    <mergeCell ref="J327:J332"/>
    <mergeCell ref="H333:H334"/>
    <mergeCell ref="J333:J334"/>
    <mergeCell ref="B338:G338"/>
    <mergeCell ref="H338:I338"/>
    <mergeCell ref="A339:G339"/>
    <mergeCell ref="H339:I339"/>
    <mergeCell ref="D311:D316"/>
    <mergeCell ref="H311:H316"/>
    <mergeCell ref="I311:I316"/>
    <mergeCell ref="D335:D337"/>
    <mergeCell ref="H335:H337"/>
    <mergeCell ref="I335:I337"/>
    <mergeCell ref="J335:J337"/>
    <mergeCell ref="B320:B337"/>
    <mergeCell ref="C320:C326"/>
    <mergeCell ref="D320:D326"/>
    <mergeCell ref="H320:H326"/>
    <mergeCell ref="C333:C337"/>
    <mergeCell ref="D333:D334"/>
    <mergeCell ref="G333:G334"/>
    <mergeCell ref="I320:I326"/>
    <mergeCell ref="F441:F442"/>
    <mergeCell ref="F443:F447"/>
    <mergeCell ref="J348:J349"/>
    <mergeCell ref="A1:K1"/>
    <mergeCell ref="A2:K2"/>
    <mergeCell ref="I234:I240"/>
    <mergeCell ref="G396:G400"/>
    <mergeCell ref="C441:C442"/>
    <mergeCell ref="A451:G451"/>
    <mergeCell ref="H451:I451"/>
    <mergeCell ref="J441:J442"/>
    <mergeCell ref="C443:C447"/>
    <mergeCell ref="D443:D447"/>
    <mergeCell ref="G443:G447"/>
    <mergeCell ref="H443:H447"/>
    <mergeCell ref="J443:J447"/>
    <mergeCell ref="C448:C450"/>
    <mergeCell ref="J421:J422"/>
    <mergeCell ref="D423:D426"/>
    <mergeCell ref="G423:G426"/>
    <mergeCell ref="H423:H426"/>
    <mergeCell ref="D427:D430"/>
    <mergeCell ref="G427:G430"/>
    <mergeCell ref="H427:H430"/>
    <mergeCell ref="B439:G439"/>
    <mergeCell ref="H439:I439"/>
    <mergeCell ref="C433:C438"/>
    <mergeCell ref="A440:G440"/>
    <mergeCell ref="H440:I440"/>
    <mergeCell ref="J396:J400"/>
    <mergeCell ref="H393:H395"/>
    <mergeCell ref="J393:J395"/>
    <mergeCell ref="B401:G401"/>
    <mergeCell ref="H401:I401"/>
    <mergeCell ref="B355:B400"/>
    <mergeCell ref="H437:H438"/>
    <mergeCell ref="J437:J438"/>
    <mergeCell ref="F421:F422"/>
    <mergeCell ref="F431:F432"/>
    <mergeCell ref="F433:F434"/>
    <mergeCell ref="F435:F436"/>
    <mergeCell ref="F437:F438"/>
    <mergeCell ref="D437:D438"/>
    <mergeCell ref="G437:G438"/>
    <mergeCell ref="B420:G420"/>
    <mergeCell ref="H420:I420"/>
    <mergeCell ref="D421:D422"/>
    <mergeCell ref="G421:G422"/>
    <mergeCell ref="B402:B419"/>
    <mergeCell ref="C402:C408"/>
    <mergeCell ref="H421:H422"/>
    <mergeCell ref="C421:C432"/>
    <mergeCell ref="J409:J415"/>
    <mergeCell ref="D409:D415"/>
    <mergeCell ref="H409:H415"/>
    <mergeCell ref="I409:I415"/>
    <mergeCell ref="D402:D408"/>
    <mergeCell ref="H402:H408"/>
    <mergeCell ref="C416:C419"/>
    <mergeCell ref="D416:D419"/>
    <mergeCell ref="G416:G419"/>
    <mergeCell ref="C409:C415"/>
    <mergeCell ref="J423:J426"/>
    <mergeCell ref="J427:J430"/>
    <mergeCell ref="D431:D432"/>
    <mergeCell ref="G431:G432"/>
    <mergeCell ref="H431:H432"/>
    <mergeCell ref="J431:J432"/>
    <mergeCell ref="F423:F426"/>
    <mergeCell ref="F427:F430"/>
    <mergeCell ref="A453:G453"/>
    <mergeCell ref="H453:I453"/>
    <mergeCell ref="D448:D450"/>
    <mergeCell ref="G448:G450"/>
    <mergeCell ref="H448:H450"/>
    <mergeCell ref="J448:J450"/>
    <mergeCell ref="D433:D434"/>
    <mergeCell ref="G433:G434"/>
    <mergeCell ref="H433:H434"/>
    <mergeCell ref="J433:J434"/>
    <mergeCell ref="D435:D436"/>
    <mergeCell ref="G435:G436"/>
    <mergeCell ref="H435:H436"/>
    <mergeCell ref="J435:J436"/>
    <mergeCell ref="D441:D442"/>
    <mergeCell ref="G441:G442"/>
    <mergeCell ref="H441:H442"/>
    <mergeCell ref="B421:B438"/>
    <mergeCell ref="A441:A450"/>
    <mergeCell ref="B441:B450"/>
    <mergeCell ref="F448:F450"/>
    <mergeCell ref="A452:G452"/>
    <mergeCell ref="H452:I452"/>
    <mergeCell ref="A355:A439"/>
    <mergeCell ref="D396:D400"/>
    <mergeCell ref="H396:H400"/>
    <mergeCell ref="D393:D395"/>
    <mergeCell ref="G393:G395"/>
    <mergeCell ref="H416:H419"/>
    <mergeCell ref="F416:F419"/>
    <mergeCell ref="J388:J392"/>
    <mergeCell ref="C393:C400"/>
    <mergeCell ref="I402:I408"/>
    <mergeCell ref="J402:J408"/>
    <mergeCell ref="C378:C392"/>
    <mergeCell ref="D378:D384"/>
    <mergeCell ref="H378:H384"/>
    <mergeCell ref="I378:I384"/>
    <mergeCell ref="J378:J384"/>
    <mergeCell ref="D385:D387"/>
    <mergeCell ref="G385:G387"/>
    <mergeCell ref="J416:J419"/>
    <mergeCell ref="D388:D392"/>
    <mergeCell ref="G388:G392"/>
    <mergeCell ref="H388:H392"/>
    <mergeCell ref="F385:F387"/>
    <mergeCell ref="F388:F392"/>
    <mergeCell ref="F393:F395"/>
    <mergeCell ref="C368:C369"/>
    <mergeCell ref="J355:J357"/>
    <mergeCell ref="C358:C367"/>
    <mergeCell ref="D358:D359"/>
    <mergeCell ref="G358:G359"/>
    <mergeCell ref="D363:D367"/>
    <mergeCell ref="G363:G367"/>
    <mergeCell ref="H363:H367"/>
    <mergeCell ref="J363:J367"/>
    <mergeCell ref="J358:J359"/>
    <mergeCell ref="D360:D362"/>
    <mergeCell ref="G360:G362"/>
    <mergeCell ref="H360:H362"/>
    <mergeCell ref="J360:J362"/>
    <mergeCell ref="C355:C357"/>
    <mergeCell ref="D355:D357"/>
    <mergeCell ref="G355:G357"/>
    <mergeCell ref="H358:H359"/>
    <mergeCell ref="D368:D369"/>
    <mergeCell ref="G368:G369"/>
    <mergeCell ref="H368:H369"/>
    <mergeCell ref="J368:J369"/>
    <mergeCell ref="J350:J351"/>
    <mergeCell ref="A352:G352"/>
    <mergeCell ref="H352:I352"/>
    <mergeCell ref="H353:I353"/>
    <mergeCell ref="H340:H341"/>
    <mergeCell ref="J340:J341"/>
    <mergeCell ref="G342:G343"/>
    <mergeCell ref="H342:H343"/>
    <mergeCell ref="J342:J343"/>
    <mergeCell ref="J344:J345"/>
    <mergeCell ref="G346:G347"/>
    <mergeCell ref="H346:H347"/>
    <mergeCell ref="J346:J347"/>
    <mergeCell ref="G344:G345"/>
    <mergeCell ref="C340:D349"/>
    <mergeCell ref="A340:A351"/>
    <mergeCell ref="B340:B351"/>
    <mergeCell ref="G340:G341"/>
    <mergeCell ref="H344:H345"/>
    <mergeCell ref="G350:G351"/>
    <mergeCell ref="I340:I341"/>
    <mergeCell ref="I342:I343"/>
    <mergeCell ref="I344:I345"/>
    <mergeCell ref="I346:I347"/>
    <mergeCell ref="J320:J326"/>
    <mergeCell ref="C327:C332"/>
    <mergeCell ref="D327:D332"/>
    <mergeCell ref="H327:H332"/>
    <mergeCell ref="I327:I332"/>
    <mergeCell ref="J311:J316"/>
    <mergeCell ref="D317:D318"/>
    <mergeCell ref="G317:G318"/>
    <mergeCell ref="J317:J318"/>
    <mergeCell ref="B319:G319"/>
    <mergeCell ref="H319:I319"/>
    <mergeCell ref="F317:F318"/>
    <mergeCell ref="B310:G310"/>
    <mergeCell ref="H310:I310"/>
    <mergeCell ref="B311:B318"/>
    <mergeCell ref="C311:C318"/>
    <mergeCell ref="C299:C302"/>
    <mergeCell ref="D299:D302"/>
    <mergeCell ref="H299:H302"/>
    <mergeCell ref="I299:I302"/>
    <mergeCell ref="J299:J302"/>
    <mergeCell ref="H303:H309"/>
    <mergeCell ref="I303:I309"/>
    <mergeCell ref="J303:J309"/>
    <mergeCell ref="C303:C309"/>
    <mergeCell ref="D303:D309"/>
    <mergeCell ref="B286:B309"/>
    <mergeCell ref="C292:C293"/>
    <mergeCell ref="D292:D293"/>
    <mergeCell ref="G292:G293"/>
    <mergeCell ref="J294:J298"/>
    <mergeCell ref="J286:J288"/>
    <mergeCell ref="C289:C291"/>
    <mergeCell ref="D289:D291"/>
    <mergeCell ref="F289:F291"/>
    <mergeCell ref="F292:F293"/>
    <mergeCell ref="G282:G284"/>
    <mergeCell ref="J282:J284"/>
    <mergeCell ref="G289:G291"/>
    <mergeCell ref="J289:J291"/>
    <mergeCell ref="H292:H293"/>
    <mergeCell ref="J292:J293"/>
    <mergeCell ref="C294:C298"/>
    <mergeCell ref="D294:D298"/>
    <mergeCell ref="G294:G298"/>
    <mergeCell ref="H294:H298"/>
    <mergeCell ref="C286:C288"/>
    <mergeCell ref="D286:D288"/>
    <mergeCell ref="G286:G288"/>
    <mergeCell ref="B285:G285"/>
    <mergeCell ref="H285:I285"/>
    <mergeCell ref="B264:B284"/>
    <mergeCell ref="J271:J272"/>
    <mergeCell ref="H266:H270"/>
    <mergeCell ref="I266:I270"/>
    <mergeCell ref="J266:J270"/>
    <mergeCell ref="C264:C265"/>
    <mergeCell ref="D264:D265"/>
    <mergeCell ref="G264:G265"/>
    <mergeCell ref="C278:C281"/>
    <mergeCell ref="D278:D281"/>
    <mergeCell ref="G278:G281"/>
    <mergeCell ref="H278:H281"/>
    <mergeCell ref="J256:J262"/>
    <mergeCell ref="B263:G263"/>
    <mergeCell ref="H263:I263"/>
    <mergeCell ref="J250:J253"/>
    <mergeCell ref="C254:C255"/>
    <mergeCell ref="D254:D255"/>
    <mergeCell ref="G254:G255"/>
    <mergeCell ref="J254:J255"/>
    <mergeCell ref="F271:F272"/>
    <mergeCell ref="J264:J265"/>
    <mergeCell ref="C266:C270"/>
    <mergeCell ref="C271:C272"/>
    <mergeCell ref="D271:D272"/>
    <mergeCell ref="G271:G272"/>
    <mergeCell ref="C273:C277"/>
    <mergeCell ref="D273:D277"/>
    <mergeCell ref="H273:H277"/>
    <mergeCell ref="I273:I277"/>
    <mergeCell ref="J273:J277"/>
    <mergeCell ref="J278:J281"/>
    <mergeCell ref="D266:D270"/>
    <mergeCell ref="B249:G249"/>
    <mergeCell ref="H249:I249"/>
    <mergeCell ref="B250:B262"/>
    <mergeCell ref="C250:C253"/>
    <mergeCell ref="D250:D253"/>
    <mergeCell ref="G250:G253"/>
    <mergeCell ref="H250:H253"/>
    <mergeCell ref="C256:C262"/>
    <mergeCell ref="F254:F255"/>
    <mergeCell ref="F264:F265"/>
    <mergeCell ref="J216:J218"/>
    <mergeCell ref="C219:C225"/>
    <mergeCell ref="D219:D225"/>
    <mergeCell ref="H219:H225"/>
    <mergeCell ref="D216:D218"/>
    <mergeCell ref="G216:G218"/>
    <mergeCell ref="B233:G233"/>
    <mergeCell ref="H233:I233"/>
    <mergeCell ref="I219:I225"/>
    <mergeCell ref="G226:G229"/>
    <mergeCell ref="H226:H229"/>
    <mergeCell ref="J226:J229"/>
    <mergeCell ref="J247:J248"/>
    <mergeCell ref="J234:J240"/>
    <mergeCell ref="J219:J225"/>
    <mergeCell ref="C230:C232"/>
    <mergeCell ref="D230:D232"/>
    <mergeCell ref="G230:G232"/>
    <mergeCell ref="H230:H232"/>
    <mergeCell ref="J230:J232"/>
    <mergeCell ref="C226:C229"/>
    <mergeCell ref="D226:D229"/>
    <mergeCell ref="H234:H240"/>
    <mergeCell ref="C245:C246"/>
    <mergeCell ref="D245:D246"/>
    <mergeCell ref="C241:C244"/>
    <mergeCell ref="D241:D244"/>
    <mergeCell ref="G241:G244"/>
    <mergeCell ref="J241:J244"/>
    <mergeCell ref="J245:J246"/>
    <mergeCell ref="C247:C248"/>
    <mergeCell ref="D247:D248"/>
    <mergeCell ref="J200:J201"/>
    <mergeCell ref="B202:G202"/>
    <mergeCell ref="H202:I202"/>
    <mergeCell ref="A203:G203"/>
    <mergeCell ref="H203:I203"/>
    <mergeCell ref="D204:E204"/>
    <mergeCell ref="A204:A212"/>
    <mergeCell ref="B204:B212"/>
    <mergeCell ref="C205:C212"/>
    <mergeCell ref="D205:D212"/>
    <mergeCell ref="G205:G212"/>
    <mergeCell ref="H205:H212"/>
    <mergeCell ref="I205:I208"/>
    <mergeCell ref="J205:J212"/>
    <mergeCell ref="I209:I212"/>
    <mergeCell ref="J190:J191"/>
    <mergeCell ref="C192:C199"/>
    <mergeCell ref="D192:D193"/>
    <mergeCell ref="G192:G199"/>
    <mergeCell ref="H192:H199"/>
    <mergeCell ref="I192:I196"/>
    <mergeCell ref="J192:J199"/>
    <mergeCell ref="D194:D196"/>
    <mergeCell ref="D197:D199"/>
    <mergeCell ref="I197:I199"/>
    <mergeCell ref="B189:G189"/>
    <mergeCell ref="H189:I189"/>
    <mergeCell ref="B190:B201"/>
    <mergeCell ref="C190:C191"/>
    <mergeCell ref="D190:D191"/>
    <mergeCell ref="G190:G191"/>
    <mergeCell ref="H190:H191"/>
    <mergeCell ref="A213:G213"/>
    <mergeCell ref="H213:I213"/>
    <mergeCell ref="I190:I191"/>
    <mergeCell ref="C200:C201"/>
    <mergeCell ref="D200:D201"/>
    <mergeCell ref="G200:G201"/>
    <mergeCell ref="H200:H201"/>
    <mergeCell ref="D150:D151"/>
    <mergeCell ref="I142:I147"/>
    <mergeCell ref="I152:I157"/>
    <mergeCell ref="C142:C151"/>
    <mergeCell ref="D142:D144"/>
    <mergeCell ref="G142:G151"/>
    <mergeCell ref="H142:H151"/>
    <mergeCell ref="J152:J161"/>
    <mergeCell ref="D155:D157"/>
    <mergeCell ref="D158:D159"/>
    <mergeCell ref="I158:I161"/>
    <mergeCell ref="D160:D161"/>
    <mergeCell ref="H152:H161"/>
    <mergeCell ref="D136:E136"/>
    <mergeCell ref="G162:G171"/>
    <mergeCell ref="H162:H171"/>
    <mergeCell ref="C185:C186"/>
    <mergeCell ref="D185:D186"/>
    <mergeCell ref="G185:G186"/>
    <mergeCell ref="F185:F186"/>
    <mergeCell ref="J162:J171"/>
    <mergeCell ref="D165:D167"/>
    <mergeCell ref="D168:D169"/>
    <mergeCell ref="I168:I171"/>
    <mergeCell ref="D170:D171"/>
    <mergeCell ref="I162:I167"/>
    <mergeCell ref="I172:I177"/>
    <mergeCell ref="J172:J181"/>
    <mergeCell ref="D175:D177"/>
    <mergeCell ref="D178:D179"/>
    <mergeCell ref="I178:I181"/>
    <mergeCell ref="D180:D181"/>
    <mergeCell ref="J185:J186"/>
    <mergeCell ref="J142:J151"/>
    <mergeCell ref="D145:D147"/>
    <mergeCell ref="D148:D149"/>
    <mergeCell ref="I148:I151"/>
    <mergeCell ref="G183:G184"/>
    <mergeCell ref="F183:F184"/>
    <mergeCell ref="J183:J184"/>
    <mergeCell ref="F116:F117"/>
    <mergeCell ref="G116:G117"/>
    <mergeCell ref="J116:J117"/>
    <mergeCell ref="F119:F120"/>
    <mergeCell ref="G119:G120"/>
    <mergeCell ref="J119:J120"/>
    <mergeCell ref="B118:G118"/>
    <mergeCell ref="H118:I118"/>
    <mergeCell ref="B119:B120"/>
    <mergeCell ref="C119:C120"/>
    <mergeCell ref="D119:D120"/>
    <mergeCell ref="C116:C117"/>
    <mergeCell ref="D116:D117"/>
    <mergeCell ref="B121:G121"/>
    <mergeCell ref="B122:B129"/>
    <mergeCell ref="C122:C129"/>
    <mergeCell ref="J137:J138"/>
    <mergeCell ref="A139:G139"/>
    <mergeCell ref="H139:I139"/>
    <mergeCell ref="D122:D129"/>
    <mergeCell ref="H122:H129"/>
    <mergeCell ref="C113:C114"/>
    <mergeCell ref="D113:D114"/>
    <mergeCell ref="H113:H114"/>
    <mergeCell ref="I113:I114"/>
    <mergeCell ref="A140:G140"/>
    <mergeCell ref="H121:I121"/>
    <mergeCell ref="H130:I130"/>
    <mergeCell ref="A141:J141"/>
    <mergeCell ref="J113:J114"/>
    <mergeCell ref="I122:I129"/>
    <mergeCell ref="B130:G130"/>
    <mergeCell ref="J132:J133"/>
    <mergeCell ref="C134:C135"/>
    <mergeCell ref="D134:D135"/>
    <mergeCell ref="J134:J135"/>
    <mergeCell ref="J122:J129"/>
    <mergeCell ref="A132:A138"/>
    <mergeCell ref="B132:B138"/>
    <mergeCell ref="C132:C133"/>
    <mergeCell ref="D132:D133"/>
    <mergeCell ref="H132:H133"/>
    <mergeCell ref="C137:C138"/>
    <mergeCell ref="A131:G131"/>
    <mergeCell ref="H137:H138"/>
    <mergeCell ref="H131:I131"/>
    <mergeCell ref="D137:E137"/>
    <mergeCell ref="D138:E138"/>
    <mergeCell ref="I132:I133"/>
    <mergeCell ref="I137:I138"/>
    <mergeCell ref="H140:I140"/>
    <mergeCell ref="A142:A202"/>
    <mergeCell ref="B142:B181"/>
    <mergeCell ref="C152:C161"/>
    <mergeCell ref="C172:C181"/>
    <mergeCell ref="D172:D174"/>
    <mergeCell ref="C162:C171"/>
    <mergeCell ref="H172:H181"/>
    <mergeCell ref="B182:G182"/>
    <mergeCell ref="H182:I182"/>
    <mergeCell ref="B183:B188"/>
    <mergeCell ref="C183:C184"/>
    <mergeCell ref="D183:D184"/>
    <mergeCell ref="G172:G181"/>
    <mergeCell ref="D152:D154"/>
    <mergeCell ref="G152:G161"/>
    <mergeCell ref="C187:C188"/>
    <mergeCell ref="G187:G188"/>
    <mergeCell ref="D162:D164"/>
    <mergeCell ref="A214:G214"/>
    <mergeCell ref="A215:J215"/>
    <mergeCell ref="F216:F218"/>
    <mergeCell ref="F226:F229"/>
    <mergeCell ref="F230:F232"/>
    <mergeCell ref="G245:G246"/>
    <mergeCell ref="G247:G248"/>
    <mergeCell ref="F245:F246"/>
    <mergeCell ref="F247:F248"/>
    <mergeCell ref="B234:B248"/>
    <mergeCell ref="C234:C240"/>
    <mergeCell ref="D234:D240"/>
    <mergeCell ref="H214:I214"/>
    <mergeCell ref="A216:A338"/>
    <mergeCell ref="B216:B232"/>
    <mergeCell ref="C216:C218"/>
    <mergeCell ref="H241:H244"/>
    <mergeCell ref="D256:D262"/>
    <mergeCell ref="H256:H262"/>
    <mergeCell ref="I256:I262"/>
    <mergeCell ref="C282:C284"/>
    <mergeCell ref="D282:D284"/>
    <mergeCell ref="F282:F284"/>
    <mergeCell ref="F286:F288"/>
  </mergeCells>
  <conditionalFormatting sqref="J118 J121 J130:J131 J182 J189 J202:J203 J233 J249 J263 J285 J310 J319 J338:J339 J213:J214 J401 J420 J439:J440 J451:J453 J139:J140 J352:J353">
    <cfRule type="cellIs" dxfId="39" priority="101" operator="between">
      <formula>0.891</formula>
      <formula>1</formula>
    </cfRule>
    <cfRule type="cellIs" dxfId="38" priority="102" operator="between">
      <formula>0.75</formula>
      <formula>0.88</formula>
    </cfRule>
    <cfRule type="cellIs" dxfId="37" priority="103" operator="between">
      <formula>0.6</formula>
      <formula>0.749</formula>
    </cfRule>
    <cfRule type="cellIs" dxfId="36" priority="104" operator="between">
      <formula>0.41</formula>
      <formula>0.599</formula>
    </cfRule>
    <cfRule type="cellIs" dxfId="35" priority="105" operator="between">
      <formula>0</formula>
      <formula>0.4</formula>
    </cfRule>
  </conditionalFormatting>
  <dataValidations count="18">
    <dataValidation type="list" allowBlank="1" showInputMessage="1" showErrorMessage="1" sqref="F245:F248 F254:F255 F264:F265 F271:F272 F292:F293 F317:F318 F333:F334 F350:F351 F358:F359 F368:F369 F421:F422 F431:F438 F441:F442 F183:F186">
      <formula1>E183:E184</formula1>
    </dataValidation>
    <dataValidation type="list" allowBlank="1" showInputMessage="1" showErrorMessage="1" sqref="F370:F374 F388:F392">
      <formula1>E370:E374</formula1>
    </dataValidation>
    <dataValidation type="list" allowBlank="1" showInputMessage="1" showErrorMessage="1" sqref="F375:F377 F385:F387 F393:F395">
      <formula1>E375:E377</formula1>
    </dataValidation>
    <dataValidation type="list" allowBlank="1" showInputMessage="1" showErrorMessage="1" sqref="F116:F117">
      <formula1>$E$116:$E$117</formula1>
    </dataValidation>
    <dataValidation type="list" allowBlank="1" showInputMessage="1" showErrorMessage="1" sqref="F119:F120">
      <formula1>$E$119:$E$120</formula1>
    </dataValidation>
    <dataValidation type="list" allowBlank="1" showInputMessage="1" showErrorMessage="1" sqref="F216:F218">
      <formula1>$E$216:$E$218</formula1>
    </dataValidation>
    <dataValidation type="list" allowBlank="1" showInputMessage="1" showErrorMessage="1" sqref="F226:F229">
      <formula1>$E$226:$E$229</formula1>
    </dataValidation>
    <dataValidation type="list" allowBlank="1" showInputMessage="1" showErrorMessage="1" sqref="F230:F232">
      <formula1>$E$230:$E$232</formula1>
    </dataValidation>
    <dataValidation type="list" allowBlank="1" showInputMessage="1" showErrorMessage="1" sqref="F282:F284">
      <formula1>$E$282:$E$284</formula1>
    </dataValidation>
    <dataValidation type="list" allowBlank="1" showInputMessage="1" showErrorMessage="1" sqref="F286:F288">
      <formula1>$E$286:$E$288</formula1>
    </dataValidation>
    <dataValidation type="list" allowBlank="1" showInputMessage="1" showErrorMessage="1" sqref="F289:F291">
      <formula1>$E$289:$E$291</formula1>
    </dataValidation>
    <dataValidation type="list" allowBlank="1" showInputMessage="1" showErrorMessage="1" sqref="F363:F367">
      <formula1>$E$363:$E$367</formula1>
    </dataValidation>
    <dataValidation type="list" allowBlank="1" showInputMessage="1" showErrorMessage="1" sqref="F416:F419">
      <formula1>$E$416:$E$419</formula1>
    </dataValidation>
    <dataValidation type="list" allowBlank="1" showInputMessage="1" showErrorMessage="1" sqref="F448:F450">
      <formula1>$E$448:$E$450</formula1>
    </dataValidation>
    <dataValidation type="list" allowBlank="1" showInputMessage="1" showErrorMessage="1" sqref="F443:F447">
      <formula1>$E$443:$E$447</formula1>
    </dataValidation>
    <dataValidation type="list" allowBlank="1" showInputMessage="1" showErrorMessage="1" sqref="F423:F426">
      <formula1>$E$423:$E$426</formula1>
    </dataValidation>
    <dataValidation type="list" allowBlank="1" showInputMessage="1" showErrorMessage="1" sqref="F427:F430">
      <formula1>$E$427:$E$430</formula1>
    </dataValidation>
    <dataValidation type="list" allowBlank="1" showInputMessage="1" showErrorMessage="1" sqref="F187:F188">
      <formula1>$E$187:$E$188</formula1>
    </dataValidation>
  </dataValidations>
  <hyperlinks>
    <hyperlink ref="A477" r:id="rId1"/>
    <hyperlink ref="A476" r:id="rId2"/>
    <hyperlink ref="A478" r:id="rId3"/>
  </hyperlinks>
  <pageMargins left="0.7" right="0.7" top="0.75" bottom="0.75" header="0.3" footer="0.3"/>
  <pageSetup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tabColor theme="3" tint="0.39997558519241921"/>
  </sheetPr>
  <dimension ref="A1:I23"/>
  <sheetViews>
    <sheetView showGridLines="0" topLeftCell="B1" zoomScaleNormal="100" workbookViewId="0">
      <selection activeCell="G18" sqref="G18"/>
    </sheetView>
  </sheetViews>
  <sheetFormatPr baseColWidth="10" defaultRowHeight="12" x14ac:dyDescent="0.2"/>
  <cols>
    <col min="1" max="1" width="15.7109375" style="10" bestFit="1" customWidth="1"/>
    <col min="2" max="2" width="9.7109375" style="10" customWidth="1"/>
    <col min="3" max="3" width="20.42578125" style="10" bestFit="1" customWidth="1"/>
    <col min="4" max="4" width="10.28515625" style="10" bestFit="1" customWidth="1"/>
    <col min="5" max="5" width="34.140625" style="10" customWidth="1"/>
    <col min="6" max="6" width="24.42578125" style="10" customWidth="1"/>
    <col min="7" max="7" width="29.85546875" style="10" bestFit="1" customWidth="1"/>
    <col min="8" max="8" width="24.42578125" style="10" bestFit="1" customWidth="1"/>
    <col min="9" max="9" width="60.28515625" style="10" customWidth="1"/>
    <col min="10" max="16384" width="11.42578125" style="10"/>
  </cols>
  <sheetData>
    <row r="1" spans="1:9" ht="18" customHeight="1" x14ac:dyDescent="0.2">
      <c r="A1" s="1570" t="s">
        <v>2169</v>
      </c>
      <c r="B1" s="1570"/>
      <c r="C1" s="1570"/>
      <c r="D1" s="1570"/>
      <c r="E1" s="1570"/>
      <c r="F1" s="1570"/>
      <c r="G1" s="1570"/>
      <c r="H1" s="1570"/>
      <c r="I1" s="1570"/>
    </row>
    <row r="2" spans="1:9" ht="21" customHeight="1" x14ac:dyDescent="0.2">
      <c r="A2" s="1617" t="s">
        <v>2170</v>
      </c>
      <c r="B2" s="1617"/>
      <c r="C2" s="1617"/>
      <c r="D2" s="1617"/>
      <c r="E2" s="1617"/>
      <c r="F2" s="1617"/>
      <c r="G2" s="1617"/>
      <c r="H2" s="1617"/>
      <c r="I2" s="1617"/>
    </row>
    <row r="3" spans="1:9" ht="36.75" thickBot="1" x14ac:dyDescent="0.25">
      <c r="A3" s="2" t="s">
        <v>1867</v>
      </c>
      <c r="B3" s="389" t="s">
        <v>170</v>
      </c>
      <c r="C3" s="389" t="s">
        <v>1869</v>
      </c>
      <c r="D3" s="389" t="s">
        <v>74</v>
      </c>
      <c r="E3" s="389" t="s">
        <v>1870</v>
      </c>
      <c r="F3" s="389" t="s">
        <v>2546</v>
      </c>
      <c r="G3" s="389" t="s">
        <v>22</v>
      </c>
      <c r="H3" s="389" t="s">
        <v>4</v>
      </c>
      <c r="I3" s="389" t="s">
        <v>1907</v>
      </c>
    </row>
    <row r="4" spans="1:9" ht="36.75" customHeight="1" x14ac:dyDescent="0.2">
      <c r="A4" s="2134" t="s">
        <v>2173</v>
      </c>
      <c r="B4" s="2122">
        <v>1</v>
      </c>
      <c r="C4" s="2118" t="s">
        <v>2547</v>
      </c>
      <c r="D4" s="2120">
        <v>0.5</v>
      </c>
      <c r="E4" s="1013" t="s">
        <v>1871</v>
      </c>
      <c r="F4" s="1014">
        <v>20056634066.75</v>
      </c>
      <c r="G4" s="1903" t="s">
        <v>1872</v>
      </c>
      <c r="H4" s="2129">
        <f>IFERROR(IF(F4/F5&gt;1,1,F4/F5),0)</f>
        <v>0.46713000564467694</v>
      </c>
      <c r="I4" s="1015"/>
    </row>
    <row r="5" spans="1:9" ht="39" customHeight="1" thickBot="1" x14ac:dyDescent="0.25">
      <c r="A5" s="2134"/>
      <c r="B5" s="2128"/>
      <c r="C5" s="2119"/>
      <c r="D5" s="2121"/>
      <c r="E5" s="1016" t="s">
        <v>1873</v>
      </c>
      <c r="F5" s="1017">
        <v>42935871865.199997</v>
      </c>
      <c r="G5" s="1905"/>
      <c r="H5" s="2130"/>
      <c r="I5" s="980"/>
    </row>
    <row r="6" spans="1:9" ht="39" customHeight="1" x14ac:dyDescent="0.2">
      <c r="A6" s="2134"/>
      <c r="B6" s="2122">
        <v>2</v>
      </c>
      <c r="C6" s="2118" t="s">
        <v>2548</v>
      </c>
      <c r="D6" s="2120">
        <v>0.4</v>
      </c>
      <c r="E6" s="1018" t="s">
        <v>1914</v>
      </c>
      <c r="F6" s="1019">
        <v>34591592405.18</v>
      </c>
      <c r="G6" s="1903" t="s">
        <v>2775</v>
      </c>
      <c r="H6" s="2129">
        <f>IFERROR(IF(F6/F7&gt;1,1,F6/F7),0)</f>
        <v>0.8501513577236971</v>
      </c>
      <c r="I6" s="978"/>
    </row>
    <row r="7" spans="1:9" ht="39" customHeight="1" thickBot="1" x14ac:dyDescent="0.25">
      <c r="A7" s="2134"/>
      <c r="B7" s="2128"/>
      <c r="C7" s="2119"/>
      <c r="D7" s="2121"/>
      <c r="E7" s="1016" t="s">
        <v>1875</v>
      </c>
      <c r="F7" s="1017">
        <v>40688745705</v>
      </c>
      <c r="G7" s="1905"/>
      <c r="H7" s="2130"/>
      <c r="I7" s="980"/>
    </row>
    <row r="8" spans="1:9" ht="43.5" customHeight="1" x14ac:dyDescent="0.2">
      <c r="A8" s="2134"/>
      <c r="B8" s="2122">
        <v>3</v>
      </c>
      <c r="C8" s="2118" t="s">
        <v>2549</v>
      </c>
      <c r="D8" s="2124">
        <v>0.1</v>
      </c>
      <c r="E8" s="1018" t="s">
        <v>1874</v>
      </c>
      <c r="F8" s="1019">
        <v>30276141310.299999</v>
      </c>
      <c r="G8" s="2131" t="s">
        <v>2776</v>
      </c>
      <c r="H8" s="2129">
        <f>IFERROR(IF(F8/F9&gt;1,1,F8/F9),0)</f>
        <v>0.74409129074184122</v>
      </c>
      <c r="I8" s="978"/>
    </row>
    <row r="9" spans="1:9" ht="24" customHeight="1" thickBot="1" x14ac:dyDescent="0.25">
      <c r="A9" s="2135"/>
      <c r="B9" s="2123"/>
      <c r="C9" s="1596"/>
      <c r="D9" s="2125"/>
      <c r="E9" s="1020" t="s">
        <v>1875</v>
      </c>
      <c r="F9" s="1021">
        <v>40688745705</v>
      </c>
      <c r="G9" s="2132"/>
      <c r="H9" s="2133"/>
      <c r="I9" s="1022"/>
    </row>
    <row r="10" spans="1:9" ht="19.5" thickBot="1" x14ac:dyDescent="0.25">
      <c r="A10" s="2126" t="s">
        <v>2545</v>
      </c>
      <c r="B10" s="2127"/>
      <c r="C10" s="2127"/>
      <c r="D10" s="2127"/>
      <c r="E10" s="2127"/>
      <c r="F10" s="2127"/>
      <c r="G10" s="2127"/>
      <c r="H10" s="1023">
        <f>IF(((H4*0.5)+(H6*0.4)+(H8*0.1))&gt;1,1,(H4*0.5)+(H6*0.4)+(H8*0.1))</f>
        <v>0.64803467498600154</v>
      </c>
      <c r="I10" s="1024"/>
    </row>
    <row r="11" spans="1:9" ht="15" x14ac:dyDescent="0.25">
      <c r="H11" s="86"/>
    </row>
    <row r="12" spans="1:9" x14ac:dyDescent="0.2">
      <c r="A12" s="1547" t="s">
        <v>1964</v>
      </c>
      <c r="B12" s="1547"/>
      <c r="C12" s="1547"/>
      <c r="D12" s="1547"/>
      <c r="E12" s="1547"/>
    </row>
    <row r="13" spans="1:9" x14ac:dyDescent="0.2">
      <c r="A13" s="3"/>
      <c r="B13" s="1546" t="s">
        <v>2171</v>
      </c>
      <c r="C13" s="1546"/>
      <c r="D13" s="1546"/>
      <c r="E13" s="1546"/>
    </row>
    <row r="14" spans="1:9" x14ac:dyDescent="0.2">
      <c r="A14" s="45"/>
      <c r="B14" s="1546" t="s">
        <v>1970</v>
      </c>
      <c r="C14" s="1546"/>
      <c r="D14" s="1546"/>
      <c r="E14" s="1546"/>
    </row>
    <row r="15" spans="1:9" x14ac:dyDescent="0.2">
      <c r="A15" s="4"/>
      <c r="B15" s="1546" t="s">
        <v>2172</v>
      </c>
      <c r="C15" s="1546"/>
      <c r="D15" s="1546"/>
      <c r="E15" s="1546"/>
    </row>
    <row r="16" spans="1:9" ht="12.75" thickBot="1" x14ac:dyDescent="0.25"/>
    <row r="17" spans="3:6" ht="12.75" thickBot="1" x14ac:dyDescent="0.25">
      <c r="C17" s="1181" t="s">
        <v>2227</v>
      </c>
      <c r="D17" s="1182"/>
      <c r="E17" s="1182"/>
      <c r="F17" s="1183"/>
    </row>
    <row r="18" spans="3:6" ht="24.75" thickBot="1" x14ac:dyDescent="0.25">
      <c r="C18" s="94" t="s">
        <v>2228</v>
      </c>
      <c r="D18" s="119" t="s">
        <v>2229</v>
      </c>
      <c r="E18" s="95" t="s">
        <v>2230</v>
      </c>
      <c r="F18" s="95" t="s">
        <v>2231</v>
      </c>
    </row>
    <row r="19" spans="3:6" ht="24.75" thickBot="1" x14ac:dyDescent="0.25">
      <c r="C19" s="96">
        <v>1</v>
      </c>
      <c r="D19" s="97" t="s">
        <v>2232</v>
      </c>
      <c r="E19" s="97" t="s">
        <v>2233</v>
      </c>
      <c r="F19" s="98"/>
    </row>
    <row r="20" spans="3:6" ht="12.75" thickBot="1" x14ac:dyDescent="0.25">
      <c r="C20" s="96">
        <v>2</v>
      </c>
      <c r="D20" s="97" t="s">
        <v>2234</v>
      </c>
      <c r="E20" s="97" t="s">
        <v>2235</v>
      </c>
      <c r="F20" s="99"/>
    </row>
    <row r="21" spans="3:6" ht="12.75" thickBot="1" x14ac:dyDescent="0.25">
      <c r="C21" s="96">
        <v>3</v>
      </c>
      <c r="D21" s="97" t="s">
        <v>2236</v>
      </c>
      <c r="E21" s="97" t="s">
        <v>2237</v>
      </c>
      <c r="F21" s="100"/>
    </row>
    <row r="22" spans="3:6" ht="12.75" thickBot="1" x14ac:dyDescent="0.25">
      <c r="C22" s="96">
        <v>4</v>
      </c>
      <c r="D22" s="97" t="s">
        <v>2238</v>
      </c>
      <c r="E22" s="97" t="s">
        <v>2239</v>
      </c>
      <c r="F22" s="101"/>
    </row>
    <row r="23" spans="3:6" ht="29.25" customHeight="1" thickBot="1" x14ac:dyDescent="0.25">
      <c r="C23" s="96">
        <v>5</v>
      </c>
      <c r="D23" s="97" t="s">
        <v>2240</v>
      </c>
      <c r="E23" s="97" t="s">
        <v>2241</v>
      </c>
      <c r="F23" s="102"/>
    </row>
  </sheetData>
  <sheetProtection password="B860" sheet="1" objects="1" scenarios="1"/>
  <mergeCells count="24">
    <mergeCell ref="A2:I2"/>
    <mergeCell ref="A1:I1"/>
    <mergeCell ref="A12:E12"/>
    <mergeCell ref="B13:E13"/>
    <mergeCell ref="A10:G10"/>
    <mergeCell ref="B6:B7"/>
    <mergeCell ref="C6:C7"/>
    <mergeCell ref="D6:D7"/>
    <mergeCell ref="G6:G7"/>
    <mergeCell ref="H6:H7"/>
    <mergeCell ref="G8:G9"/>
    <mergeCell ref="H8:H9"/>
    <mergeCell ref="A4:A9"/>
    <mergeCell ref="G4:G5"/>
    <mergeCell ref="H4:H5"/>
    <mergeCell ref="B4:B5"/>
    <mergeCell ref="C4:C5"/>
    <mergeCell ref="D4:D5"/>
    <mergeCell ref="C17:F17"/>
    <mergeCell ref="B14:E14"/>
    <mergeCell ref="B15:E15"/>
    <mergeCell ref="B8:B9"/>
    <mergeCell ref="C8:C9"/>
    <mergeCell ref="D8:D9"/>
  </mergeCells>
  <conditionalFormatting sqref="H10">
    <cfRule type="cellIs" dxfId="34" priority="11" operator="between">
      <formula>0.9</formula>
      <formula>1</formula>
    </cfRule>
    <cfRule type="cellIs" dxfId="33" priority="12" operator="between">
      <formula>0.75</formula>
      <formula>0.899</formula>
    </cfRule>
    <cfRule type="cellIs" dxfId="32" priority="13" operator="between">
      <formula>0.6</formula>
      <formula>0.749</formula>
    </cfRule>
    <cfRule type="cellIs" dxfId="31" priority="14" operator="between">
      <formula>0.41</formula>
      <formula>0.599</formula>
    </cfRule>
    <cfRule type="cellIs" dxfId="30" priority="15" operator="between">
      <formula>0</formula>
      <formula>0.4</formula>
    </cfRule>
  </conditionalFormatting>
  <conditionalFormatting sqref="H4:H5">
    <cfRule type="cellIs" dxfId="29" priority="6" operator="greaterThan">
      <formula>0.91</formula>
    </cfRule>
    <cfRule type="cellIs" dxfId="28" priority="7" operator="between">
      <formula>0.75</formula>
      <formula>0.9</formula>
    </cfRule>
    <cfRule type="cellIs" dxfId="27" priority="8" operator="between">
      <formula>0.6</formula>
      <formula>0.749</formula>
    </cfRule>
    <cfRule type="cellIs" dxfId="26" priority="9" operator="between">
      <formula>0.41</formula>
      <formula>0.599</formula>
    </cfRule>
    <cfRule type="cellIs" dxfId="25" priority="10" operator="lessThan">
      <formula>0.4</formula>
    </cfRule>
  </conditionalFormatting>
  <conditionalFormatting sqref="H4:H9">
    <cfRule type="cellIs" dxfId="24" priority="1" operator="between">
      <formula>0.9</formula>
      <formula>1</formula>
    </cfRule>
    <cfRule type="cellIs" dxfId="23" priority="2" operator="between">
      <formula>0.75</formula>
      <formula>0.8999</formula>
    </cfRule>
    <cfRule type="cellIs" dxfId="22" priority="3" operator="between">
      <formula>0.6</formula>
      <formula>0.749</formula>
    </cfRule>
    <cfRule type="cellIs" dxfId="21" priority="4" operator="between">
      <formula>0.41</formula>
      <formula>0.599</formula>
    </cfRule>
    <cfRule type="cellIs" dxfId="20" priority="5" operator="between">
      <formula>0</formula>
      <formula>0.4</formula>
    </cfRule>
  </conditionalFormatting>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theme="3" tint="0.39997558519241921"/>
  </sheetPr>
  <dimension ref="A1:I26"/>
  <sheetViews>
    <sheetView showGridLines="0" topLeftCell="D1" zoomScaleNormal="100" workbookViewId="0">
      <selection activeCell="F6" sqref="F6"/>
    </sheetView>
  </sheetViews>
  <sheetFormatPr baseColWidth="10" defaultRowHeight="12" x14ac:dyDescent="0.2"/>
  <cols>
    <col min="1" max="1" width="17.140625" style="10" bestFit="1" customWidth="1"/>
    <col min="2" max="2" width="9.140625" style="10" bestFit="1" customWidth="1"/>
    <col min="3" max="3" width="27.7109375" style="10" bestFit="1" customWidth="1"/>
    <col min="4" max="4" width="18.7109375" style="10" bestFit="1" customWidth="1"/>
    <col min="5" max="5" width="44.28515625" style="10" customWidth="1"/>
    <col min="6" max="6" width="30" style="10" customWidth="1"/>
    <col min="7" max="7" width="41.42578125" style="10" customWidth="1"/>
    <col min="8" max="8" width="31.85546875" style="10" customWidth="1"/>
    <col min="9" max="9" width="59.7109375" style="10" customWidth="1"/>
    <col min="10" max="16384" width="11.42578125" style="10"/>
  </cols>
  <sheetData>
    <row r="1" spans="1:9" ht="20.25" customHeight="1" x14ac:dyDescent="0.2">
      <c r="A1" s="2141" t="s">
        <v>2174</v>
      </c>
      <c r="B1" s="2141"/>
      <c r="C1" s="2141"/>
      <c r="D1" s="2141"/>
      <c r="E1" s="2141"/>
      <c r="F1" s="2141"/>
      <c r="G1" s="2141"/>
      <c r="H1" s="2141"/>
      <c r="I1" s="2141"/>
    </row>
    <row r="2" spans="1:9" ht="21" customHeight="1" x14ac:dyDescent="0.2">
      <c r="A2" s="1617" t="s">
        <v>2175</v>
      </c>
      <c r="B2" s="1617"/>
      <c r="C2" s="1617"/>
      <c r="D2" s="1617"/>
      <c r="E2" s="1617"/>
      <c r="F2" s="1617"/>
      <c r="G2" s="1617"/>
      <c r="H2" s="1617"/>
      <c r="I2" s="1617"/>
    </row>
    <row r="3" spans="1:9" ht="24.75" thickBot="1" x14ac:dyDescent="0.25">
      <c r="A3" s="28" t="s">
        <v>1867</v>
      </c>
      <c r="B3" s="295" t="s">
        <v>1868</v>
      </c>
      <c r="C3" s="295" t="s">
        <v>1869</v>
      </c>
      <c r="D3" s="295" t="s">
        <v>74</v>
      </c>
      <c r="E3" s="295" t="s">
        <v>1876</v>
      </c>
      <c r="F3" s="295" t="s">
        <v>1877</v>
      </c>
      <c r="G3" s="295" t="s">
        <v>1878</v>
      </c>
      <c r="H3" s="295" t="s">
        <v>4</v>
      </c>
      <c r="I3" s="295" t="s">
        <v>1907</v>
      </c>
    </row>
    <row r="4" spans="1:9" ht="42.75" customHeight="1" x14ac:dyDescent="0.2">
      <c r="A4" s="2138" t="s">
        <v>1879</v>
      </c>
      <c r="B4" s="2122">
        <v>1</v>
      </c>
      <c r="C4" s="2118" t="s">
        <v>2550</v>
      </c>
      <c r="D4" s="2139">
        <v>0.33329999999999999</v>
      </c>
      <c r="E4" s="1018" t="s">
        <v>1880</v>
      </c>
      <c r="F4" s="1025">
        <v>9719244440.0499992</v>
      </c>
      <c r="G4" s="1903" t="s">
        <v>2777</v>
      </c>
      <c r="H4" s="2136">
        <f>IFERROR(IF(F4/F5&gt;1,1,F4/F5),0)</f>
        <v>0.78247521272629006</v>
      </c>
      <c r="I4" s="978"/>
    </row>
    <row r="5" spans="1:9" ht="36.75" customHeight="1" thickBot="1" x14ac:dyDescent="0.25">
      <c r="A5" s="2138"/>
      <c r="B5" s="2128"/>
      <c r="C5" s="2119"/>
      <c r="D5" s="2140"/>
      <c r="E5" s="1016" t="s">
        <v>1881</v>
      </c>
      <c r="F5" s="1026">
        <v>12421153133</v>
      </c>
      <c r="G5" s="1905"/>
      <c r="H5" s="2137"/>
      <c r="I5" s="980"/>
    </row>
    <row r="6" spans="1:9" ht="31.5" customHeight="1" x14ac:dyDescent="0.2">
      <c r="A6" s="2138" t="s">
        <v>1882</v>
      </c>
      <c r="B6" s="2122">
        <v>2</v>
      </c>
      <c r="C6" s="2118" t="s">
        <v>2551</v>
      </c>
      <c r="D6" s="2139">
        <v>0.33329999999999999</v>
      </c>
      <c r="E6" s="1018" t="s">
        <v>1883</v>
      </c>
      <c r="F6" s="1025">
        <v>31790505530</v>
      </c>
      <c r="G6" s="1903" t="s">
        <v>2778</v>
      </c>
      <c r="H6" s="2136">
        <f>IFERROR(IF(F6/F7&gt;1,1,F6/F7),0)</f>
        <v>0.7813095483573349</v>
      </c>
      <c r="I6" s="978"/>
    </row>
    <row r="7" spans="1:9" ht="32.25" customHeight="1" thickBot="1" x14ac:dyDescent="0.25">
      <c r="A7" s="2138"/>
      <c r="B7" s="2128"/>
      <c r="C7" s="2119"/>
      <c r="D7" s="2140"/>
      <c r="E7" s="1027" t="s">
        <v>1884</v>
      </c>
      <c r="F7" s="1026">
        <v>40688745705</v>
      </c>
      <c r="G7" s="1905"/>
      <c r="H7" s="2137"/>
      <c r="I7" s="980"/>
    </row>
    <row r="8" spans="1:9" ht="32.25" customHeight="1" x14ac:dyDescent="0.2">
      <c r="A8" s="2138"/>
      <c r="B8" s="2122">
        <v>3</v>
      </c>
      <c r="C8" s="2118" t="s">
        <v>2552</v>
      </c>
      <c r="D8" s="2120">
        <v>0.2</v>
      </c>
      <c r="E8" s="1018" t="s">
        <v>1915</v>
      </c>
      <c r="F8" s="1025">
        <v>26467630265.66</v>
      </c>
      <c r="G8" s="2131" t="s">
        <v>2779</v>
      </c>
      <c r="H8" s="2136">
        <f>IFERROR(IF(F8/F9&gt;1,1,F8/F9),0)</f>
        <v>0.83256399432475459</v>
      </c>
      <c r="I8" s="978"/>
    </row>
    <row r="9" spans="1:9" ht="32.25" customHeight="1" thickBot="1" x14ac:dyDescent="0.25">
      <c r="A9" s="2138"/>
      <c r="B9" s="2128"/>
      <c r="C9" s="2119"/>
      <c r="D9" s="2140"/>
      <c r="E9" s="692" t="s">
        <v>1886</v>
      </c>
      <c r="F9" s="1026">
        <v>31790505530</v>
      </c>
      <c r="G9" s="2146"/>
      <c r="H9" s="2137"/>
      <c r="I9" s="980"/>
    </row>
    <row r="10" spans="1:9" ht="33" customHeight="1" x14ac:dyDescent="0.2">
      <c r="A10" s="2138"/>
      <c r="B10" s="2122">
        <v>4</v>
      </c>
      <c r="C10" s="2118" t="s">
        <v>2553</v>
      </c>
      <c r="D10" s="2139">
        <v>0.13339999999999999</v>
      </c>
      <c r="E10" s="1018" t="s">
        <v>1885</v>
      </c>
      <c r="F10" s="1025">
        <v>26841084851.019997</v>
      </c>
      <c r="G10" s="2131" t="s">
        <v>2780</v>
      </c>
      <c r="H10" s="2136">
        <f>IFERROR(IF(F10/F11&gt;1,1,F10/F11),0)</f>
        <v>0.84431135659955625</v>
      </c>
      <c r="I10" s="978"/>
    </row>
    <row r="11" spans="1:9" ht="36.75" customHeight="1" thickBot="1" x14ac:dyDescent="0.25">
      <c r="A11" s="2145"/>
      <c r="B11" s="2123"/>
      <c r="C11" s="1596"/>
      <c r="D11" s="2147"/>
      <c r="E11" s="1029" t="s">
        <v>1886</v>
      </c>
      <c r="F11" s="1030">
        <v>31790505530</v>
      </c>
      <c r="G11" s="2132"/>
      <c r="H11" s="2137"/>
      <c r="I11" s="980"/>
    </row>
    <row r="12" spans="1:9" ht="19.5" thickBot="1" x14ac:dyDescent="0.25">
      <c r="A12" s="2142" t="s">
        <v>2177</v>
      </c>
      <c r="B12" s="2143"/>
      <c r="C12" s="2143"/>
      <c r="D12" s="2143"/>
      <c r="E12" s="2143"/>
      <c r="F12" s="2143"/>
      <c r="G12" s="2144"/>
      <c r="H12" s="1028">
        <f>(H4*33.33%)+(H6*33.33%)+(H8*20%)+(H10*13.34%)</f>
        <v>0.80035339470450395</v>
      </c>
      <c r="I12" s="982"/>
    </row>
    <row r="13" spans="1:9" ht="15" x14ac:dyDescent="0.25">
      <c r="H13" s="87"/>
    </row>
    <row r="15" spans="1:9" x14ac:dyDescent="0.2">
      <c r="A15" s="1547" t="s">
        <v>1964</v>
      </c>
      <c r="B15" s="1547"/>
      <c r="C15" s="1547"/>
      <c r="D15" s="1547"/>
      <c r="E15" s="1547"/>
    </row>
    <row r="16" spans="1:9" x14ac:dyDescent="0.2">
      <c r="A16" s="3"/>
      <c r="B16" s="1546" t="s">
        <v>2171</v>
      </c>
      <c r="C16" s="1546"/>
      <c r="D16" s="1546"/>
      <c r="E16" s="1546"/>
    </row>
    <row r="17" spans="1:5" x14ac:dyDescent="0.2">
      <c r="A17" s="45"/>
      <c r="B17" s="1546" t="s">
        <v>1970</v>
      </c>
      <c r="C17" s="1546"/>
      <c r="D17" s="1546"/>
      <c r="E17" s="1546"/>
    </row>
    <row r="18" spans="1:5" x14ac:dyDescent="0.2">
      <c r="A18" s="4"/>
      <c r="B18" s="1546" t="s">
        <v>2176</v>
      </c>
      <c r="C18" s="1546"/>
      <c r="D18" s="1546"/>
      <c r="E18" s="1546"/>
    </row>
    <row r="19" spans="1:5" ht="12.75" thickBot="1" x14ac:dyDescent="0.25"/>
    <row r="20" spans="1:5" ht="12.75" thickBot="1" x14ac:dyDescent="0.25">
      <c r="A20" s="1181" t="s">
        <v>2227</v>
      </c>
      <c r="B20" s="1182"/>
      <c r="C20" s="1182"/>
      <c r="D20" s="1183"/>
    </row>
    <row r="21" spans="1:5" ht="24.75" thickBot="1" x14ac:dyDescent="0.25">
      <c r="A21" s="94" t="s">
        <v>2228</v>
      </c>
      <c r="B21" s="119" t="s">
        <v>2229</v>
      </c>
      <c r="C21" s="95" t="s">
        <v>2230</v>
      </c>
      <c r="D21" s="95" t="s">
        <v>2231</v>
      </c>
    </row>
    <row r="22" spans="1:5" ht="24.75" thickBot="1" x14ac:dyDescent="0.25">
      <c r="A22" s="96">
        <v>1</v>
      </c>
      <c r="B22" s="97" t="s">
        <v>2232</v>
      </c>
      <c r="C22" s="97" t="s">
        <v>2233</v>
      </c>
      <c r="D22" s="98"/>
    </row>
    <row r="23" spans="1:5" ht="12.75" thickBot="1" x14ac:dyDescent="0.25">
      <c r="A23" s="96">
        <v>2</v>
      </c>
      <c r="B23" s="97" t="s">
        <v>2234</v>
      </c>
      <c r="C23" s="97" t="s">
        <v>2235</v>
      </c>
      <c r="D23" s="99"/>
    </row>
    <row r="24" spans="1:5" ht="12.75" thickBot="1" x14ac:dyDescent="0.25">
      <c r="A24" s="96">
        <v>3</v>
      </c>
      <c r="B24" s="97" t="s">
        <v>2236</v>
      </c>
      <c r="C24" s="97" t="s">
        <v>2237</v>
      </c>
      <c r="D24" s="100"/>
    </row>
    <row r="25" spans="1:5" ht="12.75" thickBot="1" x14ac:dyDescent="0.25">
      <c r="A25" s="96">
        <v>4</v>
      </c>
      <c r="B25" s="97" t="s">
        <v>2238</v>
      </c>
      <c r="C25" s="97" t="s">
        <v>2239</v>
      </c>
      <c r="D25" s="101"/>
    </row>
    <row r="26" spans="1:5" ht="24.75" thickBot="1" x14ac:dyDescent="0.25">
      <c r="A26" s="96">
        <v>5</v>
      </c>
      <c r="B26" s="97" t="s">
        <v>2240</v>
      </c>
      <c r="C26" s="97" t="s">
        <v>2241</v>
      </c>
      <c r="D26" s="102"/>
    </row>
  </sheetData>
  <sheetProtection password="B860" sheet="1" objects="1" scenarios="1"/>
  <mergeCells count="30">
    <mergeCell ref="A1:I1"/>
    <mergeCell ref="A15:E15"/>
    <mergeCell ref="B16:E16"/>
    <mergeCell ref="B17:E17"/>
    <mergeCell ref="B18:E18"/>
    <mergeCell ref="A12:G12"/>
    <mergeCell ref="A6:A11"/>
    <mergeCell ref="B6:B7"/>
    <mergeCell ref="C6:C7"/>
    <mergeCell ref="D6:D7"/>
    <mergeCell ref="G6:G7"/>
    <mergeCell ref="B10:B11"/>
    <mergeCell ref="C10:C11"/>
    <mergeCell ref="G8:G9"/>
    <mergeCell ref="D10:D11"/>
    <mergeCell ref="G10:G11"/>
    <mergeCell ref="A20:D20"/>
    <mergeCell ref="A2:I2"/>
    <mergeCell ref="H10:H11"/>
    <mergeCell ref="H6:H7"/>
    <mergeCell ref="A4:A5"/>
    <mergeCell ref="B4:B5"/>
    <mergeCell ref="C4:C5"/>
    <mergeCell ref="D4:D5"/>
    <mergeCell ref="B8:B9"/>
    <mergeCell ref="C8:C9"/>
    <mergeCell ref="D8:D9"/>
    <mergeCell ref="G4:G5"/>
    <mergeCell ref="H4:H5"/>
    <mergeCell ref="H8:H9"/>
  </mergeCells>
  <conditionalFormatting sqref="H4:H11">
    <cfRule type="cellIs" dxfId="19" priority="11" operator="greaterThan">
      <formula>0.91</formula>
    </cfRule>
    <cfRule type="cellIs" dxfId="18" priority="12" operator="between">
      <formula>0.75</formula>
      <formula>0.9</formula>
    </cfRule>
    <cfRule type="cellIs" dxfId="17" priority="13" operator="between">
      <formula>0.6</formula>
      <formula>0.749</formula>
    </cfRule>
    <cfRule type="cellIs" dxfId="16" priority="14" operator="between">
      <formula>0.41</formula>
      <formula>0.599</formula>
    </cfRule>
    <cfRule type="cellIs" dxfId="15" priority="15" operator="lessThan">
      <formula>0.4</formula>
    </cfRule>
  </conditionalFormatting>
  <conditionalFormatting sqref="H4:H11">
    <cfRule type="cellIs" dxfId="14" priority="6" operator="between">
      <formula>0.9</formula>
      <formula>1</formula>
    </cfRule>
    <cfRule type="cellIs" dxfId="13" priority="7" operator="between">
      <formula>0.75</formula>
      <formula>0.899</formula>
    </cfRule>
    <cfRule type="cellIs" dxfId="12" priority="8" operator="between">
      <formula>0.6</formula>
      <formula>0.749</formula>
    </cfRule>
    <cfRule type="cellIs" dxfId="11" priority="9" operator="between">
      <formula>0.41</formula>
      <formula>0.599</formula>
    </cfRule>
    <cfRule type="cellIs" dxfId="10" priority="10" operator="between">
      <formula>0</formula>
      <formula>0.4</formula>
    </cfRule>
  </conditionalFormatting>
  <conditionalFormatting sqref="H12">
    <cfRule type="cellIs" dxfId="9" priority="1" operator="between">
      <formula>0.9</formula>
      <formula>1</formula>
    </cfRule>
    <cfRule type="cellIs" dxfId="8" priority="2" operator="between">
      <formula>0.75</formula>
      <formula>0.899</formula>
    </cfRule>
    <cfRule type="cellIs" dxfId="7" priority="3" operator="between">
      <formula>0.6</formula>
      <formula>0.749</formula>
    </cfRule>
    <cfRule type="cellIs" dxfId="6" priority="4" operator="between">
      <formula>0.41</formula>
      <formula>0.599</formula>
    </cfRule>
    <cfRule type="cellIs" dxfId="5" priority="5" operator="between">
      <formula>0</formula>
      <formula>0.4</formula>
    </cfRule>
  </conditionalFormatting>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tabColor theme="3" tint="0.39997558519241921"/>
  </sheetPr>
  <dimension ref="A1:J40"/>
  <sheetViews>
    <sheetView showGridLines="0" topLeftCell="C19" zoomScaleNormal="100" workbookViewId="0">
      <selection activeCell="I25" sqref="I25"/>
    </sheetView>
  </sheetViews>
  <sheetFormatPr baseColWidth="10" defaultRowHeight="12" x14ac:dyDescent="0.2"/>
  <cols>
    <col min="1" max="1" width="14.5703125" style="10" customWidth="1"/>
    <col min="2" max="2" width="35.5703125" style="10" customWidth="1"/>
    <col min="3" max="3" width="22.42578125" style="10" bestFit="1" customWidth="1"/>
    <col min="4" max="4" width="50.85546875" style="10" customWidth="1"/>
    <col min="5" max="5" width="19.140625" style="10" customWidth="1"/>
    <col min="6" max="6" width="52.42578125" style="10" customWidth="1"/>
    <col min="7" max="7" width="25.5703125" style="41" customWidth="1"/>
    <col min="8" max="8" width="36.42578125" style="44" customWidth="1"/>
    <col min="9" max="9" width="34.140625" style="10" customWidth="1"/>
    <col min="10" max="10" width="57.140625" style="10" customWidth="1"/>
    <col min="11" max="16384" width="11.42578125" style="10"/>
  </cols>
  <sheetData>
    <row r="1" spans="1:10" ht="22.5" customHeight="1" x14ac:dyDescent="0.2">
      <c r="A1" s="1570" t="s">
        <v>2174</v>
      </c>
      <c r="B1" s="1570"/>
      <c r="C1" s="1570"/>
      <c r="D1" s="1570"/>
      <c r="E1" s="1570"/>
      <c r="F1" s="1570"/>
      <c r="G1" s="1570"/>
      <c r="H1" s="1570"/>
      <c r="I1" s="1570"/>
      <c r="J1" s="1570"/>
    </row>
    <row r="2" spans="1:10" ht="22.5" customHeight="1" x14ac:dyDescent="0.2">
      <c r="A2" s="1617" t="s">
        <v>2178</v>
      </c>
      <c r="B2" s="1617"/>
      <c r="C2" s="1617"/>
      <c r="D2" s="1617"/>
      <c r="E2" s="1617"/>
      <c r="F2" s="1617"/>
      <c r="G2" s="1617"/>
      <c r="H2" s="1617"/>
      <c r="I2" s="1617"/>
      <c r="J2" s="1617"/>
    </row>
    <row r="3" spans="1:10" ht="36.75" thickBot="1" x14ac:dyDescent="0.25">
      <c r="A3" s="1031" t="s">
        <v>170</v>
      </c>
      <c r="B3" s="1032" t="s">
        <v>2179</v>
      </c>
      <c r="C3" s="389" t="s">
        <v>2078</v>
      </c>
      <c r="D3" s="1032" t="s">
        <v>1876</v>
      </c>
      <c r="E3" s="389" t="s">
        <v>2180</v>
      </c>
      <c r="F3" s="389" t="s">
        <v>22</v>
      </c>
      <c r="G3" s="1033" t="s">
        <v>2181</v>
      </c>
      <c r="H3" s="1032" t="s">
        <v>2182</v>
      </c>
      <c r="I3" s="389" t="s">
        <v>2715</v>
      </c>
      <c r="J3" s="389" t="s">
        <v>1907</v>
      </c>
    </row>
    <row r="4" spans="1:10" ht="34.5" customHeight="1" x14ac:dyDescent="0.2">
      <c r="A4" s="2148">
        <v>1</v>
      </c>
      <c r="B4" s="2150" t="s">
        <v>1947</v>
      </c>
      <c r="C4" s="2152">
        <v>0.2</v>
      </c>
      <c r="D4" s="1013" t="s">
        <v>2183</v>
      </c>
      <c r="E4" s="1034">
        <v>29261197888.149998</v>
      </c>
      <c r="F4" s="1903" t="s">
        <v>2184</v>
      </c>
      <c r="G4" s="2124">
        <f>IFERROR(IF(E4/E5&gt;1,1,E4/E5),0)</f>
        <v>0.68150934444786537</v>
      </c>
      <c r="H4" s="2176" t="s">
        <v>1946</v>
      </c>
      <c r="I4" s="2136">
        <f>G4</f>
        <v>0.68150934444786537</v>
      </c>
      <c r="J4" s="978"/>
    </row>
    <row r="5" spans="1:10" ht="43.5" customHeight="1" thickBot="1" x14ac:dyDescent="0.25">
      <c r="A5" s="2149"/>
      <c r="B5" s="2151"/>
      <c r="C5" s="2153"/>
      <c r="D5" s="1035" t="s">
        <v>2185</v>
      </c>
      <c r="E5" s="1036">
        <v>42935871865.199997</v>
      </c>
      <c r="F5" s="1905"/>
      <c r="G5" s="2155"/>
      <c r="H5" s="2177"/>
      <c r="I5" s="2137"/>
      <c r="J5" s="980"/>
    </row>
    <row r="6" spans="1:10" ht="40.5" customHeight="1" x14ac:dyDescent="0.2">
      <c r="A6" s="2148">
        <v>2</v>
      </c>
      <c r="B6" s="2118" t="s">
        <v>1887</v>
      </c>
      <c r="C6" s="2120">
        <v>0.1</v>
      </c>
      <c r="D6" s="1037" t="s">
        <v>2186</v>
      </c>
      <c r="E6" s="1038">
        <v>29261197888.149998</v>
      </c>
      <c r="F6" s="1903" t="s">
        <v>2719</v>
      </c>
      <c r="G6" s="2157">
        <f>IFERROR(IF((E6-E7)/E6&gt;1,1,(E6-E7)/E6),0)</f>
        <v>0.72126467285527585</v>
      </c>
      <c r="H6" s="2170" t="s">
        <v>2554</v>
      </c>
      <c r="I6" s="2136">
        <f>IF(AND(G6&gt;0,G6&lt;9.9%),1,IF(AND(G6&gt;10%,G6&lt;25%),0.6,IF(AND(G6&gt;25.9%,G6&lt;51%),0.2,0)))</f>
        <v>0</v>
      </c>
      <c r="J6" s="978"/>
    </row>
    <row r="7" spans="1:10" ht="53.25" customHeight="1" thickBot="1" x14ac:dyDescent="0.25">
      <c r="A7" s="2149"/>
      <c r="B7" s="2119"/>
      <c r="C7" s="2140"/>
      <c r="D7" s="1035" t="s">
        <v>2187</v>
      </c>
      <c r="E7" s="1039">
        <v>8156129566</v>
      </c>
      <c r="F7" s="1905"/>
      <c r="G7" s="2158"/>
      <c r="H7" s="2172"/>
      <c r="I7" s="2137"/>
      <c r="J7" s="980"/>
    </row>
    <row r="8" spans="1:10" ht="75.75" customHeight="1" x14ac:dyDescent="0.2">
      <c r="A8" s="2148">
        <v>4</v>
      </c>
      <c r="B8" s="2118" t="s">
        <v>1888</v>
      </c>
      <c r="C8" s="2152">
        <v>0.15</v>
      </c>
      <c r="D8" s="1037" t="s">
        <v>1889</v>
      </c>
      <c r="E8" s="441">
        <f>21+20</f>
        <v>41</v>
      </c>
      <c r="F8" s="1903" t="s">
        <v>1890</v>
      </c>
      <c r="G8" s="2157">
        <f>IFERROR(IF(E8/E9&gt;1,1,E8/E9),0)</f>
        <v>0.23428571428571429</v>
      </c>
      <c r="H8" s="2170" t="s">
        <v>2555</v>
      </c>
      <c r="I8" s="2136">
        <f>IF(AND(G8&gt;0,G8&lt;10.01%),1,IF(AND(G8&gt;10.1%,G8&lt;30.01%),0.7,IF(AND(G8&gt;30.1%,G8&lt;60.01%),0.4,0)))</f>
        <v>0.7</v>
      </c>
      <c r="J8" s="978"/>
    </row>
    <row r="9" spans="1:10" ht="78.75" customHeight="1" thickBot="1" x14ac:dyDescent="0.25">
      <c r="A9" s="2149"/>
      <c r="B9" s="2119"/>
      <c r="C9" s="2153"/>
      <c r="D9" s="1035" t="s">
        <v>1891</v>
      </c>
      <c r="E9" s="376">
        <v>175</v>
      </c>
      <c r="F9" s="1905"/>
      <c r="G9" s="2158"/>
      <c r="H9" s="2172"/>
      <c r="I9" s="2137"/>
      <c r="J9" s="980"/>
    </row>
    <row r="10" spans="1:10" ht="18" customHeight="1" x14ac:dyDescent="0.2">
      <c r="A10" s="2148">
        <v>5</v>
      </c>
      <c r="B10" s="2118" t="s">
        <v>1892</v>
      </c>
      <c r="C10" s="2120">
        <v>0.1</v>
      </c>
      <c r="D10" s="2004" t="s">
        <v>1893</v>
      </c>
      <c r="E10" s="2165">
        <v>162</v>
      </c>
      <c r="F10" s="1559" t="s">
        <v>1894</v>
      </c>
      <c r="G10" s="2167">
        <f>IFERROR(IF(E10/E12&gt;1,1,E10/E12),0)</f>
        <v>1</v>
      </c>
      <c r="H10" s="2170" t="s">
        <v>1948</v>
      </c>
      <c r="I10" s="2136">
        <f>G10</f>
        <v>1</v>
      </c>
      <c r="J10" s="978"/>
    </row>
    <row r="11" spans="1:10" ht="21.75" customHeight="1" x14ac:dyDescent="0.2">
      <c r="A11" s="2156"/>
      <c r="B11" s="1642"/>
      <c r="C11" s="1593"/>
      <c r="D11" s="2164"/>
      <c r="E11" s="2166"/>
      <c r="F11" s="1562"/>
      <c r="G11" s="2168"/>
      <c r="H11" s="2171"/>
      <c r="I11" s="2173"/>
      <c r="J11" s="979"/>
    </row>
    <row r="12" spans="1:10" ht="44.25" customHeight="1" thickBot="1" x14ac:dyDescent="0.25">
      <c r="A12" s="2149"/>
      <c r="B12" s="2119"/>
      <c r="C12" s="2140"/>
      <c r="D12" s="966" t="s">
        <v>1895</v>
      </c>
      <c r="E12" s="279">
        <v>157</v>
      </c>
      <c r="F12" s="1555"/>
      <c r="G12" s="2169"/>
      <c r="H12" s="2172"/>
      <c r="I12" s="2137"/>
      <c r="J12" s="980"/>
    </row>
    <row r="13" spans="1:10" x14ac:dyDescent="0.2">
      <c r="A13" s="2148">
        <v>6</v>
      </c>
      <c r="B13" s="2118" t="s">
        <v>1896</v>
      </c>
      <c r="C13" s="2120">
        <v>0.15</v>
      </c>
      <c r="D13" s="2004" t="s">
        <v>388</v>
      </c>
      <c r="E13" s="1265" t="s">
        <v>388</v>
      </c>
      <c r="F13" s="1554" t="s">
        <v>1950</v>
      </c>
      <c r="G13" s="2159">
        <f>IF(E13="Si",100%,0)</f>
        <v>1</v>
      </c>
      <c r="H13" s="2174" t="s">
        <v>1949</v>
      </c>
      <c r="I13" s="2136">
        <f>G13</f>
        <v>1</v>
      </c>
      <c r="J13" s="2178"/>
    </row>
    <row r="14" spans="1:10" ht="21" customHeight="1" x14ac:dyDescent="0.2">
      <c r="A14" s="2156"/>
      <c r="B14" s="1642"/>
      <c r="C14" s="1593"/>
      <c r="D14" s="2164"/>
      <c r="E14" s="2002"/>
      <c r="F14" s="1562"/>
      <c r="G14" s="2160"/>
      <c r="H14" s="1577"/>
      <c r="I14" s="2173"/>
      <c r="J14" s="2179"/>
    </row>
    <row r="15" spans="1:10" ht="40.5" customHeight="1" thickBot="1" x14ac:dyDescent="0.25">
      <c r="A15" s="2149"/>
      <c r="B15" s="2119"/>
      <c r="C15" s="2140"/>
      <c r="D15" s="966" t="s">
        <v>85</v>
      </c>
      <c r="E15" s="1625"/>
      <c r="F15" s="964" t="s">
        <v>1897</v>
      </c>
      <c r="G15" s="2161"/>
      <c r="H15" s="2175"/>
      <c r="I15" s="2137"/>
      <c r="J15" s="980"/>
    </row>
    <row r="16" spans="1:10" ht="39" customHeight="1" x14ac:dyDescent="0.2">
      <c r="A16" s="2148">
        <v>7</v>
      </c>
      <c r="B16" s="2118" t="s">
        <v>1898</v>
      </c>
      <c r="C16" s="2120">
        <v>0.2</v>
      </c>
      <c r="D16" s="965" t="s">
        <v>1899</v>
      </c>
      <c r="E16" s="1038">
        <v>29261197888.149998</v>
      </c>
      <c r="F16" s="1559" t="s">
        <v>2188</v>
      </c>
      <c r="G16" s="2124">
        <f>IFERROR(IF((E16/(E17+E18))&gt;1,1,(E16/(E17+E18))),0)</f>
        <v>1</v>
      </c>
      <c r="H16" s="2170" t="s">
        <v>1946</v>
      </c>
      <c r="I16" s="2136">
        <f>G16</f>
        <v>1</v>
      </c>
      <c r="J16" s="978"/>
    </row>
    <row r="17" spans="1:10" ht="30" customHeight="1" x14ac:dyDescent="0.2">
      <c r="A17" s="2156"/>
      <c r="B17" s="1642"/>
      <c r="C17" s="1593"/>
      <c r="D17" s="967" t="s">
        <v>1900</v>
      </c>
      <c r="E17" s="547">
        <v>0</v>
      </c>
      <c r="F17" s="1560"/>
      <c r="G17" s="2183"/>
      <c r="H17" s="2171"/>
      <c r="I17" s="2173"/>
      <c r="J17" s="979"/>
    </row>
    <row r="18" spans="1:10" ht="24.75" customHeight="1" thickBot="1" x14ac:dyDescent="0.25">
      <c r="A18" s="2149"/>
      <c r="B18" s="2119"/>
      <c r="C18" s="2140"/>
      <c r="D18" s="966" t="s">
        <v>1901</v>
      </c>
      <c r="E18" s="1039">
        <f>137891000+92204406</f>
        <v>230095406</v>
      </c>
      <c r="F18" s="1561"/>
      <c r="G18" s="2155"/>
      <c r="H18" s="2172"/>
      <c r="I18" s="2137"/>
      <c r="J18" s="980"/>
    </row>
    <row r="19" spans="1:10" ht="36" customHeight="1" x14ac:dyDescent="0.2">
      <c r="A19" s="2148">
        <v>8</v>
      </c>
      <c r="B19" s="2118" t="s">
        <v>1902</v>
      </c>
      <c r="C19" s="2139">
        <v>3.3300000000000003E-2</v>
      </c>
      <c r="D19" s="734" t="s">
        <v>1903</v>
      </c>
      <c r="E19" s="1061">
        <v>33</v>
      </c>
      <c r="F19" s="1559" t="s">
        <v>2189</v>
      </c>
      <c r="G19" s="2162">
        <f>IFERROR(IF((E19/E20)&gt;1,1,(E19/E20)),0)</f>
        <v>0.21019108280254778</v>
      </c>
      <c r="H19" s="2170" t="s">
        <v>2678</v>
      </c>
      <c r="I19" s="2136">
        <f>IF(AND(G19&gt;0,G19&lt;10.01%),1,IF(AND(G19&gt;10.1%,G19&lt;30.01%),0.7,IF(AND(G19&gt;30.1%,G19&lt;60.01%),0.4,0)))</f>
        <v>0.7</v>
      </c>
      <c r="J19" s="978"/>
    </row>
    <row r="20" spans="1:10" ht="54" customHeight="1" thickBot="1" x14ac:dyDescent="0.25">
      <c r="A20" s="2149"/>
      <c r="B20" s="2119"/>
      <c r="C20" s="2154"/>
      <c r="D20" s="733" t="s">
        <v>1904</v>
      </c>
      <c r="E20" s="279">
        <v>157</v>
      </c>
      <c r="F20" s="1561"/>
      <c r="G20" s="2163"/>
      <c r="H20" s="2172"/>
      <c r="I20" s="2137"/>
      <c r="J20" s="980"/>
    </row>
    <row r="21" spans="1:10" ht="51.75" customHeight="1" x14ac:dyDescent="0.2">
      <c r="A21" s="2148">
        <v>9</v>
      </c>
      <c r="B21" s="2118" t="s">
        <v>1905</v>
      </c>
      <c r="C21" s="2139">
        <v>3.3300000000000003E-2</v>
      </c>
      <c r="D21" s="734" t="s">
        <v>1906</v>
      </c>
      <c r="E21" s="1061">
        <v>36</v>
      </c>
      <c r="F21" s="1559" t="s">
        <v>2190</v>
      </c>
      <c r="G21" s="2162">
        <f>IFERROR(IF((E21/E22)&gt;1,1,(E21/E22)),0)</f>
        <v>8.4507042253521125E-2</v>
      </c>
      <c r="H21" s="2170" t="s">
        <v>2679</v>
      </c>
      <c r="I21" s="2136">
        <f>IF(AND(G21&gt;0,G21&lt;10.01%),1,IF(AND(G21&gt;10.1%,G21&lt;30.01%),0.7,IF(AND(G21&gt;30.1%,G21&lt;60.01%),0.4,0)))</f>
        <v>1</v>
      </c>
      <c r="J21" s="978"/>
    </row>
    <row r="22" spans="1:10" ht="40.5" customHeight="1" thickBot="1" x14ac:dyDescent="0.25">
      <c r="A22" s="2149"/>
      <c r="B22" s="2119"/>
      <c r="C22" s="2154"/>
      <c r="D22" s="733" t="s">
        <v>1904</v>
      </c>
      <c r="E22" s="279">
        <v>426</v>
      </c>
      <c r="F22" s="1561"/>
      <c r="G22" s="2163"/>
      <c r="H22" s="2172"/>
      <c r="I22" s="2137"/>
      <c r="J22" s="980"/>
    </row>
    <row r="23" spans="1:10" ht="47.25" customHeight="1" x14ac:dyDescent="0.2">
      <c r="A23" s="2148">
        <v>10</v>
      </c>
      <c r="B23" s="2118" t="s">
        <v>1917</v>
      </c>
      <c r="C23" s="2139">
        <v>3.3300000000000003E-2</v>
      </c>
      <c r="D23" s="734" t="s">
        <v>1916</v>
      </c>
      <c r="E23" s="1061">
        <v>44</v>
      </c>
      <c r="F23" s="1559" t="s">
        <v>2191</v>
      </c>
      <c r="G23" s="2162">
        <f>IFERROR(IF((E23/E24)&gt;1,1,(E23/E24)),0)</f>
        <v>0.10328638497652583</v>
      </c>
      <c r="H23" s="2170" t="s">
        <v>2680</v>
      </c>
      <c r="I23" s="2136">
        <f>IF(AND(G23&gt;0,G23&lt;10.01%),1,IF(AND(G23&gt;10.1%,G23&lt;30.01%),0.7,IF(AND(G23&gt;30.1%,G23&lt;60.01%),0.4,0)))</f>
        <v>0.7</v>
      </c>
      <c r="J23" s="978"/>
    </row>
    <row r="24" spans="1:10" ht="45" customHeight="1" thickBot="1" x14ac:dyDescent="0.25">
      <c r="A24" s="2149"/>
      <c r="B24" s="2119"/>
      <c r="C24" s="2154"/>
      <c r="D24" s="733" t="s">
        <v>1904</v>
      </c>
      <c r="E24" s="279">
        <v>426</v>
      </c>
      <c r="F24" s="1561"/>
      <c r="G24" s="2163"/>
      <c r="H24" s="2172"/>
      <c r="I24" s="2137"/>
      <c r="J24" s="980"/>
    </row>
    <row r="25" spans="1:10" ht="19.5" thickBot="1" x14ac:dyDescent="0.25">
      <c r="A25" s="2180" t="s">
        <v>2192</v>
      </c>
      <c r="B25" s="2181"/>
      <c r="C25" s="2181"/>
      <c r="D25" s="2181"/>
      <c r="E25" s="2181"/>
      <c r="F25" s="2181"/>
      <c r="G25" s="2181"/>
      <c r="H25" s="2182"/>
      <c r="I25" s="1040">
        <f>(I4*C4)+(I6*C6)+(I8*C8)+(I10*C10)+(I13*C13)+(I16*C16)+(I19*C19)+(I21*C21)+(I23*C23)</f>
        <v>0.77122186888957323</v>
      </c>
      <c r="J25" s="1004"/>
    </row>
    <row r="26" spans="1:10" ht="15" x14ac:dyDescent="0.25">
      <c r="I26" s="87"/>
    </row>
    <row r="28" spans="1:10" x14ac:dyDescent="0.2">
      <c r="A28" s="1547" t="s">
        <v>1964</v>
      </c>
      <c r="B28" s="1547"/>
      <c r="C28" s="1547"/>
      <c r="D28" s="1547"/>
      <c r="E28" s="1547"/>
    </row>
    <row r="29" spans="1:10" x14ac:dyDescent="0.2">
      <c r="A29" s="3"/>
      <c r="B29" s="1546" t="s">
        <v>2171</v>
      </c>
      <c r="C29" s="1546"/>
      <c r="D29" s="1546"/>
      <c r="E29" s="1546"/>
    </row>
    <row r="30" spans="1:10" x14ac:dyDescent="0.2">
      <c r="A30" s="45"/>
      <c r="B30" s="1546" t="s">
        <v>1970</v>
      </c>
      <c r="C30" s="1546"/>
      <c r="D30" s="1546"/>
      <c r="E30" s="1546"/>
    </row>
    <row r="31" spans="1:10" x14ac:dyDescent="0.2">
      <c r="A31" s="4"/>
      <c r="B31" s="1546" t="s">
        <v>2198</v>
      </c>
      <c r="C31" s="1546"/>
      <c r="D31" s="1546"/>
      <c r="E31" s="1546"/>
    </row>
    <row r="33" spans="1:4" ht="12.75" thickBot="1" x14ac:dyDescent="0.25"/>
    <row r="34" spans="1:4" ht="12.75" thickBot="1" x14ac:dyDescent="0.25">
      <c r="A34" s="1181" t="s">
        <v>2227</v>
      </c>
      <c r="B34" s="1182"/>
      <c r="C34" s="1182"/>
      <c r="D34" s="1183"/>
    </row>
    <row r="35" spans="1:4" ht="12.75" thickBot="1" x14ac:dyDescent="0.25">
      <c r="A35" s="94" t="s">
        <v>2228</v>
      </c>
      <c r="B35" s="119" t="s">
        <v>2229</v>
      </c>
      <c r="C35" s="95" t="s">
        <v>2230</v>
      </c>
      <c r="D35" s="95" t="s">
        <v>2231</v>
      </c>
    </row>
    <row r="36" spans="1:4" ht="12.75" thickBot="1" x14ac:dyDescent="0.25">
      <c r="A36" s="96">
        <v>1</v>
      </c>
      <c r="B36" s="97" t="s">
        <v>2232</v>
      </c>
      <c r="C36" s="97" t="s">
        <v>2233</v>
      </c>
      <c r="D36" s="98"/>
    </row>
    <row r="37" spans="1:4" ht="12.75" thickBot="1" x14ac:dyDescent="0.25">
      <c r="A37" s="96">
        <v>2</v>
      </c>
      <c r="B37" s="97" t="s">
        <v>2234</v>
      </c>
      <c r="C37" s="97" t="s">
        <v>2235</v>
      </c>
      <c r="D37" s="99"/>
    </row>
    <row r="38" spans="1:4" ht="12.75" thickBot="1" x14ac:dyDescent="0.25">
      <c r="A38" s="96">
        <v>3</v>
      </c>
      <c r="B38" s="97" t="s">
        <v>2236</v>
      </c>
      <c r="C38" s="97" t="s">
        <v>2237</v>
      </c>
      <c r="D38" s="100"/>
    </row>
    <row r="39" spans="1:4" ht="12.75" thickBot="1" x14ac:dyDescent="0.25">
      <c r="A39" s="96">
        <v>4</v>
      </c>
      <c r="B39" s="97" t="s">
        <v>2238</v>
      </c>
      <c r="C39" s="97" t="s">
        <v>2239</v>
      </c>
      <c r="D39" s="101"/>
    </row>
    <row r="40" spans="1:4" ht="12.75" thickBot="1" x14ac:dyDescent="0.25">
      <c r="A40" s="96">
        <v>5</v>
      </c>
      <c r="B40" s="97" t="s">
        <v>2240</v>
      </c>
      <c r="C40" s="97" t="s">
        <v>2241</v>
      </c>
      <c r="D40" s="102"/>
    </row>
  </sheetData>
  <sheetProtection algorithmName="SHA-512" hashValue="7jugXu8s6Jl8F1Wx8B2e0nsXV+IhHoi7neTNyOs4im2SYUV/0AdSQDTBXFX9eTlCJ8HTL3Qu5s4KYeE+74+Z+Q==" saltValue="Px8466eF24TiMfZTzRe//w==" spinCount="100000" sheet="1" objects="1" scenarios="1"/>
  <mergeCells count="76">
    <mergeCell ref="B31:E31"/>
    <mergeCell ref="J13:J14"/>
    <mergeCell ref="A25:H25"/>
    <mergeCell ref="H19:H20"/>
    <mergeCell ref="H21:H22"/>
    <mergeCell ref="H23:H24"/>
    <mergeCell ref="I21:I22"/>
    <mergeCell ref="I23:I24"/>
    <mergeCell ref="I19:I20"/>
    <mergeCell ref="G16:G18"/>
    <mergeCell ref="G23:G24"/>
    <mergeCell ref="A16:A18"/>
    <mergeCell ref="C19:C20"/>
    <mergeCell ref="A1:J1"/>
    <mergeCell ref="A28:E28"/>
    <mergeCell ref="B29:E29"/>
    <mergeCell ref="B30:E30"/>
    <mergeCell ref="H10:H12"/>
    <mergeCell ref="I10:I12"/>
    <mergeCell ref="I16:I18"/>
    <mergeCell ref="H16:H18"/>
    <mergeCell ref="I13:I15"/>
    <mergeCell ref="H13:H15"/>
    <mergeCell ref="H6:H7"/>
    <mergeCell ref="H4:H5"/>
    <mergeCell ref="I4:I5"/>
    <mergeCell ref="I6:I7"/>
    <mergeCell ref="H8:H9"/>
    <mergeCell ref="I8:I9"/>
    <mergeCell ref="A2:J2"/>
    <mergeCell ref="B21:B22"/>
    <mergeCell ref="C21:C22"/>
    <mergeCell ref="F21:F22"/>
    <mergeCell ref="G19:G20"/>
    <mergeCell ref="B10:B12"/>
    <mergeCell ref="C10:C12"/>
    <mergeCell ref="D10:D11"/>
    <mergeCell ref="E10:E11"/>
    <mergeCell ref="F10:F12"/>
    <mergeCell ref="G10:G12"/>
    <mergeCell ref="A13:A15"/>
    <mergeCell ref="B13:B15"/>
    <mergeCell ref="C13:C15"/>
    <mergeCell ref="D13:D14"/>
    <mergeCell ref="G21:G22"/>
    <mergeCell ref="G4:G5"/>
    <mergeCell ref="F13:F14"/>
    <mergeCell ref="A10:A12"/>
    <mergeCell ref="A6:A7"/>
    <mergeCell ref="B6:B7"/>
    <mergeCell ref="C6:C7"/>
    <mergeCell ref="F6:F7"/>
    <mergeCell ref="G6:G7"/>
    <mergeCell ref="A8:A9"/>
    <mergeCell ref="B8:B9"/>
    <mergeCell ref="C8:C9"/>
    <mergeCell ref="F8:F9"/>
    <mergeCell ref="G8:G9"/>
    <mergeCell ref="E13:E15"/>
    <mergeCell ref="G13:G15"/>
    <mergeCell ref="A34:D34"/>
    <mergeCell ref="A4:A5"/>
    <mergeCell ref="B4:B5"/>
    <mergeCell ref="C4:C5"/>
    <mergeCell ref="F4:F5"/>
    <mergeCell ref="A23:A24"/>
    <mergeCell ref="B23:B24"/>
    <mergeCell ref="C23:C24"/>
    <mergeCell ref="F23:F24"/>
    <mergeCell ref="F19:F20"/>
    <mergeCell ref="B16:B18"/>
    <mergeCell ref="C16:C18"/>
    <mergeCell ref="F16:F18"/>
    <mergeCell ref="A21:A22"/>
    <mergeCell ref="A19:A20"/>
    <mergeCell ref="B19:B20"/>
  </mergeCells>
  <conditionalFormatting sqref="I13 I16 I19:I25 I4:I10">
    <cfRule type="cellIs" dxfId="4" priority="61" operator="between">
      <formula>0.9</formula>
      <formula>1</formula>
    </cfRule>
    <cfRule type="cellIs" dxfId="3" priority="62" operator="between">
      <formula>0.75</formula>
      <formula>0.8999</formula>
    </cfRule>
    <cfRule type="cellIs" dxfId="2" priority="63" operator="between">
      <formula>0.6</formula>
      <formula>0.749</formula>
    </cfRule>
    <cfRule type="cellIs" dxfId="1" priority="64" operator="between">
      <formula>0.41</formula>
      <formula>0.599</formula>
    </cfRule>
    <cfRule type="cellIs" dxfId="0" priority="65" operator="between">
      <formula>0</formula>
      <formula>0.4</formula>
    </cfRule>
  </conditionalFormatting>
  <dataValidations count="1">
    <dataValidation type="list" allowBlank="1" showInputMessage="1" showErrorMessage="1" sqref="E13:E15">
      <formula1>$D$13:$D$15</formula1>
    </dataValidation>
  </dataValidations>
  <pageMargins left="0.7" right="0.7" top="0.75" bottom="0.75" header="0.3" footer="0.3"/>
  <ignoredErrors>
    <ignoredError sqref="G6" formula="1"/>
  </ignoredErrors>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topLeftCell="A4" zoomScaleNormal="100" workbookViewId="0">
      <selection activeCell="H7" sqref="H7"/>
    </sheetView>
  </sheetViews>
  <sheetFormatPr baseColWidth="10" defaultRowHeight="15" x14ac:dyDescent="0.25"/>
  <cols>
    <col min="1" max="1" width="23.42578125" customWidth="1"/>
    <col min="2" max="2" width="27.7109375" customWidth="1"/>
    <col min="3" max="3" width="51.28515625" customWidth="1"/>
    <col min="4" max="4" width="10.5703125" customWidth="1"/>
    <col min="5" max="5" width="44" customWidth="1"/>
    <col min="6" max="6" width="11.5703125" customWidth="1"/>
    <col min="7" max="7" width="45.5703125" customWidth="1"/>
  </cols>
  <sheetData>
    <row r="1" spans="1:9" ht="29.25" customHeight="1" x14ac:dyDescent="0.25">
      <c r="A1" s="2190" t="s">
        <v>2290</v>
      </c>
      <c r="B1" s="2191"/>
      <c r="C1" s="2191"/>
      <c r="D1" s="2191"/>
      <c r="E1" s="2191"/>
      <c r="F1" s="2191"/>
      <c r="G1" s="2191"/>
      <c r="H1" s="2192"/>
      <c r="I1" s="2184" t="s">
        <v>2834</v>
      </c>
    </row>
    <row r="2" spans="1:9" x14ac:dyDescent="0.25">
      <c r="A2" s="2193"/>
      <c r="B2" s="2194"/>
      <c r="C2" s="2194"/>
      <c r="D2" s="2194"/>
      <c r="E2" s="2194"/>
      <c r="F2" s="2194"/>
      <c r="G2" s="2194"/>
      <c r="H2" s="2195"/>
      <c r="I2" s="2185"/>
    </row>
    <row r="3" spans="1:9" x14ac:dyDescent="0.25">
      <c r="A3" s="2196" t="s">
        <v>1963</v>
      </c>
      <c r="B3" s="2196" t="s">
        <v>2291</v>
      </c>
      <c r="C3" s="2197"/>
      <c r="D3" s="2197"/>
      <c r="E3" s="2197"/>
      <c r="F3" s="2197"/>
      <c r="G3" s="2197"/>
      <c r="H3" s="2197"/>
      <c r="I3" s="1083"/>
    </row>
    <row r="4" spans="1:9" ht="38.25" x14ac:dyDescent="0.25">
      <c r="A4" s="2197"/>
      <c r="B4" s="2197"/>
      <c r="C4" s="1" t="s">
        <v>2292</v>
      </c>
      <c r="D4" s="1" t="s">
        <v>2293</v>
      </c>
      <c r="E4" s="51" t="s">
        <v>2294</v>
      </c>
      <c r="F4" s="51" t="s">
        <v>2348</v>
      </c>
      <c r="G4" s="51" t="s">
        <v>2295</v>
      </c>
      <c r="H4" s="51" t="s">
        <v>2293</v>
      </c>
      <c r="I4" s="51"/>
    </row>
    <row r="5" spans="1:9" ht="60.75" x14ac:dyDescent="0.25">
      <c r="A5" s="52" t="s">
        <v>2296</v>
      </c>
      <c r="B5" s="1085" t="s">
        <v>2297</v>
      </c>
      <c r="C5" s="1085" t="s">
        <v>2298</v>
      </c>
      <c r="D5" s="1081">
        <v>15</v>
      </c>
      <c r="E5" s="54" t="s">
        <v>2299</v>
      </c>
      <c r="F5" s="88">
        <v>260368650</v>
      </c>
      <c r="G5" s="55" t="s">
        <v>2300</v>
      </c>
      <c r="H5" s="1079">
        <v>5</v>
      </c>
      <c r="I5" s="1079"/>
    </row>
    <row r="6" spans="1:9" ht="36.75" x14ac:dyDescent="0.25">
      <c r="A6" s="2198" t="s">
        <v>2301</v>
      </c>
      <c r="B6" s="1085" t="s">
        <v>2302</v>
      </c>
      <c r="C6" s="1085" t="s">
        <v>2303</v>
      </c>
      <c r="D6" s="1080">
        <v>0.4</v>
      </c>
      <c r="E6" s="53" t="s">
        <v>2304</v>
      </c>
      <c r="F6" s="1067">
        <f>679980342+270753705+3559982</f>
        <v>954294029</v>
      </c>
      <c r="G6" s="53" t="s">
        <v>2305</v>
      </c>
      <c r="H6" s="1078">
        <f>6+6+8</f>
        <v>20</v>
      </c>
      <c r="I6" s="1086" t="s">
        <v>2838</v>
      </c>
    </row>
    <row r="7" spans="1:9" ht="38.25" customHeight="1" x14ac:dyDescent="0.25">
      <c r="A7" s="2199"/>
      <c r="B7" s="1085" t="s">
        <v>2306</v>
      </c>
      <c r="C7" s="1085" t="s">
        <v>2307</v>
      </c>
      <c r="D7" s="1078">
        <v>1</v>
      </c>
      <c r="E7" s="1085" t="s">
        <v>2308</v>
      </c>
      <c r="F7" s="1082">
        <f>488500000+107692788+500000</f>
        <v>596692788</v>
      </c>
      <c r="G7" s="1085" t="s">
        <v>2309</v>
      </c>
      <c r="H7" s="1079">
        <f>5+2</f>
        <v>7</v>
      </c>
      <c r="I7" s="1084" t="s">
        <v>2835</v>
      </c>
    </row>
    <row r="12" spans="1:9" ht="26.25" x14ac:dyDescent="0.4">
      <c r="A12" s="2186"/>
      <c r="B12" s="2186"/>
      <c r="C12" s="2186"/>
      <c r="D12" s="2186"/>
      <c r="E12" s="2186"/>
      <c r="F12" s="2186"/>
      <c r="G12" s="2186"/>
    </row>
    <row r="13" spans="1:9" x14ac:dyDescent="0.25">
      <c r="A13" s="2187"/>
      <c r="B13" s="2187"/>
      <c r="C13" s="2188"/>
      <c r="D13" s="2188"/>
      <c r="E13" s="2188"/>
      <c r="F13" s="2189"/>
      <c r="G13" s="2189"/>
      <c r="H13" s="1087"/>
    </row>
    <row r="14" spans="1:9" x14ac:dyDescent="0.25">
      <c r="A14" s="2187"/>
      <c r="B14" s="2187"/>
      <c r="C14" s="1041"/>
      <c r="D14" s="1043"/>
      <c r="E14" s="1043"/>
      <c r="F14" s="2189"/>
      <c r="G14" s="2189"/>
    </row>
    <row r="15" spans="1:9" x14ac:dyDescent="0.25">
      <c r="A15" s="1041"/>
      <c r="B15" s="110"/>
      <c r="C15" s="1041"/>
      <c r="D15" s="110"/>
      <c r="E15" s="110"/>
      <c r="F15" s="1041"/>
      <c r="G15" s="110"/>
    </row>
    <row r="16" spans="1:9" x14ac:dyDescent="0.25">
      <c r="A16" s="1041"/>
      <c r="B16" s="110"/>
      <c r="C16" s="1041"/>
      <c r="D16" s="110"/>
      <c r="E16" s="110"/>
      <c r="F16" s="1044"/>
      <c r="G16" s="110"/>
    </row>
    <row r="17" spans="1:7" x14ac:dyDescent="0.25">
      <c r="A17" s="1041"/>
      <c r="B17" s="110"/>
      <c r="C17" s="1041"/>
      <c r="D17" s="110"/>
      <c r="E17" s="110"/>
      <c r="F17" s="1044"/>
      <c r="G17" s="110"/>
    </row>
    <row r="18" spans="1:7" x14ac:dyDescent="0.25">
      <c r="A18" s="1041"/>
      <c r="B18" s="110"/>
      <c r="C18" s="1041"/>
      <c r="D18" s="110"/>
      <c r="E18" s="110"/>
      <c r="F18" s="1044"/>
      <c r="G18" s="1045"/>
    </row>
    <row r="19" spans="1:7" x14ac:dyDescent="0.25">
      <c r="A19" s="1041"/>
      <c r="B19" s="110"/>
      <c r="C19" s="1041"/>
      <c r="D19" s="110"/>
      <c r="E19" s="110"/>
      <c r="F19" s="1041"/>
      <c r="G19" s="110"/>
    </row>
    <row r="20" spans="1:7" x14ac:dyDescent="0.25">
      <c r="A20" s="1041"/>
      <c r="B20" s="110"/>
      <c r="C20" s="1041"/>
      <c r="D20" s="110"/>
      <c r="E20" s="110"/>
      <c r="F20" s="1041"/>
      <c r="G20" s="110"/>
    </row>
    <row r="21" spans="1:7" x14ac:dyDescent="0.25">
      <c r="A21" s="1046"/>
      <c r="B21" s="110"/>
      <c r="C21" s="1041"/>
      <c r="D21" s="1041"/>
      <c r="E21" s="1041"/>
      <c r="F21" s="1041"/>
      <c r="G21" s="1041"/>
    </row>
    <row r="22" spans="1:7" x14ac:dyDescent="0.25">
      <c r="A22" s="1046"/>
      <c r="B22" s="110"/>
      <c r="C22" s="1041"/>
      <c r="D22" s="1041"/>
      <c r="E22" s="1041"/>
      <c r="F22" s="1041"/>
      <c r="G22" s="1041"/>
    </row>
    <row r="23" spans="1:7" x14ac:dyDescent="0.25">
      <c r="A23" s="1046"/>
      <c r="B23" s="110"/>
      <c r="C23" s="1041"/>
      <c r="D23" s="1041"/>
      <c r="E23" s="1041"/>
      <c r="F23" s="1041"/>
      <c r="G23" s="1041"/>
    </row>
    <row r="24" spans="1:7" x14ac:dyDescent="0.25">
      <c r="A24" s="1046"/>
      <c r="B24" s="110"/>
      <c r="C24" s="1041"/>
      <c r="D24" s="1041"/>
      <c r="E24" s="1041"/>
      <c r="F24" s="1041"/>
      <c r="G24" s="1041"/>
    </row>
    <row r="25" spans="1:7" x14ac:dyDescent="0.25">
      <c r="A25" s="1046"/>
      <c r="B25" s="110"/>
      <c r="C25" s="1041"/>
      <c r="D25" s="1041"/>
      <c r="E25" s="1041"/>
      <c r="F25" s="1041"/>
      <c r="G25" s="1041"/>
    </row>
    <row r="26" spans="1:7" x14ac:dyDescent="0.25">
      <c r="A26" s="1046"/>
      <c r="B26" s="1041"/>
      <c r="C26" s="1041"/>
      <c r="D26" s="1041"/>
      <c r="E26" s="1041"/>
      <c r="F26" s="1041"/>
      <c r="G26" s="1041"/>
    </row>
  </sheetData>
  <sheetProtection sheet="1" objects="1" scenarios="1"/>
  <mergeCells count="10">
    <mergeCell ref="I1:I2"/>
    <mergeCell ref="A12:G12"/>
    <mergeCell ref="A13:B14"/>
    <mergeCell ref="C13:E13"/>
    <mergeCell ref="F13:G14"/>
    <mergeCell ref="A1:H2"/>
    <mergeCell ref="A3:A4"/>
    <mergeCell ref="B3:B4"/>
    <mergeCell ref="C3:H3"/>
    <mergeCell ref="A6:A7"/>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
  <sheetViews>
    <sheetView showGridLines="0" workbookViewId="0">
      <selection activeCell="H14" sqref="H14"/>
    </sheetView>
  </sheetViews>
  <sheetFormatPr baseColWidth="10" defaultRowHeight="15" x14ac:dyDescent="0.25"/>
  <cols>
    <col min="1" max="1" width="34.28515625" customWidth="1"/>
    <col min="2" max="2" width="35" customWidth="1"/>
    <col min="3" max="3" width="49.7109375" customWidth="1"/>
    <col min="4" max="4" width="12.7109375" customWidth="1"/>
    <col min="5" max="5" width="79.7109375" customWidth="1"/>
    <col min="6" max="6" width="15" customWidth="1"/>
    <col min="7" max="7" width="57" customWidth="1"/>
    <col min="8" max="8" width="18.140625" customWidth="1"/>
  </cols>
  <sheetData>
    <row r="1" spans="1:8" ht="25.5" customHeight="1" x14ac:dyDescent="0.25">
      <c r="A1" s="2204" t="s">
        <v>2310</v>
      </c>
      <c r="B1" s="2204"/>
      <c r="C1" s="2204"/>
      <c r="D1" s="2204"/>
      <c r="E1" s="2204"/>
      <c r="F1" s="2204"/>
      <c r="G1" s="2204"/>
      <c r="H1" s="2204"/>
    </row>
    <row r="2" spans="1:8" x14ac:dyDescent="0.25">
      <c r="A2" s="2204"/>
      <c r="B2" s="2204"/>
      <c r="C2" s="2204"/>
      <c r="D2" s="2204"/>
      <c r="E2" s="2204"/>
      <c r="F2" s="2204"/>
      <c r="G2" s="2204"/>
      <c r="H2" s="2204"/>
    </row>
    <row r="3" spans="1:8" x14ac:dyDescent="0.25">
      <c r="A3" s="2205" t="s">
        <v>2311</v>
      </c>
      <c r="B3" s="2205" t="s">
        <v>2312</v>
      </c>
      <c r="C3" s="2205" t="s">
        <v>2313</v>
      </c>
      <c r="D3" s="2205"/>
      <c r="E3" s="2205"/>
      <c r="F3" s="2205"/>
      <c r="G3" s="2205"/>
      <c r="H3" s="2205"/>
    </row>
    <row r="4" spans="1:8" ht="24.75" x14ac:dyDescent="0.25">
      <c r="A4" s="2205"/>
      <c r="B4" s="2205"/>
      <c r="C4" s="49" t="s">
        <v>2292</v>
      </c>
      <c r="D4" s="49" t="s">
        <v>2314</v>
      </c>
      <c r="E4" s="49" t="s">
        <v>2294</v>
      </c>
      <c r="F4" s="49" t="s">
        <v>2348</v>
      </c>
      <c r="G4" s="49" t="s">
        <v>2330</v>
      </c>
      <c r="H4" s="49" t="s">
        <v>2293</v>
      </c>
    </row>
    <row r="5" spans="1:8" ht="36.75" x14ac:dyDescent="0.25">
      <c r="A5" s="52" t="s">
        <v>2316</v>
      </c>
      <c r="B5" s="53" t="s">
        <v>2317</v>
      </c>
      <c r="C5" s="53" t="s">
        <v>2318</v>
      </c>
      <c r="D5" s="61">
        <v>212</v>
      </c>
      <c r="E5" s="53" t="s">
        <v>2319</v>
      </c>
      <c r="F5" s="89">
        <v>668529500</v>
      </c>
      <c r="G5" s="53" t="s">
        <v>2320</v>
      </c>
      <c r="H5" s="63">
        <v>10</v>
      </c>
    </row>
    <row r="6" spans="1:8" ht="36.75" x14ac:dyDescent="0.25">
      <c r="A6" s="52" t="s">
        <v>1951</v>
      </c>
      <c r="B6" s="53" t="s">
        <v>2321</v>
      </c>
      <c r="C6" s="56" t="s">
        <v>2322</v>
      </c>
      <c r="D6" s="62">
        <v>262</v>
      </c>
      <c r="E6" s="57" t="s">
        <v>2323</v>
      </c>
      <c r="F6" s="90">
        <v>436518378</v>
      </c>
      <c r="G6" s="53" t="s">
        <v>2324</v>
      </c>
      <c r="H6" s="63">
        <v>6</v>
      </c>
    </row>
    <row r="7" spans="1:8" x14ac:dyDescent="0.25">
      <c r="A7" s="2206" t="s">
        <v>2325</v>
      </c>
      <c r="B7" s="2207" t="s">
        <v>2326</v>
      </c>
      <c r="C7" s="2208" t="s">
        <v>2327</v>
      </c>
      <c r="D7" s="2211">
        <v>14</v>
      </c>
      <c r="E7" s="2209" t="s">
        <v>2328</v>
      </c>
      <c r="F7" s="2200">
        <v>1306788635</v>
      </c>
      <c r="G7" s="2210" t="s">
        <v>2329</v>
      </c>
      <c r="H7" s="2201">
        <v>8</v>
      </c>
    </row>
    <row r="8" spans="1:8" x14ac:dyDescent="0.25">
      <c r="A8" s="2206"/>
      <c r="B8" s="2207"/>
      <c r="C8" s="2208"/>
      <c r="D8" s="2211"/>
      <c r="E8" s="2209"/>
      <c r="F8" s="2200"/>
      <c r="G8" s="2210"/>
      <c r="H8" s="2202"/>
    </row>
    <row r="9" spans="1:8" x14ac:dyDescent="0.25">
      <c r="A9" s="2206"/>
      <c r="B9" s="2207"/>
      <c r="C9" s="2208"/>
      <c r="D9" s="2211"/>
      <c r="E9" s="2209"/>
      <c r="F9" s="2200"/>
      <c r="G9" s="2210"/>
      <c r="H9" s="2202"/>
    </row>
    <row r="10" spans="1:8" ht="7.5" customHeight="1" x14ac:dyDescent="0.25">
      <c r="A10" s="2206"/>
      <c r="B10" s="2207"/>
      <c r="C10" s="2208"/>
      <c r="D10" s="2211"/>
      <c r="E10" s="2209"/>
      <c r="F10" s="2200"/>
      <c r="G10" s="2210"/>
      <c r="H10" s="2203"/>
    </row>
    <row r="11" spans="1:8" hidden="1" x14ac:dyDescent="0.25">
      <c r="A11" s="2206"/>
      <c r="B11" s="2207"/>
      <c r="C11" s="2208"/>
      <c r="D11" s="2211"/>
      <c r="E11" s="2209"/>
      <c r="F11" s="53"/>
      <c r="G11" s="2210"/>
      <c r="H11" s="53"/>
    </row>
    <row r="12" spans="1:8" x14ac:dyDescent="0.25">
      <c r="A12" s="58"/>
      <c r="B12" s="58"/>
      <c r="C12" s="58"/>
      <c r="D12" s="58"/>
      <c r="E12" s="58"/>
      <c r="F12" s="58"/>
      <c r="G12" s="58"/>
    </row>
  </sheetData>
  <sheetProtection password="B860" sheet="1" objects="1" scenarios="1"/>
  <mergeCells count="12">
    <mergeCell ref="F7:F10"/>
    <mergeCell ref="H7:H10"/>
    <mergeCell ref="A1:H2"/>
    <mergeCell ref="A3:A4"/>
    <mergeCell ref="B3:B4"/>
    <mergeCell ref="C3:H3"/>
    <mergeCell ref="A7:A11"/>
    <mergeCell ref="B7:B11"/>
    <mergeCell ref="C7:C11"/>
    <mergeCell ref="E7:E11"/>
    <mergeCell ref="G7:G11"/>
    <mergeCell ref="D7: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pageSetUpPr fitToPage="1"/>
  </sheetPr>
  <dimension ref="A1:K68"/>
  <sheetViews>
    <sheetView showGridLines="0" topLeftCell="D1" zoomScaleNormal="100" workbookViewId="0">
      <selection activeCell="E8" sqref="E8"/>
    </sheetView>
  </sheetViews>
  <sheetFormatPr baseColWidth="10" defaultRowHeight="15" x14ac:dyDescent="0.25"/>
  <cols>
    <col min="1" max="1" width="11.42578125" style="104"/>
    <col min="2" max="2" width="22.85546875" style="104" customWidth="1"/>
    <col min="3" max="3" width="41.85546875" style="104" customWidth="1"/>
    <col min="4" max="4" width="20.7109375" style="106" customWidth="1"/>
    <col min="5" max="5" width="58.85546875" style="104" customWidth="1"/>
    <col min="6" max="6" width="21.140625" style="106" customWidth="1"/>
    <col min="7" max="7" width="55" style="104" customWidth="1"/>
    <col min="8" max="8" width="14.42578125" style="107" customWidth="1"/>
    <col min="9" max="9" width="75" style="104" customWidth="1"/>
    <col min="10" max="16384" width="11.42578125" style="104"/>
  </cols>
  <sheetData>
    <row r="1" spans="1:11" x14ac:dyDescent="0.25">
      <c r="C1" s="105"/>
    </row>
    <row r="2" spans="1:11" ht="18.75" customHeight="1" x14ac:dyDescent="0.25">
      <c r="A2" s="1153" t="s">
        <v>23</v>
      </c>
      <c r="B2" s="1153"/>
      <c r="C2" s="1153"/>
      <c r="D2" s="1153"/>
      <c r="E2" s="1153"/>
      <c r="F2" s="1153"/>
      <c r="G2" s="1153"/>
      <c r="H2" s="1153"/>
      <c r="I2" s="1153"/>
    </row>
    <row r="3" spans="1:11" ht="18" customHeight="1" x14ac:dyDescent="0.25">
      <c r="A3" s="1153" t="s">
        <v>0</v>
      </c>
      <c r="B3" s="1153"/>
      <c r="C3" s="1153"/>
      <c r="D3" s="1153"/>
      <c r="E3" s="1153"/>
      <c r="F3" s="1153"/>
      <c r="G3" s="1153"/>
      <c r="H3" s="1153"/>
      <c r="I3" s="1153"/>
    </row>
    <row r="4" spans="1:11" ht="15" customHeight="1" x14ac:dyDescent="0.25">
      <c r="A4" s="1148" t="s">
        <v>1</v>
      </c>
      <c r="B4" s="1148"/>
      <c r="C4" s="1148"/>
      <c r="D4" s="1148"/>
      <c r="E4" s="1148"/>
      <c r="F4" s="1148"/>
      <c r="G4" s="1148"/>
      <c r="H4" s="1148"/>
      <c r="I4" s="1148"/>
    </row>
    <row r="5" spans="1:11" ht="65.25" customHeight="1" thickBot="1" x14ac:dyDescent="0.3">
      <c r="A5" s="814" t="s">
        <v>2</v>
      </c>
      <c r="B5" s="814" t="s">
        <v>1963</v>
      </c>
      <c r="C5" s="814" t="s">
        <v>3</v>
      </c>
      <c r="D5" s="814" t="s">
        <v>19</v>
      </c>
      <c r="E5" s="814" t="s">
        <v>10</v>
      </c>
      <c r="F5" s="814" t="s">
        <v>17</v>
      </c>
      <c r="G5" s="814" t="s">
        <v>22</v>
      </c>
      <c r="H5" s="814" t="s">
        <v>4</v>
      </c>
      <c r="I5" s="5" t="s">
        <v>1907</v>
      </c>
    </row>
    <row r="6" spans="1:11" ht="61.5" customHeight="1" x14ac:dyDescent="0.25">
      <c r="A6" s="1162">
        <v>1</v>
      </c>
      <c r="B6" s="1167" t="s">
        <v>5</v>
      </c>
      <c r="C6" s="1165" t="s">
        <v>13</v>
      </c>
      <c r="D6" s="1172">
        <v>0.5</v>
      </c>
      <c r="E6" s="815" t="s">
        <v>2386</v>
      </c>
      <c r="F6" s="820">
        <v>15</v>
      </c>
      <c r="G6" s="1158"/>
      <c r="H6" s="1130">
        <f>+IFERROR(IF(F6/F7&gt;1,1,F6/F7),IF(OR(F6="N.A",F7="N.A"),"N.A",0))</f>
        <v>1</v>
      </c>
      <c r="I6" s="969"/>
    </row>
    <row r="7" spans="1:11" ht="51.75" customHeight="1" thickBot="1" x14ac:dyDescent="0.3">
      <c r="A7" s="1163"/>
      <c r="B7" s="1168"/>
      <c r="C7" s="1166"/>
      <c r="D7" s="1159"/>
      <c r="E7" s="818" t="s">
        <v>2387</v>
      </c>
      <c r="F7" s="1054">
        <v>15</v>
      </c>
      <c r="G7" s="1159"/>
      <c r="H7" s="1131"/>
      <c r="I7" s="969"/>
    </row>
    <row r="8" spans="1:11" ht="49.5" customHeight="1" thickBot="1" x14ac:dyDescent="0.3">
      <c r="A8" s="1163"/>
      <c r="B8" s="1168"/>
      <c r="C8" s="1170" t="s">
        <v>14</v>
      </c>
      <c r="D8" s="1160">
        <v>0.5</v>
      </c>
      <c r="E8" s="819" t="s">
        <v>12</v>
      </c>
      <c r="F8" s="968">
        <v>14</v>
      </c>
      <c r="G8" s="1160"/>
      <c r="H8" s="1130">
        <f>+IFERROR(IF(F8/F9&gt;1,1,F8/F9),IF(OR(F8="N.A",F9="N.A"),"N.A",0))</f>
        <v>0.875</v>
      </c>
      <c r="I8" s="969"/>
    </row>
    <row r="9" spans="1:11" ht="51" customHeight="1" thickBot="1" x14ac:dyDescent="0.3">
      <c r="A9" s="1164"/>
      <c r="B9" s="1169"/>
      <c r="C9" s="1171"/>
      <c r="D9" s="1161"/>
      <c r="E9" s="816" t="s">
        <v>11</v>
      </c>
      <c r="F9" s="968">
        <v>16</v>
      </c>
      <c r="G9" s="1161"/>
      <c r="H9" s="1131"/>
      <c r="I9" s="969"/>
    </row>
    <row r="10" spans="1:11" ht="30.75" customHeight="1" thickBot="1" x14ac:dyDescent="0.3">
      <c r="A10" s="1154" t="s">
        <v>44</v>
      </c>
      <c r="B10" s="1154"/>
      <c r="C10" s="1154"/>
      <c r="D10" s="1154"/>
      <c r="E10" s="1154"/>
      <c r="F10" s="1154"/>
      <c r="G10" s="794"/>
      <c r="H10" s="796">
        <f>IF(H6="N.A", +H8,IF(H8="N.A",+H6,(0.5*H6)+(0.5*H8)))</f>
        <v>0.9375</v>
      </c>
      <c r="I10" s="970"/>
    </row>
    <row r="11" spans="1:11" ht="38.25" customHeight="1" x14ac:dyDescent="0.25">
      <c r="A11" s="1198">
        <v>2</v>
      </c>
      <c r="B11" s="1201" t="s">
        <v>6</v>
      </c>
      <c r="C11" s="1204" t="s">
        <v>2355</v>
      </c>
      <c r="D11" s="1213" t="s">
        <v>20</v>
      </c>
      <c r="E11" s="821" t="s">
        <v>2211</v>
      </c>
      <c r="F11" s="820">
        <v>4</v>
      </c>
      <c r="G11" s="1136"/>
      <c r="H11" s="1130">
        <f>IFERROR(IF(F12/F14&gt;1,1,F12/F14),IF(OR(F12="N.A",F14="N.A"),"N.A",0))</f>
        <v>1</v>
      </c>
      <c r="I11" s="969"/>
    </row>
    <row r="12" spans="1:11" ht="22.5" customHeight="1" x14ac:dyDescent="0.25">
      <c r="A12" s="1199"/>
      <c r="B12" s="1202"/>
      <c r="C12" s="1205"/>
      <c r="D12" s="1214"/>
      <c r="E12" s="211" t="s">
        <v>2341</v>
      </c>
      <c r="F12" s="1209">
        <v>40</v>
      </c>
      <c r="G12" s="1137"/>
      <c r="H12" s="1132"/>
      <c r="I12" s="969"/>
    </row>
    <row r="13" spans="1:11" ht="33" customHeight="1" x14ac:dyDescent="0.25">
      <c r="A13" s="1199"/>
      <c r="B13" s="1202"/>
      <c r="C13" s="1205"/>
      <c r="D13" s="1214"/>
      <c r="E13" s="621" t="s">
        <v>2287</v>
      </c>
      <c r="F13" s="1209"/>
      <c r="G13" s="1137"/>
      <c r="H13" s="1132"/>
      <c r="I13" s="969"/>
      <c r="J13" s="109"/>
      <c r="K13" s="110"/>
    </row>
    <row r="14" spans="1:11" ht="24.75" customHeight="1" thickBot="1" x14ac:dyDescent="0.3">
      <c r="A14" s="1199"/>
      <c r="B14" s="1202"/>
      <c r="C14" s="1206"/>
      <c r="D14" s="260">
        <v>0.5</v>
      </c>
      <c r="E14" s="822" t="s">
        <v>2344</v>
      </c>
      <c r="F14" s="823">
        <v>2</v>
      </c>
      <c r="G14" s="1138"/>
      <c r="H14" s="1131"/>
      <c r="I14" s="969"/>
      <c r="J14" s="109"/>
      <c r="K14" s="110"/>
    </row>
    <row r="15" spans="1:11" ht="33.75" customHeight="1" x14ac:dyDescent="0.25">
      <c r="A15" s="1199"/>
      <c r="B15" s="1202"/>
      <c r="C15" s="1204" t="s">
        <v>2356</v>
      </c>
      <c r="D15" s="1207" t="s">
        <v>21</v>
      </c>
      <c r="E15" s="824" t="s">
        <v>1952</v>
      </c>
      <c r="F15" s="820">
        <v>4</v>
      </c>
      <c r="G15" s="1136"/>
      <c r="H15" s="1130" t="str">
        <f>IFERROR(IF(F16/F17&gt;1,1,F16/F17),IF(OR(F16="N.A",F17="N.A"),"N.A",0))</f>
        <v>N.A</v>
      </c>
      <c r="I15" s="969"/>
      <c r="J15" s="109"/>
      <c r="K15" s="110"/>
    </row>
    <row r="16" spans="1:11" ht="26.25" customHeight="1" x14ac:dyDescent="0.25">
      <c r="A16" s="1199"/>
      <c r="B16" s="1202"/>
      <c r="C16" s="1205"/>
      <c r="D16" s="1208"/>
      <c r="E16" s="797" t="s">
        <v>2342</v>
      </c>
      <c r="F16" s="108" t="s">
        <v>2831</v>
      </c>
      <c r="G16" s="1137"/>
      <c r="H16" s="1132"/>
      <c r="I16" s="969"/>
      <c r="J16" s="109"/>
      <c r="K16" s="110"/>
    </row>
    <row r="17" spans="1:11" ht="25.5" customHeight="1" thickBot="1" x14ac:dyDescent="0.3">
      <c r="A17" s="1199"/>
      <c r="B17" s="1202"/>
      <c r="C17" s="1206"/>
      <c r="D17" s="260">
        <v>0.25</v>
      </c>
      <c r="E17" s="825" t="s">
        <v>2343</v>
      </c>
      <c r="F17" s="817" t="s">
        <v>2831</v>
      </c>
      <c r="G17" s="1138"/>
      <c r="H17" s="1131"/>
      <c r="I17" s="969"/>
      <c r="J17" s="109"/>
      <c r="K17" s="110"/>
    </row>
    <row r="18" spans="1:11" ht="33.75" customHeight="1" x14ac:dyDescent="0.25">
      <c r="A18" s="1199"/>
      <c r="B18" s="1202"/>
      <c r="C18" s="1204" t="s">
        <v>2357</v>
      </c>
      <c r="D18" s="1207" t="s">
        <v>1935</v>
      </c>
      <c r="E18" s="824" t="s">
        <v>1953</v>
      </c>
      <c r="F18" s="820">
        <v>0</v>
      </c>
      <c r="G18" s="1136"/>
      <c r="H18" s="1130" t="str">
        <f>IFERROR(IF(F19/F20&gt;1,1,F19/F20),IF(OR(F19="N.A",F20="N.A"),"N.A",0))</f>
        <v>N.A</v>
      </c>
      <c r="I18" s="969"/>
      <c r="J18" s="109"/>
      <c r="K18" s="110"/>
    </row>
    <row r="19" spans="1:11" ht="33.75" customHeight="1" x14ac:dyDescent="0.25">
      <c r="A19" s="1199"/>
      <c r="B19" s="1202"/>
      <c r="C19" s="1205"/>
      <c r="D19" s="1208"/>
      <c r="E19" s="797" t="s">
        <v>2432</v>
      </c>
      <c r="F19" s="108">
        <v>0</v>
      </c>
      <c r="G19" s="1137"/>
      <c r="H19" s="1132"/>
      <c r="I19" s="971"/>
      <c r="J19" s="109"/>
      <c r="K19" s="110"/>
    </row>
    <row r="20" spans="1:11" ht="26.25" customHeight="1" x14ac:dyDescent="0.25">
      <c r="A20" s="1199"/>
      <c r="B20" s="1202"/>
      <c r="C20" s="1205"/>
      <c r="D20" s="111">
        <v>0.25</v>
      </c>
      <c r="E20" s="1184" t="s">
        <v>2345</v>
      </c>
      <c r="F20" s="1186" t="s">
        <v>2831</v>
      </c>
      <c r="G20" s="1137"/>
      <c r="H20" s="1132"/>
      <c r="I20" s="969"/>
      <c r="J20" s="109"/>
      <c r="K20" s="110"/>
    </row>
    <row r="21" spans="1:11" ht="48" customHeight="1" thickBot="1" x14ac:dyDescent="0.3">
      <c r="A21" s="1199"/>
      <c r="B21" s="1202"/>
      <c r="C21" s="1206"/>
      <c r="D21" s="826">
        <f>IF((D14+D17+D20)=1,1,"La suma de los ponderadores debe ser igual a 1")</f>
        <v>1</v>
      </c>
      <c r="E21" s="1185"/>
      <c r="F21" s="1187"/>
      <c r="G21" s="1138"/>
      <c r="H21" s="1131"/>
      <c r="I21" s="969"/>
      <c r="J21" s="109"/>
      <c r="K21" s="110"/>
    </row>
    <row r="22" spans="1:11" ht="67.5" customHeight="1" thickBot="1" x14ac:dyDescent="0.3">
      <c r="A22" s="1199"/>
      <c r="B22" s="1202"/>
      <c r="C22" s="827" t="s">
        <v>7</v>
      </c>
      <c r="D22" s="828">
        <v>0.2</v>
      </c>
      <c r="E22" s="1210"/>
      <c r="F22" s="1211"/>
      <c r="G22" s="1212"/>
      <c r="H22" s="829">
        <f>IF(AND(H11="N.A",H15="N.A"),H18,IF(AND(H15="N.A",H18="N.A"),H11,IF(AND(H11="N.A",H18="N.A"),H15,IF(H15="N.A",(H11*D14)+(H18*D20),IF(H18="N.A",(H11*D14)+(H15*D17),IF(H11="N.A",(H15*D17)+(H18*D20),(H11*D14)+(H15*D17)+(H18*D20)))))))</f>
        <v>1</v>
      </c>
      <c r="I22" s="969"/>
      <c r="J22" s="109"/>
      <c r="K22" s="110"/>
    </row>
    <row r="23" spans="1:11" ht="34.5" customHeight="1" x14ac:dyDescent="0.25">
      <c r="A23" s="1199"/>
      <c r="B23" s="1202"/>
      <c r="C23" s="1165" t="s">
        <v>2350</v>
      </c>
      <c r="D23" s="1155">
        <v>0.2</v>
      </c>
      <c r="E23" s="830" t="s">
        <v>1936</v>
      </c>
      <c r="F23" s="1055">
        <v>4</v>
      </c>
      <c r="G23" s="1139"/>
      <c r="H23" s="1130" t="str">
        <f>IFERROR(IF(F24/F25&gt;1,1,F24/F25),IF(OR(F24="N.A",F25="N.A"),"N.A",0))</f>
        <v>N.A</v>
      </c>
      <c r="I23" s="969"/>
      <c r="J23" s="110"/>
      <c r="K23" s="110"/>
    </row>
    <row r="24" spans="1:11" ht="27" customHeight="1" x14ac:dyDescent="0.25">
      <c r="A24" s="1199"/>
      <c r="B24" s="1202"/>
      <c r="C24" s="1188"/>
      <c r="D24" s="1156"/>
      <c r="E24" s="622" t="s">
        <v>2346</v>
      </c>
      <c r="F24" s="1056" t="s">
        <v>2831</v>
      </c>
      <c r="G24" s="1140"/>
      <c r="H24" s="1132"/>
      <c r="I24" s="969"/>
    </row>
    <row r="25" spans="1:11" ht="30" customHeight="1" thickBot="1" x14ac:dyDescent="0.3">
      <c r="A25" s="1199"/>
      <c r="B25" s="1202"/>
      <c r="C25" s="831" t="s">
        <v>2349</v>
      </c>
      <c r="D25" s="1157"/>
      <c r="E25" s="832" t="s">
        <v>2205</v>
      </c>
      <c r="F25" s="279" t="s">
        <v>2831</v>
      </c>
      <c r="G25" s="1141"/>
      <c r="H25" s="1131"/>
      <c r="I25" s="969"/>
    </row>
    <row r="26" spans="1:11" ht="31.5" customHeight="1" x14ac:dyDescent="0.25">
      <c r="A26" s="1199"/>
      <c r="B26" s="1202"/>
      <c r="C26" s="1165" t="s">
        <v>15</v>
      </c>
      <c r="D26" s="1155">
        <v>0.2</v>
      </c>
      <c r="E26" s="830" t="s">
        <v>1937</v>
      </c>
      <c r="F26" s="833">
        <v>150000</v>
      </c>
      <c r="G26" s="1139"/>
      <c r="H26" s="1130">
        <f>IFERROR(IF(F27/F28&gt;1,1,F27/F28),IF(OR(F27="N.A",F28="N.A"),"N.A",0))</f>
        <v>1</v>
      </c>
      <c r="I26" s="969"/>
    </row>
    <row r="27" spans="1:11" ht="29.25" customHeight="1" x14ac:dyDescent="0.25">
      <c r="A27" s="1199"/>
      <c r="B27" s="1202"/>
      <c r="C27" s="1188"/>
      <c r="D27" s="1156"/>
      <c r="E27" s="622" t="s">
        <v>2206</v>
      </c>
      <c r="F27" s="112">
        <v>9301</v>
      </c>
      <c r="G27" s="1140"/>
      <c r="H27" s="1132"/>
      <c r="I27" s="969"/>
    </row>
    <row r="28" spans="1:11" ht="35.25" customHeight="1" thickBot="1" x14ac:dyDescent="0.3">
      <c r="A28" s="1199"/>
      <c r="B28" s="1202"/>
      <c r="C28" s="1166"/>
      <c r="D28" s="1157"/>
      <c r="E28" s="832" t="s">
        <v>2207</v>
      </c>
      <c r="F28" s="834">
        <v>9000</v>
      </c>
      <c r="G28" s="1141"/>
      <c r="H28" s="1131"/>
      <c r="I28" s="969"/>
    </row>
    <row r="29" spans="1:11" ht="31.5" customHeight="1" x14ac:dyDescent="0.25">
      <c r="A29" s="1199"/>
      <c r="B29" s="1202"/>
      <c r="C29" s="1165" t="s">
        <v>2351</v>
      </c>
      <c r="D29" s="1189">
        <v>0.2</v>
      </c>
      <c r="E29" s="830" t="s">
        <v>1954</v>
      </c>
      <c r="F29" s="833">
        <v>169000</v>
      </c>
      <c r="G29" s="1133"/>
      <c r="H29" s="1130" t="str">
        <f>IFERROR(IF(F30/F31&gt;1,1,F30/F31),IF(OR(F30="N.A",F31="N.A"),"N.A",0))</f>
        <v>N.A</v>
      </c>
      <c r="I29" s="969"/>
    </row>
    <row r="30" spans="1:11" ht="29.25" customHeight="1" x14ac:dyDescent="0.25">
      <c r="A30" s="1199"/>
      <c r="B30" s="1202"/>
      <c r="C30" s="1188"/>
      <c r="D30" s="1190"/>
      <c r="E30" s="797" t="s">
        <v>1955</v>
      </c>
      <c r="F30" s="1066">
        <v>43480</v>
      </c>
      <c r="G30" s="1134"/>
      <c r="H30" s="1132"/>
      <c r="I30" s="969"/>
    </row>
    <row r="31" spans="1:11" ht="32.25" customHeight="1" thickBot="1" x14ac:dyDescent="0.3">
      <c r="A31" s="1199"/>
      <c r="B31" s="1202"/>
      <c r="C31" s="831" t="s">
        <v>2352</v>
      </c>
      <c r="D31" s="1191"/>
      <c r="E31" s="822" t="s">
        <v>1956</v>
      </c>
      <c r="F31" s="834" t="s">
        <v>2831</v>
      </c>
      <c r="G31" s="1135"/>
      <c r="H31" s="1131"/>
      <c r="I31" s="969"/>
      <c r="J31" s="110"/>
    </row>
    <row r="32" spans="1:11" ht="42.75" customHeight="1" x14ac:dyDescent="0.25">
      <c r="A32" s="1199"/>
      <c r="B32" s="1202"/>
      <c r="C32" s="1165" t="s">
        <v>2354</v>
      </c>
      <c r="D32" s="1189">
        <v>0.2</v>
      </c>
      <c r="E32" s="824" t="s">
        <v>2353</v>
      </c>
      <c r="F32" s="835">
        <v>1</v>
      </c>
      <c r="G32" s="1133"/>
      <c r="H32" s="1130" t="str">
        <f>IFERROR(IF(F33/F35&gt;1,1,F33/F35),IF(OR(F33="N.A",F35="N.A"),"N.A",0))</f>
        <v>N.A</v>
      </c>
      <c r="I32" s="969"/>
      <c r="J32" s="110"/>
    </row>
    <row r="33" spans="1:10" ht="39.75" customHeight="1" x14ac:dyDescent="0.25">
      <c r="A33" s="1199"/>
      <c r="B33" s="1202"/>
      <c r="C33" s="1188"/>
      <c r="D33" s="1190"/>
      <c r="E33" s="211" t="s">
        <v>2431</v>
      </c>
      <c r="F33" s="1194" t="s">
        <v>2831</v>
      </c>
      <c r="G33" s="1134"/>
      <c r="H33" s="1132"/>
      <c r="I33" s="969"/>
      <c r="J33" s="113"/>
    </row>
    <row r="34" spans="1:10" ht="30" customHeight="1" x14ac:dyDescent="0.25">
      <c r="A34" s="1199"/>
      <c r="B34" s="1202"/>
      <c r="C34" s="1188"/>
      <c r="D34" s="1190"/>
      <c r="E34" s="212" t="s">
        <v>2287</v>
      </c>
      <c r="F34" s="1195"/>
      <c r="G34" s="1134"/>
      <c r="H34" s="1132"/>
      <c r="I34" s="969"/>
      <c r="J34" s="113"/>
    </row>
    <row r="35" spans="1:10" ht="33.75" customHeight="1" thickBot="1" x14ac:dyDescent="0.3">
      <c r="A35" s="1200"/>
      <c r="B35" s="1203"/>
      <c r="C35" s="831" t="s">
        <v>2352</v>
      </c>
      <c r="D35" s="1191"/>
      <c r="E35" s="822" t="s">
        <v>16</v>
      </c>
      <c r="F35" s="279">
        <v>1</v>
      </c>
      <c r="G35" s="1135"/>
      <c r="H35" s="1131"/>
      <c r="I35" s="969"/>
      <c r="J35" s="113"/>
    </row>
    <row r="36" spans="1:10" ht="30" customHeight="1" thickBot="1" x14ac:dyDescent="0.3">
      <c r="A36" s="1154" t="s">
        <v>45</v>
      </c>
      <c r="B36" s="1154"/>
      <c r="C36" s="1154"/>
      <c r="D36" s="1154"/>
      <c r="E36" s="1154"/>
      <c r="F36" s="1154"/>
      <c r="G36" s="836"/>
      <c r="H36" s="796">
        <f>IF(AND(H22="N.A",H23="N.A",H26="N.A",H29="N.A",H32="N.A"),"N.A",IF(OR(H22="N.A",H23="N.A",H26="N.A",H29="N.A",H32="N.A"),AVERAGE(H22:H35),(H22*0.2)+(H23*0.2)+(H26*0.2)+(H29*0.2)+(H32*0.2)))</f>
        <v>1</v>
      </c>
      <c r="I36" s="970"/>
      <c r="J36" s="113"/>
    </row>
    <row r="37" spans="1:10" ht="34.5" customHeight="1" x14ac:dyDescent="0.25">
      <c r="A37" s="1162">
        <v>3</v>
      </c>
      <c r="B37" s="1178" t="s">
        <v>8</v>
      </c>
      <c r="C37" s="1165" t="s">
        <v>18</v>
      </c>
      <c r="D37" s="1192">
        <v>0.5</v>
      </c>
      <c r="E37" s="838" t="s">
        <v>2433</v>
      </c>
      <c r="F37" s="1068">
        <f>1+13</f>
        <v>14</v>
      </c>
      <c r="G37" s="1144"/>
      <c r="H37" s="1130">
        <f>IFERROR(IF(F37/F38&gt;1,1,F37/F38),IF(OR(F37="N.A",F38="N.A"),"N.A",0))</f>
        <v>0.66666666666666663</v>
      </c>
      <c r="I37" s="969" t="s">
        <v>2833</v>
      </c>
    </row>
    <row r="38" spans="1:10" ht="32.25" customHeight="1" thickBot="1" x14ac:dyDescent="0.3">
      <c r="A38" s="1163"/>
      <c r="B38" s="1179"/>
      <c r="C38" s="1166"/>
      <c r="D38" s="1193"/>
      <c r="E38" s="839" t="s">
        <v>2434</v>
      </c>
      <c r="F38" s="1069">
        <f>5+16</f>
        <v>21</v>
      </c>
      <c r="G38" s="1145"/>
      <c r="H38" s="1131"/>
      <c r="I38" s="969" t="s">
        <v>2836</v>
      </c>
    </row>
    <row r="39" spans="1:10" ht="30.75" customHeight="1" thickBot="1" x14ac:dyDescent="0.3">
      <c r="A39" s="1163"/>
      <c r="B39" s="1179"/>
      <c r="C39" s="1176" t="s">
        <v>2212</v>
      </c>
      <c r="D39" s="1150">
        <v>0.1</v>
      </c>
      <c r="E39" s="824" t="s">
        <v>2213</v>
      </c>
      <c r="F39" s="972">
        <v>6391</v>
      </c>
      <c r="G39" s="1142"/>
      <c r="H39" s="1130">
        <f>IFERROR(IF(F39/F40&gt;1,1,F39/F40),IF(OR(F39="N.A",F40="N.A"),"N.A",0))</f>
        <v>0.69256610316428258</v>
      </c>
      <c r="I39" s="969"/>
    </row>
    <row r="40" spans="1:10" ht="30" customHeight="1" thickBot="1" x14ac:dyDescent="0.3">
      <c r="A40" s="1163"/>
      <c r="B40" s="1179"/>
      <c r="C40" s="1177"/>
      <c r="D40" s="1143"/>
      <c r="E40" s="822" t="s">
        <v>2214</v>
      </c>
      <c r="F40" s="972">
        <v>9228</v>
      </c>
      <c r="G40" s="1143"/>
      <c r="H40" s="1131"/>
      <c r="I40" s="969"/>
    </row>
    <row r="41" spans="1:10" ht="48.75" customHeight="1" thickBot="1" x14ac:dyDescent="0.3">
      <c r="A41" s="1163"/>
      <c r="B41" s="1179"/>
      <c r="C41" s="1176" t="s">
        <v>2215</v>
      </c>
      <c r="D41" s="1150">
        <v>0.1</v>
      </c>
      <c r="E41" s="824" t="s">
        <v>2216</v>
      </c>
      <c r="F41" s="1070">
        <v>390</v>
      </c>
      <c r="G41" s="1142"/>
      <c r="H41" s="1130">
        <f>IFERROR(IF(F41/F42&gt;1,1,F41/F42),IF(OR(F41="N.A",F42="N.A"),"N.A",0))</f>
        <v>0.25</v>
      </c>
      <c r="I41" s="1088" t="s">
        <v>2837</v>
      </c>
    </row>
    <row r="42" spans="1:10" ht="30.75" customHeight="1" thickBot="1" x14ac:dyDescent="0.3">
      <c r="A42" s="1163"/>
      <c r="B42" s="1179"/>
      <c r="C42" s="1177"/>
      <c r="D42" s="1143"/>
      <c r="E42" s="822" t="s">
        <v>2217</v>
      </c>
      <c r="F42" s="1070">
        <v>1560</v>
      </c>
      <c r="G42" s="1143"/>
      <c r="H42" s="1131"/>
      <c r="I42" s="969"/>
    </row>
    <row r="43" spans="1:10" ht="46.5" customHeight="1" thickBot="1" x14ac:dyDescent="0.3">
      <c r="A43" s="1163"/>
      <c r="B43" s="1179"/>
      <c r="C43" s="1176" t="s">
        <v>2218</v>
      </c>
      <c r="D43" s="1150">
        <v>0.1</v>
      </c>
      <c r="E43" s="824" t="s">
        <v>2219</v>
      </c>
      <c r="F43" s="972">
        <v>0</v>
      </c>
      <c r="G43" s="1142"/>
      <c r="H43" s="1130" t="str">
        <f>IFERROR(IF(F43/F44&gt;1,1,F43/F44),IF(OR(F43="N.A",F44="N.A"),"N.A",0))</f>
        <v>N.A</v>
      </c>
      <c r="I43" s="969" t="s">
        <v>2847</v>
      </c>
    </row>
    <row r="44" spans="1:10" ht="26.25" customHeight="1" thickBot="1" x14ac:dyDescent="0.3">
      <c r="A44" s="1163"/>
      <c r="B44" s="1179"/>
      <c r="C44" s="1177"/>
      <c r="D44" s="1143"/>
      <c r="E44" s="822" t="s">
        <v>2385</v>
      </c>
      <c r="F44" s="972" t="s">
        <v>2831</v>
      </c>
      <c r="G44" s="1143"/>
      <c r="H44" s="1131"/>
      <c r="I44" s="969"/>
    </row>
    <row r="45" spans="1:10" ht="28.5" customHeight="1" thickBot="1" x14ac:dyDescent="0.3">
      <c r="A45" s="1163"/>
      <c r="B45" s="1179"/>
      <c r="C45" s="1176" t="s">
        <v>2220</v>
      </c>
      <c r="D45" s="1150">
        <v>0.1</v>
      </c>
      <c r="E45" s="824" t="s">
        <v>2221</v>
      </c>
      <c r="F45" s="972">
        <v>125</v>
      </c>
      <c r="G45" s="1142"/>
      <c r="H45" s="1130">
        <f>IFERROR(IF(F45/F46&gt;1,1,F45/F46),IF(OR(F45="N.A",F46="N.A"),"N.A",0))</f>
        <v>0.56818181818181823</v>
      </c>
      <c r="I45" s="969"/>
    </row>
    <row r="46" spans="1:10" ht="27" customHeight="1" thickBot="1" x14ac:dyDescent="0.3">
      <c r="A46" s="1163"/>
      <c r="B46" s="1179"/>
      <c r="C46" s="1177"/>
      <c r="D46" s="1143"/>
      <c r="E46" s="822" t="s">
        <v>2222</v>
      </c>
      <c r="F46" s="972">
        <v>220</v>
      </c>
      <c r="G46" s="1143"/>
      <c r="H46" s="1131"/>
      <c r="I46" s="969"/>
    </row>
    <row r="47" spans="1:10" ht="27" customHeight="1" x14ac:dyDescent="0.25">
      <c r="A47" s="1163"/>
      <c r="B47" s="1179"/>
      <c r="C47" s="1176" t="s">
        <v>2223</v>
      </c>
      <c r="D47" s="1150">
        <v>0.1</v>
      </c>
      <c r="E47" s="824" t="s">
        <v>2224</v>
      </c>
      <c r="F47" s="972">
        <v>12</v>
      </c>
      <c r="G47" s="1142"/>
      <c r="H47" s="1130">
        <f>IFERROR(IF(F47/F48&gt;1,1,F47/F48),IF(OR(F47="N.A",F48="N.A"),"N.A",0))</f>
        <v>0.63157894736842102</v>
      </c>
      <c r="I47" s="969"/>
    </row>
    <row r="48" spans="1:10" ht="24.75" thickBot="1" x14ac:dyDescent="0.3">
      <c r="A48" s="1163"/>
      <c r="B48" s="1179"/>
      <c r="C48" s="1177"/>
      <c r="D48" s="1143"/>
      <c r="E48" s="822" t="s">
        <v>2225</v>
      </c>
      <c r="F48" s="973">
        <v>19</v>
      </c>
      <c r="G48" s="1143"/>
      <c r="H48" s="1131"/>
      <c r="I48" s="969"/>
    </row>
    <row r="49" spans="1:9" ht="38.25" customHeight="1" thickBot="1" x14ac:dyDescent="0.3">
      <c r="A49" s="1164"/>
      <c r="B49" s="1180"/>
      <c r="C49" s="840" t="s">
        <v>9</v>
      </c>
      <c r="D49" s="841">
        <v>0.5</v>
      </c>
      <c r="E49" s="1173"/>
      <c r="F49" s="1174"/>
      <c r="G49" s="1175"/>
      <c r="H49" s="829">
        <f>IF(AND(H39="N.A",H41="N.A",H43="N.A",H45="N.A",H47="N.A"),"N.A",IF(OR(H39="N.A",H41="N.A",H43="N.A",H45="N.A",H47="N.A"),AVERAGE(H39:H48),(H39*0.2)+(H41*0.2)+(H43*0.2)+(H45*0.2)+(H47*0.2)))</f>
        <v>0.53558171717863046</v>
      </c>
      <c r="I49" s="969"/>
    </row>
    <row r="50" spans="1:9" ht="30" customHeight="1" x14ac:dyDescent="0.25">
      <c r="A50" s="1152" t="s">
        <v>46</v>
      </c>
      <c r="B50" s="1152"/>
      <c r="C50" s="1152"/>
      <c r="D50" s="1152"/>
      <c r="E50" s="1152"/>
      <c r="F50" s="1152"/>
      <c r="G50" s="837"/>
      <c r="H50" s="795">
        <f>IF(H37="N.A",H49,IF(H49="N.A",H37,(0.5*H37)+(0.5*H49)))</f>
        <v>0.60112419192264854</v>
      </c>
      <c r="I50" s="970"/>
    </row>
    <row r="51" spans="1:9" ht="45.75" customHeight="1" x14ac:dyDescent="0.25">
      <c r="A51" s="1196" t="s">
        <v>1965</v>
      </c>
      <c r="B51" s="1197"/>
      <c r="C51" s="1197"/>
      <c r="D51" s="1197"/>
      <c r="E51" s="1197"/>
      <c r="F51" s="1197"/>
      <c r="G51" s="8"/>
      <c r="H51" s="103">
        <f>IF(AND(H10="N.A",H36="N.A",H50="N.A"),"N.A",IF(OR(H10="N.A",H36="N.A",H50="N.A"),AVERAGE(H10,H36,H50),(H10*0.35)+(H36*0.35)+(H50*0.3)))</f>
        <v>0.85846225757679451</v>
      </c>
      <c r="I51" s="970"/>
    </row>
    <row r="52" spans="1:9" x14ac:dyDescent="0.25">
      <c r="A52" s="110"/>
      <c r="B52" s="110"/>
      <c r="C52" s="110"/>
      <c r="D52" s="115"/>
      <c r="E52" s="110"/>
      <c r="F52" s="115"/>
      <c r="G52" s="116"/>
      <c r="H52" s="117"/>
    </row>
    <row r="53" spans="1:9" x14ac:dyDescent="0.25">
      <c r="A53" s="1124" t="s">
        <v>1964</v>
      </c>
      <c r="B53" s="1124"/>
      <c r="C53" s="1124"/>
      <c r="D53" s="1124"/>
      <c r="E53" s="1124"/>
      <c r="F53" s="115"/>
      <c r="G53" s="116"/>
      <c r="H53" s="118"/>
    </row>
    <row r="54" spans="1:9" ht="21" customHeight="1" x14ac:dyDescent="0.25">
      <c r="A54" s="9"/>
      <c r="B54" s="1149" t="s">
        <v>24</v>
      </c>
      <c r="C54" s="1149"/>
      <c r="D54" s="1149"/>
      <c r="E54" s="1149"/>
      <c r="F54" s="115"/>
      <c r="G54" s="116"/>
      <c r="H54" s="118"/>
    </row>
    <row r="55" spans="1:9" ht="22.5" customHeight="1" x14ac:dyDescent="0.25">
      <c r="A55" s="6"/>
      <c r="B55" s="1149" t="s">
        <v>1966</v>
      </c>
      <c r="C55" s="1149"/>
      <c r="D55" s="1149"/>
      <c r="E55" s="1149"/>
      <c r="F55" s="115"/>
      <c r="G55" s="116"/>
      <c r="H55" s="118"/>
    </row>
    <row r="56" spans="1:9" ht="21.75" customHeight="1" x14ac:dyDescent="0.25">
      <c r="A56" s="7"/>
      <c r="B56" s="1149" t="s">
        <v>25</v>
      </c>
      <c r="C56" s="1149"/>
      <c r="D56" s="1149"/>
      <c r="E56" s="1149"/>
      <c r="F56" s="115"/>
      <c r="G56" s="116"/>
      <c r="H56" s="118"/>
    </row>
    <row r="57" spans="1:9" ht="24.75" customHeight="1" x14ac:dyDescent="0.25">
      <c r="A57" s="8"/>
      <c r="B57" s="1151" t="s">
        <v>26</v>
      </c>
      <c r="C57" s="1151"/>
      <c r="D57" s="1151"/>
      <c r="E57" s="1151"/>
      <c r="F57" s="115"/>
      <c r="G57" s="116"/>
      <c r="H57" s="118"/>
    </row>
    <row r="58" spans="1:9" ht="15.75" thickBot="1" x14ac:dyDescent="0.3">
      <c r="A58" s="110"/>
      <c r="B58" s="110"/>
      <c r="C58" s="110"/>
      <c r="D58" s="115"/>
      <c r="E58" s="110"/>
      <c r="F58" s="115"/>
      <c r="G58" s="116"/>
      <c r="H58" s="118"/>
    </row>
    <row r="59" spans="1:9" ht="15.75" thickBot="1" x14ac:dyDescent="0.3">
      <c r="A59" s="1181" t="s">
        <v>2227</v>
      </c>
      <c r="B59" s="1182"/>
      <c r="C59" s="1182"/>
      <c r="D59" s="1183"/>
      <c r="E59" s="110"/>
      <c r="F59" s="115"/>
      <c r="G59" s="116"/>
      <c r="H59" s="118"/>
    </row>
    <row r="60" spans="1:9" ht="15.75" thickBot="1" x14ac:dyDescent="0.3">
      <c r="A60" s="94" t="s">
        <v>2228</v>
      </c>
      <c r="B60" s="119" t="s">
        <v>2229</v>
      </c>
      <c r="C60" s="95" t="s">
        <v>2230</v>
      </c>
      <c r="D60" s="95" t="s">
        <v>2231</v>
      </c>
      <c r="F60" s="115"/>
    </row>
    <row r="61" spans="1:9" ht="15.75" customHeight="1" thickBot="1" x14ac:dyDescent="0.3">
      <c r="A61" s="96">
        <v>1</v>
      </c>
      <c r="B61" s="97" t="s">
        <v>2232</v>
      </c>
      <c r="C61" s="97" t="s">
        <v>2233</v>
      </c>
      <c r="D61" s="98"/>
    </row>
    <row r="62" spans="1:9" ht="15.75" thickBot="1" x14ac:dyDescent="0.3">
      <c r="A62" s="96">
        <v>2</v>
      </c>
      <c r="B62" s="97" t="s">
        <v>2234</v>
      </c>
      <c r="C62" s="97" t="s">
        <v>2235</v>
      </c>
      <c r="D62" s="99"/>
    </row>
    <row r="63" spans="1:9" ht="15.75" thickBot="1" x14ac:dyDescent="0.3">
      <c r="A63" s="96">
        <v>3</v>
      </c>
      <c r="B63" s="97" t="s">
        <v>2236</v>
      </c>
      <c r="C63" s="97" t="s">
        <v>2237</v>
      </c>
      <c r="D63" s="100"/>
    </row>
    <row r="64" spans="1:9" ht="15.75" thickBot="1" x14ac:dyDescent="0.3">
      <c r="A64" s="96">
        <v>4</v>
      </c>
      <c r="B64" s="97" t="s">
        <v>2238</v>
      </c>
      <c r="C64" s="97" t="s">
        <v>2239</v>
      </c>
      <c r="D64" s="101"/>
    </row>
    <row r="65" spans="1:5" ht="15.75" thickBot="1" x14ac:dyDescent="0.3">
      <c r="A65" s="96">
        <v>5</v>
      </c>
      <c r="B65" s="97" t="s">
        <v>2240</v>
      </c>
      <c r="C65" s="97" t="s">
        <v>2241</v>
      </c>
      <c r="D65" s="102"/>
    </row>
    <row r="67" spans="1:5" x14ac:dyDescent="0.25">
      <c r="A67" s="1146" t="s">
        <v>2285</v>
      </c>
      <c r="B67" s="1146"/>
      <c r="C67" s="1146"/>
      <c r="D67" s="1146"/>
      <c r="E67" s="1146"/>
    </row>
    <row r="68" spans="1:5" ht="141" customHeight="1" x14ac:dyDescent="0.25">
      <c r="A68" s="1147" t="s">
        <v>2286</v>
      </c>
      <c r="B68" s="1147"/>
      <c r="C68" s="1147"/>
      <c r="D68" s="1147"/>
      <c r="E68" s="1147"/>
    </row>
  </sheetData>
  <mergeCells count="87">
    <mergeCell ref="A11:A35"/>
    <mergeCell ref="B11:B35"/>
    <mergeCell ref="C18:C21"/>
    <mergeCell ref="D18:D19"/>
    <mergeCell ref="F12:F13"/>
    <mergeCell ref="D23:D25"/>
    <mergeCell ref="E22:G22"/>
    <mergeCell ref="G32:G35"/>
    <mergeCell ref="C11:C14"/>
    <mergeCell ref="D11:D13"/>
    <mergeCell ref="C15:C17"/>
    <mergeCell ref="D15:D16"/>
    <mergeCell ref="A59:D59"/>
    <mergeCell ref="E20:E21"/>
    <mergeCell ref="F20:F21"/>
    <mergeCell ref="C23:C24"/>
    <mergeCell ref="C29:C30"/>
    <mergeCell ref="D32:D35"/>
    <mergeCell ref="D37:D38"/>
    <mergeCell ref="A36:F36"/>
    <mergeCell ref="C39:C40"/>
    <mergeCell ref="A37:A49"/>
    <mergeCell ref="C32:C34"/>
    <mergeCell ref="F33:F34"/>
    <mergeCell ref="D29:D31"/>
    <mergeCell ref="C26:C28"/>
    <mergeCell ref="A51:F51"/>
    <mergeCell ref="D47:D48"/>
    <mergeCell ref="C41:C42"/>
    <mergeCell ref="C43:C44"/>
    <mergeCell ref="C45:C46"/>
    <mergeCell ref="C47:C48"/>
    <mergeCell ref="B37:B49"/>
    <mergeCell ref="C37:C38"/>
    <mergeCell ref="D39:D40"/>
    <mergeCell ref="D41:D42"/>
    <mergeCell ref="E49:G49"/>
    <mergeCell ref="G43:G44"/>
    <mergeCell ref="G41:G42"/>
    <mergeCell ref="G45:G46"/>
    <mergeCell ref="G47:G48"/>
    <mergeCell ref="A2:I2"/>
    <mergeCell ref="A10:F10"/>
    <mergeCell ref="D26:D28"/>
    <mergeCell ref="G26:G28"/>
    <mergeCell ref="H6:H7"/>
    <mergeCell ref="H8:H9"/>
    <mergeCell ref="G6:G7"/>
    <mergeCell ref="G8:G9"/>
    <mergeCell ref="A6:A9"/>
    <mergeCell ref="C6:C7"/>
    <mergeCell ref="B6:B9"/>
    <mergeCell ref="C8:C9"/>
    <mergeCell ref="D6:D7"/>
    <mergeCell ref="G18:G21"/>
    <mergeCell ref="A3:I3"/>
    <mergeCell ref="D8:D9"/>
    <mergeCell ref="A67:E67"/>
    <mergeCell ref="A68:E68"/>
    <mergeCell ref="A4:I4"/>
    <mergeCell ref="B56:E56"/>
    <mergeCell ref="B54:E54"/>
    <mergeCell ref="B55:E55"/>
    <mergeCell ref="D43:D44"/>
    <mergeCell ref="D45:D46"/>
    <mergeCell ref="B57:E57"/>
    <mergeCell ref="A53:E53"/>
    <mergeCell ref="H41:H42"/>
    <mergeCell ref="H43:H44"/>
    <mergeCell ref="H45:H46"/>
    <mergeCell ref="H47:H48"/>
    <mergeCell ref="G11:G14"/>
    <mergeCell ref="A50:F50"/>
    <mergeCell ref="H37:H38"/>
    <mergeCell ref="H39:H40"/>
    <mergeCell ref="H11:H14"/>
    <mergeCell ref="G29:G31"/>
    <mergeCell ref="H29:H31"/>
    <mergeCell ref="G15:G17"/>
    <mergeCell ref="H15:H17"/>
    <mergeCell ref="H18:H21"/>
    <mergeCell ref="G23:G25"/>
    <mergeCell ref="H26:H28"/>
    <mergeCell ref="H23:H25"/>
    <mergeCell ref="G39:G40"/>
    <mergeCell ref="G37:G38"/>
    <mergeCell ref="H32:H35"/>
  </mergeCells>
  <conditionalFormatting sqref="H29 H15 H18 H22:H23 H26 H36:H51 H6:H12">
    <cfRule type="cellIs" dxfId="113" priority="58" operator="between">
      <formula>0.9</formula>
      <formula>1</formula>
    </cfRule>
    <cfRule type="cellIs" dxfId="112" priority="59" operator="between">
      <formula>0.75</formula>
      <formula>0.899</formula>
    </cfRule>
    <cfRule type="cellIs" dxfId="111" priority="60" operator="between">
      <formula>0.6</formula>
      <formula>0.749</formula>
    </cfRule>
    <cfRule type="cellIs" dxfId="110" priority="61" operator="between">
      <formula>0.41</formula>
      <formula>0.599</formula>
    </cfRule>
    <cfRule type="cellIs" dxfId="109" priority="62" operator="between">
      <formula>0</formula>
      <formula>0.4</formula>
    </cfRule>
  </conditionalFormatting>
  <conditionalFormatting sqref="D21">
    <cfRule type="cellIs" dxfId="108" priority="6" operator="equal">
      <formula>1</formula>
    </cfRule>
    <cfRule type="cellIs" dxfId="107" priority="7" operator="equal">
      <formula>"La suma de los ponderadores debe ser igual a 1"</formula>
    </cfRule>
  </conditionalFormatting>
  <conditionalFormatting sqref="H32">
    <cfRule type="cellIs" dxfId="106" priority="1" operator="between">
      <formula>0.9</formula>
      <formula>1</formula>
    </cfRule>
    <cfRule type="cellIs" dxfId="105" priority="2" operator="between">
      <formula>0.75</formula>
      <formula>0.89</formula>
    </cfRule>
    <cfRule type="cellIs" dxfId="104" priority="3" operator="between">
      <formula>0.6</formula>
      <formula>0.749</formula>
    </cfRule>
    <cfRule type="cellIs" dxfId="103" priority="4" operator="between">
      <formula>0.41</formula>
      <formula>0.599</formula>
    </cfRule>
    <cfRule type="cellIs" dxfId="102" priority="5" operator="between">
      <formula>0</formula>
      <formula>0.4</formula>
    </cfRule>
  </conditionalFormatting>
  <hyperlinks>
    <hyperlink ref="E13" r:id="rId1"/>
    <hyperlink ref="E34" r:id="rId2"/>
    <hyperlink ref="C25" r:id="rId3"/>
    <hyperlink ref="C31" r:id="rId4"/>
    <hyperlink ref="C35" r:id="rId5"/>
  </hyperlinks>
  <pageMargins left="0.7" right="0.7" top="0.75" bottom="0.75" header="0.3" footer="0.3"/>
  <pageSetup scale="32" orientation="portrait" r:id="rId6"/>
  <drawing r:id="rId7"/>
  <legacyDrawing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
  <sheetViews>
    <sheetView showGridLines="0" topLeftCell="H1" workbookViewId="0">
      <selection activeCell="I6" sqref="I6"/>
    </sheetView>
  </sheetViews>
  <sheetFormatPr baseColWidth="10" defaultRowHeight="15" x14ac:dyDescent="0.25"/>
  <cols>
    <col min="1" max="1" width="34.28515625" customWidth="1"/>
    <col min="2" max="2" width="35" customWidth="1"/>
    <col min="3" max="3" width="49.7109375" customWidth="1"/>
    <col min="4" max="4" width="16.140625" customWidth="1"/>
    <col min="5" max="5" width="79.7109375" customWidth="1"/>
    <col min="6" max="6" width="15" customWidth="1"/>
    <col min="7" max="7" width="57" customWidth="1"/>
    <col min="8" max="8" width="18.140625" customWidth="1"/>
  </cols>
  <sheetData>
    <row r="1" spans="1:8" ht="28.5" customHeight="1" x14ac:dyDescent="0.25">
      <c r="A1" s="2204" t="s">
        <v>2310</v>
      </c>
      <c r="B1" s="2204"/>
      <c r="C1" s="2204"/>
      <c r="D1" s="2204"/>
      <c r="E1" s="2204"/>
      <c r="F1" s="2204"/>
      <c r="G1" s="2204"/>
      <c r="H1" s="2204"/>
    </row>
    <row r="2" spans="1:8" x14ac:dyDescent="0.25">
      <c r="A2" s="2204"/>
      <c r="B2" s="2204"/>
      <c r="C2" s="2204"/>
      <c r="D2" s="2204"/>
      <c r="E2" s="2204"/>
      <c r="F2" s="2204"/>
      <c r="G2" s="2204"/>
      <c r="H2" s="2204"/>
    </row>
    <row r="3" spans="1:8" x14ac:dyDescent="0.25">
      <c r="A3" s="2205" t="s">
        <v>2311</v>
      </c>
      <c r="B3" s="2205" t="s">
        <v>2312</v>
      </c>
      <c r="C3" s="2205" t="s">
        <v>2313</v>
      </c>
      <c r="D3" s="2205"/>
      <c r="E3" s="2205"/>
      <c r="F3" s="2205"/>
      <c r="G3" s="2205"/>
      <c r="H3" s="2205"/>
    </row>
    <row r="4" spans="1:8" ht="24.75" x14ac:dyDescent="0.25">
      <c r="A4" s="2205"/>
      <c r="B4" s="2205"/>
      <c r="C4" s="49" t="s">
        <v>2292</v>
      </c>
      <c r="D4" s="49" t="s">
        <v>2314</v>
      </c>
      <c r="E4" s="49" t="s">
        <v>2294</v>
      </c>
      <c r="F4" s="49" t="s">
        <v>2348</v>
      </c>
      <c r="G4" s="49" t="s">
        <v>2315</v>
      </c>
      <c r="H4" s="49" t="s">
        <v>2293</v>
      </c>
    </row>
    <row r="5" spans="1:8" ht="36.75" x14ac:dyDescent="0.25">
      <c r="A5" s="59" t="s">
        <v>2331</v>
      </c>
      <c r="B5" s="53" t="s">
        <v>2332</v>
      </c>
      <c r="C5" s="53" t="s">
        <v>2333</v>
      </c>
      <c r="D5" s="61">
        <v>1519</v>
      </c>
      <c r="E5" s="53" t="s">
        <v>2334</v>
      </c>
      <c r="F5" s="91">
        <v>287940300</v>
      </c>
      <c r="G5" s="53" t="s">
        <v>2335</v>
      </c>
      <c r="H5" s="63">
        <v>3</v>
      </c>
    </row>
    <row r="6" spans="1:8" ht="24.75" x14ac:dyDescent="0.25">
      <c r="A6" s="52" t="s">
        <v>2336</v>
      </c>
      <c r="B6" s="60" t="s">
        <v>2337</v>
      </c>
      <c r="C6" s="56" t="s">
        <v>2338</v>
      </c>
      <c r="D6" s="62">
        <v>2134</v>
      </c>
      <c r="E6" s="57" t="s">
        <v>2339</v>
      </c>
      <c r="F6" s="92">
        <v>678581070</v>
      </c>
      <c r="G6" s="53" t="s">
        <v>2340</v>
      </c>
      <c r="H6" s="63">
        <v>7</v>
      </c>
    </row>
  </sheetData>
  <sheetProtection password="B860" sheet="1" objects="1" scenarios="1"/>
  <mergeCells count="4">
    <mergeCell ref="A1:H2"/>
    <mergeCell ref="A3:A4"/>
    <mergeCell ref="B3:B4"/>
    <mergeCell ref="C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92D050"/>
    <pageSetUpPr fitToPage="1"/>
  </sheetPr>
  <dimension ref="A1:M72"/>
  <sheetViews>
    <sheetView showGridLines="0" topLeftCell="A25" zoomScale="91" zoomScaleNormal="91" workbookViewId="0">
      <selection sqref="A1:I1"/>
    </sheetView>
  </sheetViews>
  <sheetFormatPr baseColWidth="10" defaultRowHeight="15" x14ac:dyDescent="0.25"/>
  <cols>
    <col min="1" max="1" width="11.42578125" style="104"/>
    <col min="2" max="2" width="22.85546875" style="104" customWidth="1"/>
    <col min="3" max="3" width="41.42578125" style="104" customWidth="1"/>
    <col min="4" max="4" width="16.42578125" style="106" customWidth="1"/>
    <col min="5" max="5" width="58.85546875" style="104" customWidth="1"/>
    <col min="6" max="6" width="17" style="106" customWidth="1"/>
    <col min="7" max="7" width="71.5703125" style="104" customWidth="1"/>
    <col min="8" max="8" width="14.42578125" style="107" customWidth="1"/>
    <col min="9" max="9" width="59.7109375" style="126" customWidth="1"/>
    <col min="10" max="16384" width="11.42578125" style="104"/>
  </cols>
  <sheetData>
    <row r="1" spans="1:13" ht="20.25" customHeight="1" x14ac:dyDescent="0.25">
      <c r="A1" s="1153" t="s">
        <v>23</v>
      </c>
      <c r="B1" s="1153"/>
      <c r="C1" s="1153"/>
      <c r="D1" s="1153"/>
      <c r="E1" s="1153"/>
      <c r="F1" s="1153"/>
      <c r="G1" s="1153"/>
      <c r="H1" s="1153"/>
      <c r="I1" s="1153"/>
    </row>
    <row r="2" spans="1:13" ht="21" customHeight="1" x14ac:dyDescent="0.25">
      <c r="A2" s="1153" t="s">
        <v>27</v>
      </c>
      <c r="B2" s="1153"/>
      <c r="C2" s="1153"/>
      <c r="D2" s="1153"/>
      <c r="E2" s="1153"/>
      <c r="F2" s="1153"/>
      <c r="G2" s="1153"/>
      <c r="H2" s="1153"/>
      <c r="I2" s="1153"/>
    </row>
    <row r="3" spans="1:13" ht="15" customHeight="1" x14ac:dyDescent="0.25">
      <c r="A3" s="1148" t="s">
        <v>1</v>
      </c>
      <c r="B3" s="1148"/>
      <c r="C3" s="1148"/>
      <c r="D3" s="1148"/>
      <c r="E3" s="1148"/>
      <c r="F3" s="1148"/>
      <c r="G3" s="1148"/>
      <c r="H3" s="1148"/>
      <c r="I3" s="1148"/>
    </row>
    <row r="4" spans="1:13" ht="51.75" customHeight="1" thickBot="1" x14ac:dyDescent="0.3">
      <c r="A4" s="814" t="s">
        <v>2</v>
      </c>
      <c r="B4" s="814" t="s">
        <v>1963</v>
      </c>
      <c r="C4" s="814" t="s">
        <v>3</v>
      </c>
      <c r="D4" s="814" t="s">
        <v>19</v>
      </c>
      <c r="E4" s="814" t="s">
        <v>10</v>
      </c>
      <c r="F4" s="814" t="s">
        <v>17</v>
      </c>
      <c r="G4" s="814" t="s">
        <v>22</v>
      </c>
      <c r="H4" s="814" t="s">
        <v>4</v>
      </c>
      <c r="I4" s="5" t="s">
        <v>1907</v>
      </c>
    </row>
    <row r="5" spans="1:13" ht="34.5" customHeight="1" x14ac:dyDescent="3.5">
      <c r="A5" s="1162">
        <v>1</v>
      </c>
      <c r="B5" s="1178" t="s">
        <v>1969</v>
      </c>
      <c r="C5" s="1286" t="s">
        <v>2358</v>
      </c>
      <c r="D5" s="1258">
        <v>0.5</v>
      </c>
      <c r="E5" s="1270" t="s">
        <v>1957</v>
      </c>
      <c r="F5" s="1263">
        <v>212</v>
      </c>
      <c r="G5" s="1238"/>
      <c r="H5" s="1226">
        <f>IFERROR(IF(F8/F5&gt;1,1,F8/F5),IF(OR(F5="N.A",F8="N.A"),"N.A",0))</f>
        <v>0.28301886792452829</v>
      </c>
      <c r="I5" s="842" t="s">
        <v>2839</v>
      </c>
      <c r="M5" s="120" t="s">
        <v>1938</v>
      </c>
    </row>
    <row r="6" spans="1:13" ht="17.25" customHeight="1" x14ac:dyDescent="0.25">
      <c r="A6" s="1163"/>
      <c r="B6" s="1179"/>
      <c r="C6" s="1287"/>
      <c r="D6" s="1259"/>
      <c r="E6" s="1271"/>
      <c r="F6" s="1264"/>
      <c r="G6" s="1239"/>
      <c r="H6" s="1227"/>
      <c r="I6" s="1223"/>
    </row>
    <row r="7" spans="1:13" ht="31.5" customHeight="1" x14ac:dyDescent="0.25">
      <c r="A7" s="1163"/>
      <c r="B7" s="1179"/>
      <c r="C7" s="1287"/>
      <c r="D7" s="1259"/>
      <c r="E7" s="847" t="s">
        <v>2287</v>
      </c>
      <c r="F7" s="1264"/>
      <c r="G7" s="1239"/>
      <c r="H7" s="1227"/>
      <c r="I7" s="1224"/>
    </row>
    <row r="8" spans="1:13" ht="27.75" customHeight="1" thickBot="1" x14ac:dyDescent="0.3">
      <c r="A8" s="1163"/>
      <c r="B8" s="1179"/>
      <c r="C8" s="1287"/>
      <c r="D8" s="1259"/>
      <c r="E8" s="848" t="s">
        <v>2435</v>
      </c>
      <c r="F8" s="1071">
        <v>60</v>
      </c>
      <c r="G8" s="1240"/>
      <c r="H8" s="1228"/>
      <c r="I8" s="1225"/>
    </row>
    <row r="9" spans="1:13" ht="20.25" customHeight="1" x14ac:dyDescent="0.25">
      <c r="A9" s="1163"/>
      <c r="B9" s="1179"/>
      <c r="C9" s="1287"/>
      <c r="D9" s="1259"/>
      <c r="E9" s="1204" t="s">
        <v>1958</v>
      </c>
      <c r="F9" s="1261">
        <v>115</v>
      </c>
      <c r="G9" s="1250"/>
      <c r="H9" s="1226">
        <f>IFERROR(IF(F11/F9&gt;1,1,F11/F9),IF(OR(F11="N.A",F9="N.A"),"N.A",0))</f>
        <v>0.52173913043478259</v>
      </c>
      <c r="I9" s="1223"/>
    </row>
    <row r="10" spans="1:13" ht="15" customHeight="1" x14ac:dyDescent="0.25">
      <c r="A10" s="1163"/>
      <c r="B10" s="1179"/>
      <c r="C10" s="1287"/>
      <c r="D10" s="1259"/>
      <c r="E10" s="1260"/>
      <c r="F10" s="1262"/>
      <c r="G10" s="1251"/>
      <c r="H10" s="1227"/>
      <c r="I10" s="1225"/>
    </row>
    <row r="11" spans="1:13" ht="24.75" thickBot="1" x14ac:dyDescent="0.3">
      <c r="A11" s="1163"/>
      <c r="B11" s="1179"/>
      <c r="C11" s="1287"/>
      <c r="D11" s="1259"/>
      <c r="E11" s="848" t="s">
        <v>2437</v>
      </c>
      <c r="F11" s="1071">
        <v>60</v>
      </c>
      <c r="G11" s="1252"/>
      <c r="H11" s="1228"/>
      <c r="I11" s="256"/>
    </row>
    <row r="12" spans="1:13" ht="28.5" customHeight="1" x14ac:dyDescent="0.25">
      <c r="A12" s="1163"/>
      <c r="B12" s="1179"/>
      <c r="C12" s="860" t="s">
        <v>2359</v>
      </c>
      <c r="D12" s="1259"/>
      <c r="E12" s="1204" t="s">
        <v>1959</v>
      </c>
      <c r="F12" s="1265">
        <v>79</v>
      </c>
      <c r="G12" s="1250"/>
      <c r="H12" s="1226">
        <f>IFERROR(IF(F14/F12&gt;1,1,F14/F12),IF(OR(F12="N.A",F14="N.A"),"N.A",0))</f>
        <v>0.759493670886076</v>
      </c>
      <c r="I12" s="1268"/>
    </row>
    <row r="13" spans="1:13" ht="15.75" customHeight="1" x14ac:dyDescent="0.25">
      <c r="A13" s="1163"/>
      <c r="B13" s="1179"/>
      <c r="C13" s="845"/>
      <c r="D13" s="1259"/>
      <c r="E13" s="1260"/>
      <c r="F13" s="1195"/>
      <c r="G13" s="1251"/>
      <c r="H13" s="1227"/>
      <c r="I13" s="1269"/>
    </row>
    <row r="14" spans="1:13" ht="24.75" customHeight="1" thickBot="1" x14ac:dyDescent="0.3">
      <c r="A14" s="1163"/>
      <c r="B14" s="1179"/>
      <c r="C14" s="845"/>
      <c r="D14" s="1259"/>
      <c r="E14" s="848" t="s">
        <v>2436</v>
      </c>
      <c r="F14" s="279">
        <v>60</v>
      </c>
      <c r="G14" s="1252"/>
      <c r="H14" s="1228"/>
      <c r="I14" s="256"/>
    </row>
    <row r="15" spans="1:13" ht="20.25" customHeight="1" x14ac:dyDescent="0.25">
      <c r="A15" s="1163"/>
      <c r="B15" s="1179"/>
      <c r="C15" s="845"/>
      <c r="D15" s="1259"/>
      <c r="E15" s="1204" t="s">
        <v>1960</v>
      </c>
      <c r="F15" s="1265">
        <v>61</v>
      </c>
      <c r="G15" s="1250"/>
      <c r="H15" s="1226">
        <f>IFERROR(IF(F17/F15&gt;1,1,F17/F15),IF(OR(F15="N.A",F17="N.A"),"N.A",0))</f>
        <v>0.98360655737704916</v>
      </c>
      <c r="I15" s="1268"/>
    </row>
    <row r="16" spans="1:13" ht="15.75" customHeight="1" x14ac:dyDescent="0.25">
      <c r="A16" s="1163"/>
      <c r="B16" s="1179"/>
      <c r="C16" s="846"/>
      <c r="D16" s="1259"/>
      <c r="E16" s="1260"/>
      <c r="F16" s="1195"/>
      <c r="G16" s="1251"/>
      <c r="H16" s="1227"/>
      <c r="I16" s="1269"/>
    </row>
    <row r="17" spans="1:9" ht="24.75" thickBot="1" x14ac:dyDescent="0.3">
      <c r="A17" s="1163"/>
      <c r="B17" s="1179"/>
      <c r="C17" s="1284"/>
      <c r="D17" s="1259"/>
      <c r="E17" s="848" t="s">
        <v>2438</v>
      </c>
      <c r="F17" s="279">
        <v>60</v>
      </c>
      <c r="G17" s="1252"/>
      <c r="H17" s="1228"/>
      <c r="I17" s="256"/>
    </row>
    <row r="18" spans="1:9" ht="18" customHeight="1" x14ac:dyDescent="0.25">
      <c r="A18" s="1163"/>
      <c r="B18" s="1179"/>
      <c r="C18" s="1284"/>
      <c r="D18" s="1259"/>
      <c r="E18" s="1204" t="s">
        <v>1961</v>
      </c>
      <c r="F18" s="1261">
        <v>147</v>
      </c>
      <c r="G18" s="1250"/>
      <c r="H18" s="1226">
        <f>IFERROR(IF(F20/F18&gt;1,1,F20/F18),IF(OR(F18="N.A",F20="N.A"),"N.A",0))</f>
        <v>0.40816326530612246</v>
      </c>
      <c r="I18" s="1268"/>
    </row>
    <row r="19" spans="1:9" ht="15" customHeight="1" x14ac:dyDescent="0.25">
      <c r="A19" s="1163"/>
      <c r="B19" s="1179"/>
      <c r="C19" s="1284"/>
      <c r="D19" s="1259"/>
      <c r="E19" s="1260"/>
      <c r="F19" s="1262"/>
      <c r="G19" s="1251"/>
      <c r="H19" s="1227"/>
      <c r="I19" s="1269"/>
    </row>
    <row r="20" spans="1:9" ht="24.75" thickBot="1" x14ac:dyDescent="0.3">
      <c r="A20" s="1163"/>
      <c r="B20" s="1179"/>
      <c r="C20" s="1284"/>
      <c r="D20" s="1259"/>
      <c r="E20" s="848" t="s">
        <v>2439</v>
      </c>
      <c r="F20" s="1071">
        <v>60</v>
      </c>
      <c r="G20" s="1252"/>
      <c r="H20" s="1228"/>
      <c r="I20" s="256"/>
    </row>
    <row r="21" spans="1:9" x14ac:dyDescent="0.25">
      <c r="A21" s="1163"/>
      <c r="B21" s="1179"/>
      <c r="C21" s="1284"/>
      <c r="D21" s="1230"/>
      <c r="E21" s="1272"/>
      <c r="F21" s="1273"/>
      <c r="G21" s="1274"/>
      <c r="H21" s="1227">
        <f>IF(OR(H5="N.A",H9="N.A",H12="N.A",H15="N.A",H18="N.A"),AVERAGE(H5:H20),(H5*0.2)+(H9*0.2)+(H12*0.2)+(H15*0.2)+(H18*0.2))</f>
        <v>0.59120429838571165</v>
      </c>
      <c r="I21" s="1268"/>
    </row>
    <row r="22" spans="1:9" ht="23.25" customHeight="1" thickBot="1" x14ac:dyDescent="0.3">
      <c r="A22" s="1163"/>
      <c r="B22" s="1179"/>
      <c r="C22" s="1285"/>
      <c r="D22" s="1231"/>
      <c r="E22" s="1275"/>
      <c r="F22" s="1276"/>
      <c r="G22" s="1277"/>
      <c r="H22" s="1228"/>
      <c r="I22" s="1269"/>
    </row>
    <row r="23" spans="1:9" ht="27.75" customHeight="1" x14ac:dyDescent="0.25">
      <c r="A23" s="1163"/>
      <c r="B23" s="1266"/>
      <c r="C23" s="1221" t="s">
        <v>28</v>
      </c>
      <c r="D23" s="1253">
        <v>0.5</v>
      </c>
      <c r="E23" s="849" t="s">
        <v>1962</v>
      </c>
      <c r="F23" s="441">
        <v>1</v>
      </c>
      <c r="G23" s="1255"/>
      <c r="H23" s="1226" t="str">
        <f>IFERROR(IF(F24/F25&gt;1,1,F24/F25),IF(OR(F24="N.A",F25="N.A"),"N.A",0))</f>
        <v>N.A</v>
      </c>
      <c r="I23" s="843"/>
    </row>
    <row r="24" spans="1:9" ht="24" x14ac:dyDescent="0.25">
      <c r="A24" s="1163"/>
      <c r="B24" s="1266"/>
      <c r="C24" s="1221"/>
      <c r="D24" s="1253"/>
      <c r="E24" s="850" t="s">
        <v>2360</v>
      </c>
      <c r="F24" s="161" t="s">
        <v>2831</v>
      </c>
      <c r="G24" s="1256"/>
      <c r="H24" s="1227"/>
      <c r="I24" s="844"/>
    </row>
    <row r="25" spans="1:9" ht="25.5" thickBot="1" x14ac:dyDescent="0.3">
      <c r="A25" s="1164"/>
      <c r="B25" s="1267"/>
      <c r="C25" s="1222"/>
      <c r="D25" s="1254"/>
      <c r="E25" s="851" t="s">
        <v>2361</v>
      </c>
      <c r="F25" s="376" t="s">
        <v>2831</v>
      </c>
      <c r="G25" s="1257"/>
      <c r="H25" s="1228"/>
      <c r="I25" s="844" t="s">
        <v>2832</v>
      </c>
    </row>
    <row r="26" spans="1:9" ht="31.5" customHeight="1" thickBot="1" x14ac:dyDescent="0.3">
      <c r="A26" s="1216" t="s">
        <v>1968</v>
      </c>
      <c r="B26" s="1216"/>
      <c r="C26" s="1216"/>
      <c r="D26" s="1216"/>
      <c r="E26" s="1216"/>
      <c r="F26" s="1216"/>
      <c r="G26" s="852"/>
      <c r="H26" s="799">
        <f>IF(H23="N.A",H21,IF(H21="N.A",H23,(0.5*H21)+(0.5*H23)))</f>
        <v>0.59120429838571165</v>
      </c>
      <c r="I26" s="121"/>
    </row>
    <row r="27" spans="1:9" ht="24.75" customHeight="1" x14ac:dyDescent="0.25">
      <c r="A27" s="1162">
        <v>2</v>
      </c>
      <c r="B27" s="1201" t="s">
        <v>1951</v>
      </c>
      <c r="C27" s="1241" t="s">
        <v>30</v>
      </c>
      <c r="D27" s="1235">
        <v>0.05</v>
      </c>
      <c r="E27" s="853" t="s">
        <v>2362</v>
      </c>
      <c r="F27" s="1057">
        <v>13</v>
      </c>
      <c r="G27" s="1244"/>
      <c r="H27" s="1226">
        <f>IFERROR(IF(F28/F29&gt;1,1,F28/F29),IF(OR(F28="N.A",F29="N.A"),"N.A",0))</f>
        <v>1</v>
      </c>
      <c r="I27" s="844"/>
    </row>
    <row r="28" spans="1:9" ht="24.75" customHeight="1" x14ac:dyDescent="0.25">
      <c r="A28" s="1163"/>
      <c r="B28" s="1202"/>
      <c r="C28" s="1242"/>
      <c r="D28" s="1236"/>
      <c r="E28" s="797" t="s">
        <v>2363</v>
      </c>
      <c r="F28" s="1058">
        <v>13</v>
      </c>
      <c r="G28" s="1245"/>
      <c r="H28" s="1227"/>
      <c r="I28" s="844"/>
    </row>
    <row r="29" spans="1:9" ht="24.75" thickBot="1" x14ac:dyDescent="0.3">
      <c r="A29" s="1163"/>
      <c r="B29" s="1202"/>
      <c r="C29" s="1243"/>
      <c r="D29" s="1237"/>
      <c r="E29" s="822" t="s">
        <v>2364</v>
      </c>
      <c r="F29" s="279">
        <v>13</v>
      </c>
      <c r="G29" s="1246"/>
      <c r="H29" s="1228"/>
      <c r="I29" s="844"/>
    </row>
    <row r="30" spans="1:9" ht="24.75" customHeight="1" x14ac:dyDescent="0.25">
      <c r="A30" s="1163"/>
      <c r="B30" s="1202"/>
      <c r="C30" s="1241" t="s">
        <v>31</v>
      </c>
      <c r="D30" s="1235">
        <v>0.05</v>
      </c>
      <c r="E30" s="853" t="s">
        <v>2372</v>
      </c>
      <c r="F30" s="1057">
        <v>182</v>
      </c>
      <c r="G30" s="1244"/>
      <c r="H30" s="1226">
        <f>IFERROR(IF(F31/F32&gt;1,1,F31/F32),IF(OR(F31="N.A",F32="N.A"),"N.A",0))</f>
        <v>0.91</v>
      </c>
      <c r="I30" s="844"/>
    </row>
    <row r="31" spans="1:9" ht="24.75" customHeight="1" x14ac:dyDescent="0.25">
      <c r="A31" s="1163"/>
      <c r="B31" s="1202"/>
      <c r="C31" s="1242"/>
      <c r="D31" s="1236"/>
      <c r="E31" s="797" t="s">
        <v>2365</v>
      </c>
      <c r="F31" s="1058">
        <v>91</v>
      </c>
      <c r="G31" s="1245"/>
      <c r="H31" s="1227"/>
      <c r="I31" s="844"/>
    </row>
    <row r="32" spans="1:9" ht="24.75" thickBot="1" x14ac:dyDescent="0.3">
      <c r="A32" s="1163"/>
      <c r="B32" s="1202"/>
      <c r="C32" s="1243"/>
      <c r="D32" s="1237"/>
      <c r="E32" s="822" t="s">
        <v>2366</v>
      </c>
      <c r="F32" s="279">
        <v>100</v>
      </c>
      <c r="G32" s="1246"/>
      <c r="H32" s="1228"/>
      <c r="I32" s="844"/>
    </row>
    <row r="33" spans="1:9" ht="24.75" customHeight="1" x14ac:dyDescent="0.25">
      <c r="A33" s="1163"/>
      <c r="B33" s="1202"/>
      <c r="C33" s="1241" t="s">
        <v>32</v>
      </c>
      <c r="D33" s="1235">
        <v>0.05</v>
      </c>
      <c r="E33" s="853" t="s">
        <v>2373</v>
      </c>
      <c r="F33" s="1057">
        <v>102</v>
      </c>
      <c r="G33" s="1244"/>
      <c r="H33" s="1226">
        <f>IFERROR(IF(F34/F35&gt;1,1,F34/F35),IF(OR(F34="N.A",F35="N.A"),"N.A",0))</f>
        <v>0.92156862745098034</v>
      </c>
      <c r="I33" s="844"/>
    </row>
    <row r="34" spans="1:9" ht="24.75" customHeight="1" x14ac:dyDescent="0.25">
      <c r="A34" s="1163"/>
      <c r="B34" s="1202"/>
      <c r="C34" s="1242"/>
      <c r="D34" s="1236"/>
      <c r="E34" s="797" t="s">
        <v>2367</v>
      </c>
      <c r="F34" s="1058">
        <v>94</v>
      </c>
      <c r="G34" s="1245"/>
      <c r="H34" s="1227"/>
      <c r="I34" s="844"/>
    </row>
    <row r="35" spans="1:9" ht="24.75" thickBot="1" x14ac:dyDescent="0.3">
      <c r="A35" s="1163"/>
      <c r="B35" s="1202"/>
      <c r="C35" s="1243"/>
      <c r="D35" s="1237"/>
      <c r="E35" s="822" t="s">
        <v>2368</v>
      </c>
      <c r="F35" s="279">
        <v>102</v>
      </c>
      <c r="G35" s="1246"/>
      <c r="H35" s="1228"/>
      <c r="I35" s="844"/>
    </row>
    <row r="36" spans="1:9" ht="24.75" x14ac:dyDescent="0.25">
      <c r="A36" s="1163"/>
      <c r="B36" s="1202"/>
      <c r="C36" s="1204" t="s">
        <v>33</v>
      </c>
      <c r="D36" s="1235">
        <v>0.05</v>
      </c>
      <c r="E36" s="853" t="s">
        <v>2374</v>
      </c>
      <c r="F36" s="1057">
        <v>55</v>
      </c>
      <c r="G36" s="1244"/>
      <c r="H36" s="1226">
        <f>IFERROR(IF(F37/F38&gt;1,1,F37/F38),IF(OR(F37="N.A",F38="N.A"),"N.A",0))</f>
        <v>1</v>
      </c>
      <c r="I36" s="844"/>
    </row>
    <row r="37" spans="1:9" ht="24" x14ac:dyDescent="0.25">
      <c r="A37" s="1163"/>
      <c r="B37" s="1202"/>
      <c r="C37" s="1205"/>
      <c r="D37" s="1236"/>
      <c r="E37" s="797" t="s">
        <v>2369</v>
      </c>
      <c r="F37" s="1058">
        <v>38</v>
      </c>
      <c r="G37" s="1245"/>
      <c r="H37" s="1227"/>
      <c r="I37" s="844"/>
    </row>
    <row r="38" spans="1:9" ht="24.75" thickBot="1" x14ac:dyDescent="0.3">
      <c r="A38" s="1163"/>
      <c r="B38" s="1202"/>
      <c r="C38" s="1206"/>
      <c r="D38" s="1237"/>
      <c r="E38" s="822" t="s">
        <v>2370</v>
      </c>
      <c r="F38" s="279">
        <v>38</v>
      </c>
      <c r="G38" s="1246"/>
      <c r="H38" s="1228"/>
      <c r="I38" s="289"/>
    </row>
    <row r="39" spans="1:9" ht="29.25" customHeight="1" x14ac:dyDescent="0.25">
      <c r="A39" s="1163"/>
      <c r="B39" s="1202"/>
      <c r="C39" s="1204" t="s">
        <v>1939</v>
      </c>
      <c r="D39" s="1235">
        <v>0.05</v>
      </c>
      <c r="E39" s="853" t="s">
        <v>2375</v>
      </c>
      <c r="F39" s="1057">
        <v>26</v>
      </c>
      <c r="G39" s="1247"/>
      <c r="H39" s="1226">
        <f>IFERROR(IF(F40/F41&gt;1,1,F40/F41),IF(OR(F40="N.A",F41="N.A"),"N.A",0))</f>
        <v>1</v>
      </c>
      <c r="I39" s="256"/>
    </row>
    <row r="40" spans="1:9" ht="29.25" customHeight="1" x14ac:dyDescent="0.25">
      <c r="A40" s="1163"/>
      <c r="B40" s="1202"/>
      <c r="C40" s="1205"/>
      <c r="D40" s="1236"/>
      <c r="E40" s="797" t="s">
        <v>2440</v>
      </c>
      <c r="F40" s="1058">
        <v>26</v>
      </c>
      <c r="G40" s="1248"/>
      <c r="H40" s="1227"/>
      <c r="I40" s="256"/>
    </row>
    <row r="41" spans="1:9" ht="28.5" customHeight="1" thickBot="1" x14ac:dyDescent="0.3">
      <c r="A41" s="1163"/>
      <c r="B41" s="1202"/>
      <c r="C41" s="1206"/>
      <c r="D41" s="1237"/>
      <c r="E41" s="822" t="s">
        <v>2371</v>
      </c>
      <c r="F41" s="279">
        <v>26</v>
      </c>
      <c r="G41" s="1249"/>
      <c r="H41" s="1228"/>
      <c r="I41" s="289"/>
    </row>
    <row r="42" spans="1:9" ht="38.25" customHeight="1" thickBot="1" x14ac:dyDescent="0.3">
      <c r="A42" s="1163"/>
      <c r="B42" s="1202"/>
      <c r="C42" s="855" t="s">
        <v>29</v>
      </c>
      <c r="D42" s="856">
        <v>0.25</v>
      </c>
      <c r="E42" s="1281"/>
      <c r="F42" s="1282"/>
      <c r="G42" s="1283"/>
      <c r="H42" s="857">
        <f>IF(OR(H27="N.A",H30="N.A",H33="N.A",H36="N.A",H39="N.A"),AVERAGE(H27:H41),(H27*0.2)+(H30*0.2)+(H33*0.2)+(H36*0.2)+(H39*0.2))</f>
        <v>0.96631372549019612</v>
      </c>
      <c r="I42" s="844"/>
    </row>
    <row r="43" spans="1:9" ht="27.75" customHeight="1" x14ac:dyDescent="0.25">
      <c r="A43" s="1163"/>
      <c r="B43" s="1202"/>
      <c r="C43" s="1288" t="s">
        <v>34</v>
      </c>
      <c r="D43" s="1229">
        <v>0.25</v>
      </c>
      <c r="E43" s="853" t="s">
        <v>2376</v>
      </c>
      <c r="F43" s="1057">
        <v>7</v>
      </c>
      <c r="G43" s="1232"/>
      <c r="H43" s="1226">
        <f>IFERROR(IF(F44/F45&gt;1,1,F44/F45),IF(OR(F44="N.A",F45="N.A"),"N.A",0))</f>
        <v>1</v>
      </c>
      <c r="I43" s="289"/>
    </row>
    <row r="44" spans="1:9" ht="27.75" customHeight="1" x14ac:dyDescent="0.25">
      <c r="A44" s="1163"/>
      <c r="B44" s="1202"/>
      <c r="C44" s="1289"/>
      <c r="D44" s="1230"/>
      <c r="E44" s="797" t="s">
        <v>2377</v>
      </c>
      <c r="F44" s="1058">
        <v>7</v>
      </c>
      <c r="G44" s="1233"/>
      <c r="H44" s="1227"/>
      <c r="I44" s="289"/>
    </row>
    <row r="45" spans="1:9" ht="25.5" thickBot="1" x14ac:dyDescent="0.3">
      <c r="A45" s="1163"/>
      <c r="B45" s="1202"/>
      <c r="C45" s="1290"/>
      <c r="D45" s="1231"/>
      <c r="E45" s="854" t="s">
        <v>2378</v>
      </c>
      <c r="F45" s="279">
        <v>7</v>
      </c>
      <c r="G45" s="1234"/>
      <c r="H45" s="1228"/>
      <c r="I45" s="844"/>
    </row>
    <row r="46" spans="1:9" ht="24.75" customHeight="1" x14ac:dyDescent="0.25">
      <c r="A46" s="1163"/>
      <c r="B46" s="1202"/>
      <c r="C46" s="1288" t="s">
        <v>35</v>
      </c>
      <c r="D46" s="1229">
        <v>0.25</v>
      </c>
      <c r="E46" s="853" t="s">
        <v>2379</v>
      </c>
      <c r="F46" s="1057">
        <v>25</v>
      </c>
      <c r="G46" s="1232"/>
      <c r="H46" s="1226">
        <f>IFERROR(IF(F47/F48&gt;1,1,F47/F48),IF(OR(F47="N.A",F48="N.A"),"N.A",0))</f>
        <v>1</v>
      </c>
      <c r="I46" s="844"/>
    </row>
    <row r="47" spans="1:9" ht="24.75" customHeight="1" x14ac:dyDescent="0.25">
      <c r="A47" s="1163"/>
      <c r="B47" s="1202"/>
      <c r="C47" s="1289"/>
      <c r="D47" s="1230"/>
      <c r="E47" s="210" t="s">
        <v>2380</v>
      </c>
      <c r="F47" s="1058">
        <v>25</v>
      </c>
      <c r="G47" s="1233"/>
      <c r="H47" s="1227"/>
      <c r="I47" s="844"/>
    </row>
    <row r="48" spans="1:9" ht="25.5" thickBot="1" x14ac:dyDescent="0.3">
      <c r="A48" s="1163"/>
      <c r="B48" s="1202"/>
      <c r="C48" s="1290"/>
      <c r="D48" s="1231"/>
      <c r="E48" s="854" t="s">
        <v>2381</v>
      </c>
      <c r="F48" s="279">
        <v>25</v>
      </c>
      <c r="G48" s="1234"/>
      <c r="H48" s="1228"/>
      <c r="I48" s="844"/>
    </row>
    <row r="49" spans="1:9" ht="24.75" customHeight="1" x14ac:dyDescent="0.25">
      <c r="A49" s="1163"/>
      <c r="B49" s="1202"/>
      <c r="C49" s="1288" t="s">
        <v>36</v>
      </c>
      <c r="D49" s="1229">
        <v>0.25</v>
      </c>
      <c r="E49" s="853" t="s">
        <v>2384</v>
      </c>
      <c r="F49" s="1057">
        <v>15</v>
      </c>
      <c r="G49" s="1232"/>
      <c r="H49" s="1226">
        <f>IFERROR(IF(F50/F51&gt;1,1,F50/F51),IF(OR(F50="N.A",F51="N.A"),"N.A",0))</f>
        <v>1</v>
      </c>
      <c r="I49" s="844"/>
    </row>
    <row r="50" spans="1:9" ht="28.5" customHeight="1" x14ac:dyDescent="0.25">
      <c r="A50" s="1163"/>
      <c r="B50" s="1202"/>
      <c r="C50" s="1289"/>
      <c r="D50" s="1230"/>
      <c r="E50" s="210" t="s">
        <v>2382</v>
      </c>
      <c r="F50" s="1058">
        <v>15</v>
      </c>
      <c r="G50" s="1233"/>
      <c r="H50" s="1227"/>
      <c r="I50" s="844"/>
    </row>
    <row r="51" spans="1:9" ht="39" customHeight="1" thickBot="1" x14ac:dyDescent="0.3">
      <c r="A51" s="1164"/>
      <c r="B51" s="1203"/>
      <c r="C51" s="1290"/>
      <c r="D51" s="1231"/>
      <c r="E51" s="854" t="s">
        <v>2383</v>
      </c>
      <c r="F51" s="1058">
        <v>15</v>
      </c>
      <c r="G51" s="1234"/>
      <c r="H51" s="1228"/>
      <c r="I51" s="844"/>
    </row>
    <row r="52" spans="1:9" ht="30.75" customHeight="1" thickBot="1" x14ac:dyDescent="0.3">
      <c r="A52" s="1216" t="s">
        <v>42</v>
      </c>
      <c r="B52" s="1216"/>
      <c r="C52" s="1216"/>
      <c r="D52" s="1216"/>
      <c r="E52" s="1216"/>
      <c r="F52" s="1216"/>
      <c r="G52" s="836"/>
      <c r="H52" s="799">
        <f>IF(OR(H42="N.A",H43="N.A",H46="N.A",H49="N.A"),AVERAGE(H42:H51),(0.25*H42)+(0.25*H43)+(0.25*H46)+(0.25*H49))</f>
        <v>0.99157843137254909</v>
      </c>
      <c r="I52" s="121"/>
    </row>
    <row r="53" spans="1:9" ht="36.75" customHeight="1" x14ac:dyDescent="0.25">
      <c r="A53" s="1162">
        <v>3</v>
      </c>
      <c r="B53" s="1217" t="s">
        <v>37</v>
      </c>
      <c r="C53" s="1220" t="s">
        <v>41</v>
      </c>
      <c r="D53" s="1229">
        <v>1</v>
      </c>
      <c r="E53" s="858" t="s">
        <v>38</v>
      </c>
      <c r="F53" s="1261">
        <v>14</v>
      </c>
      <c r="G53" s="1255"/>
      <c r="H53" s="1226">
        <f>IFERROR(IF(((F53+F55)/F56)&gt;1,1,((F53+F55)/F56)),IF(OR(F53="N.A",F55="N.A"),"N.A",0))</f>
        <v>0.48275862068965519</v>
      </c>
      <c r="I53" s="1278"/>
    </row>
    <row r="54" spans="1:9" ht="28.5" customHeight="1" x14ac:dyDescent="0.25">
      <c r="A54" s="1163"/>
      <c r="B54" s="1218"/>
      <c r="C54" s="1221"/>
      <c r="D54" s="1230"/>
      <c r="E54" s="212" t="s">
        <v>2287</v>
      </c>
      <c r="F54" s="1262"/>
      <c r="G54" s="1256"/>
      <c r="H54" s="1227"/>
      <c r="I54" s="1279"/>
    </row>
    <row r="55" spans="1:9" ht="24" x14ac:dyDescent="0.25">
      <c r="A55" s="1163"/>
      <c r="B55" s="1218"/>
      <c r="C55" s="1221"/>
      <c r="D55" s="1230"/>
      <c r="E55" s="623" t="s">
        <v>39</v>
      </c>
      <c r="F55" s="1072">
        <v>0</v>
      </c>
      <c r="G55" s="1256"/>
      <c r="H55" s="1227"/>
      <c r="I55" s="1279"/>
    </row>
    <row r="56" spans="1:9" ht="24.75" thickBot="1" x14ac:dyDescent="0.3">
      <c r="A56" s="1164"/>
      <c r="B56" s="1219"/>
      <c r="C56" s="1222"/>
      <c r="D56" s="1231"/>
      <c r="E56" s="859" t="s">
        <v>40</v>
      </c>
      <c r="F56" s="1071">
        <v>29</v>
      </c>
      <c r="G56" s="1257"/>
      <c r="H56" s="1228"/>
      <c r="I56" s="1280"/>
    </row>
    <row r="57" spans="1:9" ht="31.5" customHeight="1" x14ac:dyDescent="0.25">
      <c r="A57" s="1215" t="s">
        <v>43</v>
      </c>
      <c r="B57" s="1215"/>
      <c r="C57" s="1215"/>
      <c r="D57" s="1215"/>
      <c r="E57" s="1215"/>
      <c r="F57" s="1215"/>
      <c r="G57" s="837"/>
      <c r="H57" s="798">
        <f>H53</f>
        <v>0.48275862068965519</v>
      </c>
      <c r="I57" s="122"/>
    </row>
    <row r="58" spans="1:9" ht="32.25" customHeight="1" x14ac:dyDescent="0.25">
      <c r="A58" s="1197" t="s">
        <v>1967</v>
      </c>
      <c r="B58" s="1197"/>
      <c r="C58" s="1197"/>
      <c r="D58" s="1197"/>
      <c r="E58" s="1197"/>
      <c r="F58" s="1197"/>
      <c r="G58" s="114"/>
      <c r="H58" s="127">
        <f>IF(OR(H26="N.A",H52="N.A",H57="N.A"),AVERAGE(H26,H52,H57),(H26*0.35)+(H52*0.35)+(H57*0.3))</f>
        <v>0.69880154162228791</v>
      </c>
      <c r="I58" s="121"/>
    </row>
    <row r="59" spans="1:9" x14ac:dyDescent="0.25">
      <c r="A59" s="123"/>
      <c r="B59" s="123"/>
      <c r="C59" s="123"/>
      <c r="D59" s="107"/>
      <c r="E59" s="123"/>
      <c r="F59" s="107"/>
      <c r="G59" s="123"/>
      <c r="H59" s="124"/>
      <c r="I59" s="125"/>
    </row>
    <row r="60" spans="1:9" x14ac:dyDescent="0.25">
      <c r="A60" s="1124" t="s">
        <v>1964</v>
      </c>
      <c r="B60" s="1124"/>
      <c r="C60" s="1124"/>
      <c r="D60" s="1124"/>
      <c r="E60" s="1124"/>
      <c r="F60" s="107"/>
      <c r="G60" s="123"/>
      <c r="I60" s="125"/>
    </row>
    <row r="61" spans="1:9" x14ac:dyDescent="0.25">
      <c r="A61" s="9"/>
      <c r="B61" s="1149" t="s">
        <v>24</v>
      </c>
      <c r="C61" s="1149"/>
      <c r="D61" s="1149"/>
      <c r="E61" s="1149"/>
      <c r="F61" s="107"/>
      <c r="G61" s="123"/>
      <c r="I61" s="125"/>
    </row>
    <row r="62" spans="1:9" x14ac:dyDescent="0.25">
      <c r="A62" s="6"/>
      <c r="B62" s="1149" t="s">
        <v>1970</v>
      </c>
      <c r="C62" s="1149"/>
      <c r="D62" s="1149"/>
      <c r="E62" s="1149"/>
      <c r="F62" s="107"/>
      <c r="G62" s="123"/>
      <c r="I62" s="125"/>
    </row>
    <row r="63" spans="1:9" x14ac:dyDescent="0.25">
      <c r="A63" s="7"/>
      <c r="B63" s="1149" t="s">
        <v>25</v>
      </c>
      <c r="C63" s="1149"/>
      <c r="D63" s="1149"/>
      <c r="E63" s="1149"/>
      <c r="F63" s="107"/>
      <c r="G63" s="123"/>
      <c r="I63" s="125"/>
    </row>
    <row r="64" spans="1:9" x14ac:dyDescent="0.25">
      <c r="A64" s="8"/>
      <c r="B64" s="1151" t="s">
        <v>1971</v>
      </c>
      <c r="C64" s="1151"/>
      <c r="D64" s="1151"/>
      <c r="E64" s="1151"/>
      <c r="F64" s="107"/>
      <c r="G64" s="123"/>
      <c r="I64" s="125"/>
    </row>
    <row r="65" spans="1:4" ht="15.75" thickBot="1" x14ac:dyDescent="0.3"/>
    <row r="66" spans="1:4" ht="15.75" thickBot="1" x14ac:dyDescent="0.3">
      <c r="A66" s="1181" t="s">
        <v>2227</v>
      </c>
      <c r="B66" s="1182"/>
      <c r="C66" s="1182"/>
      <c r="D66" s="1183"/>
    </row>
    <row r="67" spans="1:4" ht="15.75" thickBot="1" x14ac:dyDescent="0.3">
      <c r="A67" s="94" t="s">
        <v>2228</v>
      </c>
      <c r="B67" s="95" t="s">
        <v>2229</v>
      </c>
      <c r="C67" s="95" t="s">
        <v>2230</v>
      </c>
      <c r="D67" s="95" t="s">
        <v>2231</v>
      </c>
    </row>
    <row r="68" spans="1:4" ht="15.75" thickBot="1" x14ac:dyDescent="0.3">
      <c r="A68" s="96">
        <v>1</v>
      </c>
      <c r="B68" s="97" t="s">
        <v>2232</v>
      </c>
      <c r="C68" s="97" t="s">
        <v>2233</v>
      </c>
      <c r="D68" s="98"/>
    </row>
    <row r="69" spans="1:4" ht="15.75" thickBot="1" x14ac:dyDescent="0.3">
      <c r="A69" s="96">
        <v>2</v>
      </c>
      <c r="B69" s="97" t="s">
        <v>2234</v>
      </c>
      <c r="C69" s="97" t="s">
        <v>2235</v>
      </c>
      <c r="D69" s="99"/>
    </row>
    <row r="70" spans="1:4" ht="15.75" thickBot="1" x14ac:dyDescent="0.3">
      <c r="A70" s="96">
        <v>3</v>
      </c>
      <c r="B70" s="97" t="s">
        <v>2236</v>
      </c>
      <c r="C70" s="97" t="s">
        <v>2237</v>
      </c>
      <c r="D70" s="100"/>
    </row>
    <row r="71" spans="1:4" ht="15.75" thickBot="1" x14ac:dyDescent="0.3">
      <c r="A71" s="96">
        <v>4</v>
      </c>
      <c r="B71" s="97" t="s">
        <v>2238</v>
      </c>
      <c r="C71" s="97" t="s">
        <v>2239</v>
      </c>
      <c r="D71" s="101"/>
    </row>
    <row r="72" spans="1:4" ht="15.75" thickBot="1" x14ac:dyDescent="0.3">
      <c r="A72" s="96">
        <v>5</v>
      </c>
      <c r="B72" s="97" t="s">
        <v>2240</v>
      </c>
      <c r="C72" s="97" t="s">
        <v>2241</v>
      </c>
      <c r="D72" s="102"/>
    </row>
  </sheetData>
  <sheetProtection sheet="1" objects="1" scenarios="1"/>
  <mergeCells count="93">
    <mergeCell ref="A66:D66"/>
    <mergeCell ref="E42:G42"/>
    <mergeCell ref="C17:C22"/>
    <mergeCell ref="C5:C11"/>
    <mergeCell ref="F18:F19"/>
    <mergeCell ref="C49:C51"/>
    <mergeCell ref="C46:C48"/>
    <mergeCell ref="C43:C45"/>
    <mergeCell ref="D43:D45"/>
    <mergeCell ref="D49:D51"/>
    <mergeCell ref="D53:D56"/>
    <mergeCell ref="C39:C41"/>
    <mergeCell ref="D39:D41"/>
    <mergeCell ref="C33:C35"/>
    <mergeCell ref="C36:C38"/>
    <mergeCell ref="G9:G11"/>
    <mergeCell ref="H21:H22"/>
    <mergeCell ref="G15:G17"/>
    <mergeCell ref="G18:G20"/>
    <mergeCell ref="E21:G22"/>
    <mergeCell ref="I53:I56"/>
    <mergeCell ref="H53:H56"/>
    <mergeCell ref="G49:G51"/>
    <mergeCell ref="H49:H51"/>
    <mergeCell ref="G53:G56"/>
    <mergeCell ref="G43:G45"/>
    <mergeCell ref="G33:G35"/>
    <mergeCell ref="G36:G38"/>
    <mergeCell ref="F53:F54"/>
    <mergeCell ref="H27:H29"/>
    <mergeCell ref="H30:H32"/>
    <mergeCell ref="A3:I3"/>
    <mergeCell ref="A2:I2"/>
    <mergeCell ref="A1:I1"/>
    <mergeCell ref="A5:A25"/>
    <mergeCell ref="B5:B25"/>
    <mergeCell ref="I21:I22"/>
    <mergeCell ref="H5:H8"/>
    <mergeCell ref="H9:H11"/>
    <mergeCell ref="H12:H14"/>
    <mergeCell ref="H15:H17"/>
    <mergeCell ref="E5:E6"/>
    <mergeCell ref="I9:I10"/>
    <mergeCell ref="I12:I13"/>
    <mergeCell ref="I15:I16"/>
    <mergeCell ref="I18:I19"/>
    <mergeCell ref="H23:H25"/>
    <mergeCell ref="G12:G14"/>
    <mergeCell ref="C23:C25"/>
    <mergeCell ref="D23:D25"/>
    <mergeCell ref="G23:G25"/>
    <mergeCell ref="D5:D22"/>
    <mergeCell ref="E9:E10"/>
    <mergeCell ref="F9:F10"/>
    <mergeCell ref="F5:F7"/>
    <mergeCell ref="E12:E13"/>
    <mergeCell ref="F12:F13"/>
    <mergeCell ref="E15:E16"/>
    <mergeCell ref="F15:F16"/>
    <mergeCell ref="E18:E19"/>
    <mergeCell ref="C27:C29"/>
    <mergeCell ref="C30:C32"/>
    <mergeCell ref="G27:G29"/>
    <mergeCell ref="G30:G32"/>
    <mergeCell ref="H39:H41"/>
    <mergeCell ref="G39:G41"/>
    <mergeCell ref="I6:I8"/>
    <mergeCell ref="H43:H45"/>
    <mergeCell ref="D46:D48"/>
    <mergeCell ref="G46:G48"/>
    <mergeCell ref="H46:H48"/>
    <mergeCell ref="H18:H20"/>
    <mergeCell ref="H33:H35"/>
    <mergeCell ref="H36:H38"/>
    <mergeCell ref="D27:D29"/>
    <mergeCell ref="D30:D32"/>
    <mergeCell ref="D33:D35"/>
    <mergeCell ref="D36:D38"/>
    <mergeCell ref="A26:F26"/>
    <mergeCell ref="G5:G8"/>
    <mergeCell ref="A27:A51"/>
    <mergeCell ref="B27:B51"/>
    <mergeCell ref="B62:E62"/>
    <mergeCell ref="B63:E63"/>
    <mergeCell ref="B64:E64"/>
    <mergeCell ref="A57:F57"/>
    <mergeCell ref="A52:F52"/>
    <mergeCell ref="B53:B56"/>
    <mergeCell ref="C53:C56"/>
    <mergeCell ref="A58:F58"/>
    <mergeCell ref="A60:E60"/>
    <mergeCell ref="B61:E61"/>
    <mergeCell ref="A53:A56"/>
  </mergeCells>
  <conditionalFormatting sqref="H21:H23 H5 H9 H12 H15 H18 H57:H58 H26:H54">
    <cfRule type="cellIs" dxfId="101" priority="46" operator="between">
      <formula>0.9</formula>
      <formula>1</formula>
    </cfRule>
    <cfRule type="cellIs" dxfId="100" priority="47" operator="between">
      <formula>0.75</formula>
      <formula>0.899</formula>
    </cfRule>
    <cfRule type="cellIs" dxfId="99" priority="48" operator="between">
      <formula>0.6</formula>
      <formula>0.749</formula>
    </cfRule>
    <cfRule type="cellIs" dxfId="98" priority="49" operator="between">
      <formula>0.41</formula>
      <formula>0.599</formula>
    </cfRule>
    <cfRule type="cellIs" dxfId="97" priority="50" operator="between">
      <formula>0</formula>
      <formula>0.4</formula>
    </cfRule>
  </conditionalFormatting>
  <hyperlinks>
    <hyperlink ref="E7" r:id="rId1"/>
    <hyperlink ref="E54" r:id="rId2"/>
    <hyperlink ref="C12" r:id="rId3"/>
  </hyperlinks>
  <pageMargins left="0.7" right="0.7" top="0.75" bottom="0.75" header="0.3" footer="0.3"/>
  <pageSetup scale="32"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92D050"/>
    <pageSetUpPr fitToPage="1"/>
  </sheetPr>
  <dimension ref="A1:I67"/>
  <sheetViews>
    <sheetView showGridLines="0" topLeftCell="D31" zoomScaleNormal="100" workbookViewId="0">
      <selection activeCell="E5" sqref="E5"/>
    </sheetView>
  </sheetViews>
  <sheetFormatPr baseColWidth="10" defaultRowHeight="12" x14ac:dyDescent="0.2"/>
  <cols>
    <col min="1" max="1" width="11.42578125" style="123"/>
    <col min="2" max="2" width="22.85546875" style="123" customWidth="1"/>
    <col min="3" max="3" width="55.42578125" style="123" customWidth="1"/>
    <col min="4" max="4" width="23.7109375" style="123" customWidth="1"/>
    <col min="5" max="5" width="58.85546875" style="123" customWidth="1"/>
    <col min="6" max="6" width="21.140625" style="206" customWidth="1"/>
    <col min="7" max="7" width="69" style="123" customWidth="1"/>
    <col min="8" max="8" width="18.5703125" style="107" customWidth="1"/>
    <col min="9" max="9" width="63.7109375" style="123" customWidth="1"/>
    <col min="10" max="16384" width="11.42578125" style="123"/>
  </cols>
  <sheetData>
    <row r="1" spans="1:9" ht="18.75" customHeight="1" x14ac:dyDescent="0.2">
      <c r="A1" s="1153" t="s">
        <v>23</v>
      </c>
      <c r="B1" s="1153"/>
      <c r="C1" s="1153"/>
      <c r="D1" s="1153"/>
      <c r="E1" s="1153"/>
      <c r="F1" s="1153"/>
      <c r="G1" s="1153"/>
      <c r="H1" s="1153"/>
      <c r="I1" s="1153"/>
    </row>
    <row r="2" spans="1:9" ht="19.5" customHeight="1" x14ac:dyDescent="0.2">
      <c r="A2" s="1153" t="s">
        <v>1994</v>
      </c>
      <c r="B2" s="1153"/>
      <c r="C2" s="1153"/>
      <c r="D2" s="1153"/>
      <c r="E2" s="1153"/>
      <c r="F2" s="1153"/>
      <c r="G2" s="1153"/>
      <c r="H2" s="1153"/>
      <c r="I2" s="1153"/>
    </row>
    <row r="3" spans="1:9" ht="15" customHeight="1" x14ac:dyDescent="0.2">
      <c r="A3" s="1148" t="s">
        <v>1</v>
      </c>
      <c r="B3" s="1148"/>
      <c r="C3" s="1148"/>
      <c r="D3" s="1148"/>
      <c r="E3" s="1148"/>
      <c r="F3" s="1148"/>
      <c r="G3" s="1148"/>
      <c r="H3" s="1148"/>
      <c r="I3" s="1148"/>
    </row>
    <row r="4" spans="1:9" ht="24.75" thickBot="1" x14ac:dyDescent="0.25">
      <c r="A4" s="814" t="s">
        <v>2</v>
      </c>
      <c r="B4" s="814" t="s">
        <v>1963</v>
      </c>
      <c r="C4" s="814" t="s">
        <v>3</v>
      </c>
      <c r="D4" s="814" t="s">
        <v>19</v>
      </c>
      <c r="E4" s="814" t="s">
        <v>10</v>
      </c>
      <c r="F4" s="861" t="s">
        <v>17</v>
      </c>
      <c r="G4" s="814" t="s">
        <v>22</v>
      </c>
      <c r="H4" s="814" t="s">
        <v>4</v>
      </c>
      <c r="I4" s="5" t="s">
        <v>1907</v>
      </c>
    </row>
    <row r="5" spans="1:9" ht="24.75" customHeight="1" x14ac:dyDescent="0.2">
      <c r="A5" s="1293">
        <v>1</v>
      </c>
      <c r="B5" s="1178" t="s">
        <v>47</v>
      </c>
      <c r="C5" s="1296" t="s">
        <v>49</v>
      </c>
      <c r="D5" s="1299">
        <v>0.33329999999999999</v>
      </c>
      <c r="E5" s="853" t="s">
        <v>2388</v>
      </c>
      <c r="F5" s="862">
        <v>8</v>
      </c>
      <c r="G5" s="1232"/>
      <c r="H5" s="1226">
        <f>IFERROR(IF(F6/F7&gt;1,1,F6/F7),IF(OR(F6="N.A",F7="N.A"),"N.A",0))</f>
        <v>1</v>
      </c>
      <c r="I5" s="844"/>
    </row>
    <row r="6" spans="1:9" ht="24.75" customHeight="1" x14ac:dyDescent="0.2">
      <c r="A6" s="1294"/>
      <c r="B6" s="1179"/>
      <c r="C6" s="1297"/>
      <c r="D6" s="1300"/>
      <c r="E6" s="797" t="s">
        <v>2389</v>
      </c>
      <c r="F6" s="205">
        <v>7</v>
      </c>
      <c r="G6" s="1233"/>
      <c r="H6" s="1227"/>
      <c r="I6" s="844"/>
    </row>
    <row r="7" spans="1:9" ht="24.75" thickBot="1" x14ac:dyDescent="0.25">
      <c r="A7" s="1294"/>
      <c r="B7" s="1179"/>
      <c r="C7" s="1298"/>
      <c r="D7" s="1301"/>
      <c r="E7" s="822" t="s">
        <v>48</v>
      </c>
      <c r="F7" s="863">
        <v>7</v>
      </c>
      <c r="G7" s="1234"/>
      <c r="H7" s="1228"/>
      <c r="I7" s="844"/>
    </row>
    <row r="8" spans="1:9" ht="30.75" customHeight="1" x14ac:dyDescent="0.2">
      <c r="A8" s="1294"/>
      <c r="B8" s="1179"/>
      <c r="C8" s="1288" t="s">
        <v>52</v>
      </c>
      <c r="D8" s="1299">
        <v>0.33329999999999999</v>
      </c>
      <c r="E8" s="853" t="s">
        <v>2390</v>
      </c>
      <c r="F8" s="864">
        <v>92</v>
      </c>
      <c r="G8" s="1232"/>
      <c r="H8" s="1226">
        <f>IFERROR(IF(F9/F10&gt;1,1,F9/F10),IF(OR(F9="N.A",F10="N.A"),"N.A",0))</f>
        <v>1</v>
      </c>
      <c r="I8" s="844"/>
    </row>
    <row r="9" spans="1:9" ht="30.75" customHeight="1" x14ac:dyDescent="0.2">
      <c r="A9" s="1294"/>
      <c r="B9" s="1179"/>
      <c r="C9" s="1289"/>
      <c r="D9" s="1300"/>
      <c r="E9" s="797" t="s">
        <v>50</v>
      </c>
      <c r="F9" s="205">
        <v>34</v>
      </c>
      <c r="G9" s="1233"/>
      <c r="H9" s="1227"/>
      <c r="I9" s="844"/>
    </row>
    <row r="10" spans="1:9" ht="24.75" thickBot="1" x14ac:dyDescent="0.25">
      <c r="A10" s="1294"/>
      <c r="B10" s="1179"/>
      <c r="C10" s="1290"/>
      <c r="D10" s="1301"/>
      <c r="E10" s="822" t="s">
        <v>51</v>
      </c>
      <c r="F10" s="863">
        <v>34</v>
      </c>
      <c r="G10" s="1234"/>
      <c r="H10" s="1228"/>
      <c r="I10" s="844"/>
    </row>
    <row r="11" spans="1:9" ht="24" x14ac:dyDescent="0.2">
      <c r="A11" s="1294"/>
      <c r="B11" s="1179"/>
      <c r="C11" s="1288" t="s">
        <v>55</v>
      </c>
      <c r="D11" s="1299">
        <v>0.33329999999999999</v>
      </c>
      <c r="E11" s="853" t="s">
        <v>2391</v>
      </c>
      <c r="F11" s="864">
        <v>2</v>
      </c>
      <c r="G11" s="1232"/>
      <c r="H11" s="1226">
        <f>IFERROR(IF(F12/F13&gt;1,1,F12/F13),IF(OR(F12="N.A",F13="N.A"),"N.A",0))</f>
        <v>1</v>
      </c>
      <c r="I11" s="844"/>
    </row>
    <row r="12" spans="1:9" ht="24" x14ac:dyDescent="0.2">
      <c r="A12" s="1294"/>
      <c r="B12" s="1179"/>
      <c r="C12" s="1289"/>
      <c r="D12" s="1300"/>
      <c r="E12" s="797" t="s">
        <v>53</v>
      </c>
      <c r="F12" s="205">
        <v>2</v>
      </c>
      <c r="G12" s="1233"/>
      <c r="H12" s="1227"/>
      <c r="I12" s="844"/>
    </row>
    <row r="13" spans="1:9" ht="24.75" thickBot="1" x14ac:dyDescent="0.25">
      <c r="A13" s="1295"/>
      <c r="B13" s="1180"/>
      <c r="C13" s="1290"/>
      <c r="D13" s="1301"/>
      <c r="E13" s="822" t="s">
        <v>54</v>
      </c>
      <c r="F13" s="863">
        <v>2</v>
      </c>
      <c r="G13" s="1234"/>
      <c r="H13" s="1228"/>
      <c r="I13" s="844"/>
    </row>
    <row r="14" spans="1:9" ht="29.25" customHeight="1" thickBot="1" x14ac:dyDescent="0.25">
      <c r="A14" s="1216" t="s">
        <v>56</v>
      </c>
      <c r="B14" s="1216"/>
      <c r="C14" s="1216"/>
      <c r="D14" s="1216"/>
      <c r="E14" s="1216"/>
      <c r="F14" s="1216"/>
      <c r="G14" s="852"/>
      <c r="H14" s="799">
        <f>IF(OR(H5="N.A",H8="N.A",H11="N.A"),AVERAGE(H5:H13),(0.3333*H5)+(0.3333*H8)+(0.3333*H11))</f>
        <v>0.99990000000000001</v>
      </c>
      <c r="I14" s="121"/>
    </row>
    <row r="15" spans="1:9" ht="29.25" customHeight="1" x14ac:dyDescent="0.2">
      <c r="A15" s="1198">
        <v>2</v>
      </c>
      <c r="B15" s="1323" t="s">
        <v>57</v>
      </c>
      <c r="C15" s="1320" t="s">
        <v>58</v>
      </c>
      <c r="D15" s="1213" t="s">
        <v>20</v>
      </c>
      <c r="E15" s="865" t="s">
        <v>1972</v>
      </c>
      <c r="F15" s="866">
        <v>5</v>
      </c>
      <c r="G15" s="1250"/>
      <c r="H15" s="1226">
        <f>IFERROR(IF(F16/F18&gt;1,1,F16/F18),IF(OR(F16="N.A",F18="N.A"),"N.A",0))</f>
        <v>1</v>
      </c>
      <c r="I15" s="844"/>
    </row>
    <row r="16" spans="1:9" ht="28.5" customHeight="1" x14ac:dyDescent="0.2">
      <c r="A16" s="1199"/>
      <c r="B16" s="1324"/>
      <c r="C16" s="1321"/>
      <c r="D16" s="1214"/>
      <c r="E16" s="211" t="s">
        <v>1973</v>
      </c>
      <c r="F16" s="1302">
        <v>4</v>
      </c>
      <c r="G16" s="1251"/>
      <c r="H16" s="1227"/>
      <c r="I16" s="289"/>
    </row>
    <row r="17" spans="1:9" ht="28.5" customHeight="1" x14ac:dyDescent="0.2">
      <c r="A17" s="1199"/>
      <c r="B17" s="1324"/>
      <c r="C17" s="1321"/>
      <c r="D17" s="1214"/>
      <c r="E17" s="212" t="s">
        <v>2287</v>
      </c>
      <c r="F17" s="1302"/>
      <c r="G17" s="1251"/>
      <c r="H17" s="1227"/>
      <c r="I17" s="289"/>
    </row>
    <row r="18" spans="1:9" ht="27.75" customHeight="1" thickBot="1" x14ac:dyDescent="0.25">
      <c r="A18" s="1199"/>
      <c r="B18" s="1324"/>
      <c r="C18" s="1322"/>
      <c r="D18" s="260">
        <v>0.5</v>
      </c>
      <c r="E18" s="839" t="s">
        <v>2208</v>
      </c>
      <c r="F18" s="867">
        <v>4</v>
      </c>
      <c r="G18" s="1252"/>
      <c r="H18" s="1228"/>
      <c r="I18" s="289"/>
    </row>
    <row r="19" spans="1:9" ht="27.75" customHeight="1" x14ac:dyDescent="0.2">
      <c r="A19" s="1199"/>
      <c r="B19" s="1324"/>
      <c r="C19" s="1320" t="s">
        <v>59</v>
      </c>
      <c r="D19" s="1207" t="s">
        <v>21</v>
      </c>
      <c r="E19" s="868" t="s">
        <v>1975</v>
      </c>
      <c r="F19" s="869">
        <v>1</v>
      </c>
      <c r="G19" s="1250"/>
      <c r="H19" s="1226">
        <f>IFERROR(IF(F20/F21&gt;1,1,F20/F21),IF(OR(F20="N.A",F21="N.A"),"N.A",0))</f>
        <v>1</v>
      </c>
      <c r="I19" s="289"/>
    </row>
    <row r="20" spans="1:9" ht="33" customHeight="1" x14ac:dyDescent="0.2">
      <c r="A20" s="1199"/>
      <c r="B20" s="1324"/>
      <c r="C20" s="1321"/>
      <c r="D20" s="1208"/>
      <c r="E20" s="797" t="s">
        <v>1974</v>
      </c>
      <c r="F20" s="1060">
        <v>1</v>
      </c>
      <c r="G20" s="1251"/>
      <c r="H20" s="1227"/>
      <c r="I20" s="844"/>
    </row>
    <row r="21" spans="1:9" ht="30" customHeight="1" thickBot="1" x14ac:dyDescent="0.25">
      <c r="A21" s="1199"/>
      <c r="B21" s="1324"/>
      <c r="C21" s="1322"/>
      <c r="D21" s="260">
        <v>0.25</v>
      </c>
      <c r="E21" s="822" t="s">
        <v>2209</v>
      </c>
      <c r="F21" s="867">
        <v>1</v>
      </c>
      <c r="G21" s="1252"/>
      <c r="H21" s="1228"/>
      <c r="I21" s="844"/>
    </row>
    <row r="22" spans="1:9" ht="30" customHeight="1" x14ac:dyDescent="0.2">
      <c r="A22" s="1199"/>
      <c r="B22" s="1324"/>
      <c r="C22" s="1320" t="s">
        <v>60</v>
      </c>
      <c r="D22" s="1207" t="s">
        <v>61</v>
      </c>
      <c r="E22" s="824" t="s">
        <v>1976</v>
      </c>
      <c r="F22" s="869">
        <v>0</v>
      </c>
      <c r="G22" s="1250"/>
      <c r="H22" s="1226" t="str">
        <f>IFERROR(IF(F23/F24&gt;1,1,F23/F24),IF(OR(F23="N.A",F24="N.A"),"N.A",0))</f>
        <v>N.A</v>
      </c>
      <c r="I22" s="844"/>
    </row>
    <row r="23" spans="1:9" ht="24" customHeight="1" x14ac:dyDescent="0.2">
      <c r="A23" s="1199"/>
      <c r="B23" s="1324"/>
      <c r="C23" s="1321"/>
      <c r="D23" s="1208"/>
      <c r="E23" s="797" t="s">
        <v>1977</v>
      </c>
      <c r="F23" s="1060" t="s">
        <v>2831</v>
      </c>
      <c r="G23" s="1251"/>
      <c r="H23" s="1227"/>
      <c r="I23" s="844"/>
    </row>
    <row r="24" spans="1:9" ht="25.5" customHeight="1" x14ac:dyDescent="0.2">
      <c r="A24" s="1199"/>
      <c r="B24" s="1324"/>
      <c r="C24" s="1321"/>
      <c r="D24" s="801">
        <v>0.25</v>
      </c>
      <c r="E24" s="1184" t="s">
        <v>2210</v>
      </c>
      <c r="F24" s="1291" t="s">
        <v>2831</v>
      </c>
      <c r="G24" s="1251"/>
      <c r="H24" s="1227"/>
      <c r="I24" s="844"/>
    </row>
    <row r="25" spans="1:9" ht="35.25" customHeight="1" thickBot="1" x14ac:dyDescent="0.25">
      <c r="A25" s="1199"/>
      <c r="B25" s="1324"/>
      <c r="C25" s="1322"/>
      <c r="D25" s="808">
        <f>IF((D18+D21+D24)=1,1,"La suma de los ponderadores debe ser igual a 1")</f>
        <v>1</v>
      </c>
      <c r="E25" s="1185"/>
      <c r="F25" s="1292"/>
      <c r="G25" s="1252"/>
      <c r="H25" s="1228"/>
      <c r="I25" s="844"/>
    </row>
    <row r="26" spans="1:9" ht="42.75" customHeight="1" thickBot="1" x14ac:dyDescent="0.25">
      <c r="A26" s="1199"/>
      <c r="B26" s="1324"/>
      <c r="C26" s="855" t="s">
        <v>62</v>
      </c>
      <c r="D26" s="856">
        <v>0.5</v>
      </c>
      <c r="E26" s="1281"/>
      <c r="F26" s="1282"/>
      <c r="G26" s="1283"/>
      <c r="H26" s="857">
        <f>IFERROR(IF(OR(H15="N.A",H19="N.A",H22="N.A"),AVERAGE(H15:H25),(D18*H15)+(D21*H19)+(D24*H22)),"N.A")</f>
        <v>1</v>
      </c>
      <c r="I26" s="844"/>
    </row>
    <row r="27" spans="1:9" ht="31.5" customHeight="1" x14ac:dyDescent="0.2">
      <c r="A27" s="1199"/>
      <c r="B27" s="1324"/>
      <c r="C27" s="1288" t="s">
        <v>64</v>
      </c>
      <c r="D27" s="1229">
        <v>0.5</v>
      </c>
      <c r="E27" s="853" t="s">
        <v>2392</v>
      </c>
      <c r="F27" s="870">
        <v>3200</v>
      </c>
      <c r="G27" s="1232"/>
      <c r="H27" s="1226">
        <f>IFERROR(IF(F28/F29&gt;1,1,F28/F29),IF(OR(F28="N.A",F29="N.A"),"N.A",0))</f>
        <v>1</v>
      </c>
      <c r="I27" s="844"/>
    </row>
    <row r="28" spans="1:9" ht="31.5" customHeight="1" x14ac:dyDescent="0.2">
      <c r="A28" s="1199"/>
      <c r="B28" s="1324"/>
      <c r="C28" s="1289"/>
      <c r="D28" s="1230"/>
      <c r="E28" s="213" t="s">
        <v>2394</v>
      </c>
      <c r="F28" s="208">
        <v>1519</v>
      </c>
      <c r="G28" s="1233"/>
      <c r="H28" s="1227"/>
      <c r="I28" s="844"/>
    </row>
    <row r="29" spans="1:9" ht="28.5" customHeight="1" thickBot="1" x14ac:dyDescent="0.25">
      <c r="A29" s="1200"/>
      <c r="B29" s="1325"/>
      <c r="C29" s="1290"/>
      <c r="D29" s="1301"/>
      <c r="E29" s="839" t="s">
        <v>2395</v>
      </c>
      <c r="F29" s="871">
        <v>800</v>
      </c>
      <c r="G29" s="1234"/>
      <c r="H29" s="1228"/>
      <c r="I29" s="844"/>
    </row>
    <row r="30" spans="1:9" ht="31.5" customHeight="1" thickBot="1" x14ac:dyDescent="0.25">
      <c r="A30" s="1216" t="s">
        <v>63</v>
      </c>
      <c r="B30" s="1216"/>
      <c r="C30" s="1216"/>
      <c r="D30" s="1216"/>
      <c r="E30" s="1216"/>
      <c r="F30" s="1216"/>
      <c r="G30" s="852"/>
      <c r="H30" s="799">
        <f>IF(H26="N.A",H27,IF(H27="N.A",H26,(0.5*H26)+(0.5*H27)))</f>
        <v>1</v>
      </c>
      <c r="I30" s="121"/>
    </row>
    <row r="31" spans="1:9" ht="24.75" customHeight="1" x14ac:dyDescent="0.2">
      <c r="A31" s="1162">
        <v>3</v>
      </c>
      <c r="B31" s="1319" t="s">
        <v>65</v>
      </c>
      <c r="C31" s="1220" t="s">
        <v>66</v>
      </c>
      <c r="D31" s="1229">
        <v>1</v>
      </c>
      <c r="E31" s="868" t="s">
        <v>2393</v>
      </c>
      <c r="F31" s="872">
        <v>150</v>
      </c>
      <c r="G31" s="1232"/>
      <c r="H31" s="1226" t="str">
        <f>IFERROR(IF(F32/F33&gt;1,1,F32/F33),IF(OR(F32="N.A",F33="N.A"),"N.A",0))</f>
        <v>N.A</v>
      </c>
      <c r="I31" s="289"/>
    </row>
    <row r="32" spans="1:9" ht="24.75" customHeight="1" x14ac:dyDescent="0.2">
      <c r="A32" s="1163"/>
      <c r="B32" s="1266"/>
      <c r="C32" s="1221"/>
      <c r="D32" s="1230"/>
      <c r="E32" s="213" t="s">
        <v>2396</v>
      </c>
      <c r="F32" s="207" t="s">
        <v>2831</v>
      </c>
      <c r="G32" s="1233"/>
      <c r="H32" s="1227"/>
      <c r="I32" s="289"/>
    </row>
    <row r="33" spans="1:9" ht="23.25" customHeight="1" thickBot="1" x14ac:dyDescent="0.25">
      <c r="A33" s="1164"/>
      <c r="B33" s="1267"/>
      <c r="C33" s="1222"/>
      <c r="D33" s="1301"/>
      <c r="E33" s="839" t="s">
        <v>2397</v>
      </c>
      <c r="F33" s="873" t="s">
        <v>2831</v>
      </c>
      <c r="G33" s="1234"/>
      <c r="H33" s="1228"/>
      <c r="I33" s="844"/>
    </row>
    <row r="34" spans="1:9" ht="28.5" customHeight="1" thickBot="1" x14ac:dyDescent="0.25">
      <c r="A34" s="1216" t="s">
        <v>67</v>
      </c>
      <c r="B34" s="1216"/>
      <c r="C34" s="1216"/>
      <c r="D34" s="1216"/>
      <c r="E34" s="1216"/>
      <c r="F34" s="1216"/>
      <c r="G34" s="852"/>
      <c r="H34" s="799" t="str">
        <f>H31</f>
        <v>N.A</v>
      </c>
      <c r="I34" s="121"/>
    </row>
    <row r="35" spans="1:9" ht="24.75" customHeight="1" x14ac:dyDescent="0.2">
      <c r="A35" s="1162">
        <v>4</v>
      </c>
      <c r="B35" s="1178" t="s">
        <v>68</v>
      </c>
      <c r="C35" s="1288" t="s">
        <v>71</v>
      </c>
      <c r="D35" s="1299">
        <v>0.33329999999999999</v>
      </c>
      <c r="E35" s="868" t="s">
        <v>2398</v>
      </c>
      <c r="F35" s="864">
        <v>8</v>
      </c>
      <c r="G35" s="1316"/>
      <c r="H35" s="1226">
        <f>IFERROR(IF(F36/F37&gt;1,1,F36/F37),IF(OR(F36="N.A",F37="N.A"),"N.A",0))</f>
        <v>1</v>
      </c>
      <c r="I35" s="289"/>
    </row>
    <row r="36" spans="1:9" ht="24.75" customHeight="1" x14ac:dyDescent="0.2">
      <c r="A36" s="1163"/>
      <c r="B36" s="1179"/>
      <c r="C36" s="1289"/>
      <c r="D36" s="1300"/>
      <c r="E36" s="213" t="s">
        <v>69</v>
      </c>
      <c r="F36" s="1059">
        <v>2</v>
      </c>
      <c r="G36" s="1317"/>
      <c r="H36" s="1227"/>
      <c r="I36" s="289"/>
    </row>
    <row r="37" spans="1:9" ht="24.75" thickBot="1" x14ac:dyDescent="0.25">
      <c r="A37" s="1163"/>
      <c r="B37" s="1179"/>
      <c r="C37" s="1290"/>
      <c r="D37" s="1301"/>
      <c r="E37" s="839" t="s">
        <v>70</v>
      </c>
      <c r="F37" s="876">
        <v>2</v>
      </c>
      <c r="G37" s="1318"/>
      <c r="H37" s="1228"/>
      <c r="I37" s="844"/>
    </row>
    <row r="38" spans="1:9" ht="27" customHeight="1" x14ac:dyDescent="0.2">
      <c r="A38" s="1163"/>
      <c r="B38" s="1179"/>
      <c r="C38" s="1286" t="s">
        <v>1978</v>
      </c>
      <c r="D38" s="1299">
        <v>0.33329999999999999</v>
      </c>
      <c r="E38" s="868" t="s">
        <v>1981</v>
      </c>
      <c r="F38" s="866">
        <v>12</v>
      </c>
      <c r="G38" s="1310"/>
      <c r="H38" s="1226">
        <f>IFERROR(IF(F39/F41&gt;1,1,F39/F41),IF(OR(F39="N.A",F41="N.A"),"N.A",0))</f>
        <v>1</v>
      </c>
      <c r="I38" s="844"/>
    </row>
    <row r="39" spans="1:9" ht="29.25" customHeight="1" x14ac:dyDescent="0.2">
      <c r="A39" s="1163"/>
      <c r="B39" s="1179"/>
      <c r="C39" s="1287"/>
      <c r="D39" s="1300"/>
      <c r="E39" s="874" t="s">
        <v>1979</v>
      </c>
      <c r="F39" s="1309">
        <v>10</v>
      </c>
      <c r="G39" s="1311"/>
      <c r="H39" s="1227"/>
      <c r="I39" s="289"/>
    </row>
    <row r="40" spans="1:9" ht="37.5" customHeight="1" x14ac:dyDescent="0.2">
      <c r="A40" s="1163"/>
      <c r="B40" s="1179"/>
      <c r="C40" s="1287"/>
      <c r="D40" s="1313"/>
      <c r="E40" s="974" t="s">
        <v>2287</v>
      </c>
      <c r="F40" s="1315"/>
      <c r="G40" s="1311"/>
      <c r="H40" s="1227"/>
      <c r="I40" s="289"/>
    </row>
    <row r="41" spans="1:9" ht="32.25" customHeight="1" thickBot="1" x14ac:dyDescent="0.25">
      <c r="A41" s="1163"/>
      <c r="B41" s="1179"/>
      <c r="C41" s="1326"/>
      <c r="D41" s="1314"/>
      <c r="E41" s="877" t="s">
        <v>1980</v>
      </c>
      <c r="F41" s="876">
        <v>10</v>
      </c>
      <c r="G41" s="1312"/>
      <c r="H41" s="1228"/>
      <c r="I41" s="844"/>
    </row>
    <row r="42" spans="1:9" ht="32.25" customHeight="1" x14ac:dyDescent="0.2">
      <c r="A42" s="1163"/>
      <c r="B42" s="1179"/>
      <c r="C42" s="1286" t="s">
        <v>1985</v>
      </c>
      <c r="D42" s="1299">
        <v>0.33329999999999999</v>
      </c>
      <c r="E42" s="868" t="s">
        <v>1982</v>
      </c>
      <c r="F42" s="866">
        <v>3</v>
      </c>
      <c r="G42" s="1310"/>
      <c r="H42" s="1226">
        <f>IFERROR(IF(F43/F45&gt;1,1,F43/F45),IF(OR(F43="N.A",F45="N.A"),"N.A",0))</f>
        <v>0.9</v>
      </c>
      <c r="I42" s="844"/>
    </row>
    <row r="43" spans="1:9" ht="39.75" customHeight="1" x14ac:dyDescent="0.2">
      <c r="A43" s="1163"/>
      <c r="B43" s="1179"/>
      <c r="C43" s="1287"/>
      <c r="D43" s="1300"/>
      <c r="E43" s="874" t="s">
        <v>1983</v>
      </c>
      <c r="F43" s="1309">
        <v>18</v>
      </c>
      <c r="G43" s="1311"/>
      <c r="H43" s="1227"/>
      <c r="I43" s="289"/>
    </row>
    <row r="44" spans="1:9" ht="34.5" customHeight="1" x14ac:dyDescent="0.2">
      <c r="A44" s="1163"/>
      <c r="B44" s="1179"/>
      <c r="C44" s="1287"/>
      <c r="D44" s="1313"/>
      <c r="E44" s="975" t="s">
        <v>2287</v>
      </c>
      <c r="F44" s="1315"/>
      <c r="G44" s="1311"/>
      <c r="H44" s="1227"/>
      <c r="I44" s="289"/>
    </row>
    <row r="45" spans="1:9" ht="41.25" customHeight="1" thickBot="1" x14ac:dyDescent="0.25">
      <c r="A45" s="1164"/>
      <c r="B45" s="1180"/>
      <c r="C45" s="1326"/>
      <c r="D45" s="1314"/>
      <c r="E45" s="875" t="s">
        <v>1984</v>
      </c>
      <c r="F45" s="876">
        <v>20</v>
      </c>
      <c r="G45" s="1312"/>
      <c r="H45" s="1228"/>
      <c r="I45" s="844"/>
    </row>
    <row r="46" spans="1:9" ht="35.25" customHeight="1" thickBot="1" x14ac:dyDescent="0.25">
      <c r="A46" s="1216" t="s">
        <v>72</v>
      </c>
      <c r="B46" s="1216"/>
      <c r="C46" s="1216"/>
      <c r="D46" s="1216"/>
      <c r="E46" s="1216"/>
      <c r="F46" s="1216"/>
      <c r="G46" s="878"/>
      <c r="H46" s="799">
        <f>IF(OR(H35="N.A",H38="N.A",H42="N.A"),AVERAGE(H35,H38,H42),(0.3333*H35)+(0.3333*H38)+(0.3333*H42))</f>
        <v>0.96656999999999993</v>
      </c>
      <c r="I46" s="121"/>
    </row>
    <row r="47" spans="1:9" ht="29.25" customHeight="1" x14ac:dyDescent="0.2">
      <c r="A47" s="1303">
        <v>5</v>
      </c>
      <c r="B47" s="1217" t="s">
        <v>1986</v>
      </c>
      <c r="C47" s="1306" t="s">
        <v>1988</v>
      </c>
      <c r="D47" s="1229">
        <v>1</v>
      </c>
      <c r="E47" s="868" t="s">
        <v>1987</v>
      </c>
      <c r="F47" s="866">
        <v>100</v>
      </c>
      <c r="G47" s="1310"/>
      <c r="H47" s="1226">
        <f>IFERROR(IF(F48/F50&gt;1,1,F48/F50),IF(OR(F48="N.A",F50="N.A"),"N.A",0))</f>
        <v>0.95</v>
      </c>
      <c r="I47" s="844"/>
    </row>
    <row r="48" spans="1:9" ht="25.5" customHeight="1" x14ac:dyDescent="0.2">
      <c r="A48" s="1304"/>
      <c r="B48" s="1218"/>
      <c r="C48" s="1307"/>
      <c r="D48" s="1230"/>
      <c r="E48" s="213" t="s">
        <v>1989</v>
      </c>
      <c r="F48" s="1309">
        <v>19</v>
      </c>
      <c r="G48" s="1311"/>
      <c r="H48" s="1227"/>
      <c r="I48" s="289"/>
    </row>
    <row r="49" spans="1:9" ht="34.5" customHeight="1" x14ac:dyDescent="0.2">
      <c r="A49" s="1304"/>
      <c r="B49" s="1218"/>
      <c r="C49" s="1307"/>
      <c r="D49" s="1230"/>
      <c r="E49" s="976" t="s">
        <v>2287</v>
      </c>
      <c r="F49" s="1309"/>
      <c r="G49" s="1311"/>
      <c r="H49" s="1227"/>
      <c r="I49" s="289"/>
    </row>
    <row r="50" spans="1:9" ht="29.25" customHeight="1" thickBot="1" x14ac:dyDescent="0.25">
      <c r="A50" s="1305"/>
      <c r="B50" s="1219"/>
      <c r="C50" s="1308"/>
      <c r="D50" s="1231"/>
      <c r="E50" s="839" t="s">
        <v>1990</v>
      </c>
      <c r="F50" s="876">
        <v>20</v>
      </c>
      <c r="G50" s="1312"/>
      <c r="H50" s="1228"/>
      <c r="I50" s="844"/>
    </row>
    <row r="51" spans="1:9" ht="24.75" customHeight="1" x14ac:dyDescent="0.2">
      <c r="A51" s="1327" t="s">
        <v>1992</v>
      </c>
      <c r="B51" s="1327"/>
      <c r="C51" s="1327"/>
      <c r="D51" s="1327"/>
      <c r="E51" s="1327"/>
      <c r="F51" s="1327"/>
      <c r="G51" s="47"/>
      <c r="H51" s="798">
        <f>H47</f>
        <v>0.95</v>
      </c>
      <c r="I51" s="121"/>
    </row>
    <row r="52" spans="1:9" ht="31.5" customHeight="1" x14ac:dyDescent="0.2">
      <c r="A52" s="1197" t="s">
        <v>1993</v>
      </c>
      <c r="B52" s="1197"/>
      <c r="C52" s="1197"/>
      <c r="D52" s="1197"/>
      <c r="E52" s="1197"/>
      <c r="F52" s="1197"/>
      <c r="G52" s="8"/>
      <c r="H52" s="127">
        <f>IF(OR(H14="N.A",H30="N.A",H34="N.A",H46="N.A",H51="N.A"),AVERAGE(H14,H30,H34,H46,H51),(0.25*H14)+(0.3*H30)+(0.1*H34)+(0.25*H46)+(0.1*H51))</f>
        <v>0.97911750000000008</v>
      </c>
      <c r="I52" s="121"/>
    </row>
    <row r="53" spans="1:9" ht="27.75" customHeight="1" x14ac:dyDescent="0.2">
      <c r="A53" s="1328" t="s">
        <v>1964</v>
      </c>
      <c r="B53" s="1328"/>
      <c r="C53" s="1328"/>
      <c r="D53" s="1328"/>
      <c r="E53" s="1328"/>
      <c r="H53" s="128"/>
    </row>
    <row r="54" spans="1:9" x14ac:dyDescent="0.2">
      <c r="A54" s="9"/>
      <c r="B54" s="1149" t="s">
        <v>24</v>
      </c>
      <c r="C54" s="1149"/>
      <c r="D54" s="1149"/>
      <c r="E54" s="1149"/>
    </row>
    <row r="55" spans="1:9" x14ac:dyDescent="0.2">
      <c r="A55" s="6"/>
      <c r="B55" s="1149" t="s">
        <v>1970</v>
      </c>
      <c r="C55" s="1149"/>
      <c r="D55" s="1149"/>
      <c r="E55" s="1149"/>
    </row>
    <row r="56" spans="1:9" x14ac:dyDescent="0.2">
      <c r="A56" s="7"/>
      <c r="B56" s="1149" t="s">
        <v>25</v>
      </c>
      <c r="C56" s="1149"/>
      <c r="D56" s="1149"/>
      <c r="E56" s="1149"/>
    </row>
    <row r="57" spans="1:9" x14ac:dyDescent="0.2">
      <c r="A57" s="8"/>
      <c r="B57" s="1151" t="s">
        <v>1991</v>
      </c>
      <c r="C57" s="1151"/>
      <c r="D57" s="1151"/>
      <c r="E57" s="1151"/>
    </row>
    <row r="59" spans="1:9" ht="12.75" thickBot="1" x14ac:dyDescent="0.25"/>
    <row r="60" spans="1:9" ht="12.75" thickBot="1" x14ac:dyDescent="0.25">
      <c r="A60" s="1181" t="s">
        <v>2227</v>
      </c>
      <c r="B60" s="1182"/>
      <c r="C60" s="1182"/>
      <c r="D60" s="1183"/>
    </row>
    <row r="61" spans="1:9" ht="12.75" thickBot="1" x14ac:dyDescent="0.25">
      <c r="A61" s="94" t="s">
        <v>2228</v>
      </c>
      <c r="B61" s="95" t="s">
        <v>2229</v>
      </c>
      <c r="C61" s="95" t="s">
        <v>2230</v>
      </c>
      <c r="D61" s="95" t="s">
        <v>2231</v>
      </c>
    </row>
    <row r="62" spans="1:9" ht="12.75" thickBot="1" x14ac:dyDescent="0.25">
      <c r="A62" s="96">
        <v>1</v>
      </c>
      <c r="B62" s="97" t="s">
        <v>2232</v>
      </c>
      <c r="C62" s="97" t="s">
        <v>2233</v>
      </c>
      <c r="D62" s="98"/>
    </row>
    <row r="63" spans="1:9" ht="12.75" thickBot="1" x14ac:dyDescent="0.25">
      <c r="A63" s="96">
        <v>2</v>
      </c>
      <c r="B63" s="97" t="s">
        <v>2234</v>
      </c>
      <c r="C63" s="97" t="s">
        <v>2235</v>
      </c>
      <c r="D63" s="99"/>
    </row>
    <row r="64" spans="1:9" ht="12.75" thickBot="1" x14ac:dyDescent="0.25">
      <c r="A64" s="96">
        <v>3</v>
      </c>
      <c r="B64" s="97" t="s">
        <v>2236</v>
      </c>
      <c r="C64" s="97" t="s">
        <v>2237</v>
      </c>
      <c r="D64" s="100"/>
    </row>
    <row r="65" spans="1:4" ht="12.75" thickBot="1" x14ac:dyDescent="0.25">
      <c r="A65" s="96">
        <v>4</v>
      </c>
      <c r="B65" s="97" t="s">
        <v>2238</v>
      </c>
      <c r="C65" s="97" t="s">
        <v>2239</v>
      </c>
      <c r="D65" s="101"/>
    </row>
    <row r="66" spans="1:4" ht="12.75" thickBot="1" x14ac:dyDescent="0.25">
      <c r="A66" s="96">
        <v>5</v>
      </c>
      <c r="B66" s="97" t="s">
        <v>2240</v>
      </c>
      <c r="C66" s="97" t="s">
        <v>2241</v>
      </c>
      <c r="D66" s="102"/>
    </row>
    <row r="67" spans="1:4" x14ac:dyDescent="0.2">
      <c r="B67" s="21"/>
    </row>
  </sheetData>
  <sheetProtection password="B860" sheet="1" objects="1" scenarios="1"/>
  <mergeCells count="80">
    <mergeCell ref="A60:D60"/>
    <mergeCell ref="C38:C41"/>
    <mergeCell ref="C42:C45"/>
    <mergeCell ref="D42:D45"/>
    <mergeCell ref="G42:G45"/>
    <mergeCell ref="B35:B45"/>
    <mergeCell ref="B57:E57"/>
    <mergeCell ref="A51:F51"/>
    <mergeCell ref="A52:F52"/>
    <mergeCell ref="A53:E53"/>
    <mergeCell ref="B54:E54"/>
    <mergeCell ref="B55:E55"/>
    <mergeCell ref="A3:I3"/>
    <mergeCell ref="A2:I2"/>
    <mergeCell ref="D27:D29"/>
    <mergeCell ref="H35:H37"/>
    <mergeCell ref="G27:G29"/>
    <mergeCell ref="A14:F14"/>
    <mergeCell ref="H22:H25"/>
    <mergeCell ref="D19:D20"/>
    <mergeCell ref="G19:G21"/>
    <mergeCell ref="H19:H21"/>
    <mergeCell ref="C19:C21"/>
    <mergeCell ref="A15:A29"/>
    <mergeCell ref="B15:B29"/>
    <mergeCell ref="C22:C25"/>
    <mergeCell ref="D22:D23"/>
    <mergeCell ref="H11:H13"/>
    <mergeCell ref="A1:I1"/>
    <mergeCell ref="D35:D37"/>
    <mergeCell ref="G35:G37"/>
    <mergeCell ref="H27:H29"/>
    <mergeCell ref="A30:F30"/>
    <mergeCell ref="C31:C33"/>
    <mergeCell ref="A31:A33"/>
    <mergeCell ref="B31:B33"/>
    <mergeCell ref="G31:G33"/>
    <mergeCell ref="D31:D33"/>
    <mergeCell ref="H31:H33"/>
    <mergeCell ref="A34:F34"/>
    <mergeCell ref="C35:C37"/>
    <mergeCell ref="H15:H18"/>
    <mergeCell ref="G11:G13"/>
    <mergeCell ref="C15:C18"/>
    <mergeCell ref="C27:C29"/>
    <mergeCell ref="B56:E56"/>
    <mergeCell ref="G47:G50"/>
    <mergeCell ref="A46:F46"/>
    <mergeCell ref="A35:A45"/>
    <mergeCell ref="D38:D41"/>
    <mergeCell ref="G38:G41"/>
    <mergeCell ref="F39:F40"/>
    <mergeCell ref="F43:F44"/>
    <mergeCell ref="H47:H50"/>
    <mergeCell ref="A47:A50"/>
    <mergeCell ref="B47:B50"/>
    <mergeCell ref="C47:C50"/>
    <mergeCell ref="D47:D50"/>
    <mergeCell ref="F48:F49"/>
    <mergeCell ref="H38:H41"/>
    <mergeCell ref="A5:A13"/>
    <mergeCell ref="H42:H45"/>
    <mergeCell ref="B5:B13"/>
    <mergeCell ref="C5:C7"/>
    <mergeCell ref="D5:D7"/>
    <mergeCell ref="G5:G7"/>
    <mergeCell ref="C11:C13"/>
    <mergeCell ref="D11:D13"/>
    <mergeCell ref="H5:H7"/>
    <mergeCell ref="C8:C10"/>
    <mergeCell ref="D8:D10"/>
    <mergeCell ref="G8:G10"/>
    <mergeCell ref="H8:H10"/>
    <mergeCell ref="D15:D17"/>
    <mergeCell ref="F16:F17"/>
    <mergeCell ref="E26:G26"/>
    <mergeCell ref="E24:E25"/>
    <mergeCell ref="F24:F25"/>
    <mergeCell ref="G22:G25"/>
    <mergeCell ref="G15:G18"/>
  </mergeCells>
  <conditionalFormatting sqref="H19 H22 H42 H5:H15 H26:H38 H46:H47 H51:H52">
    <cfRule type="cellIs" dxfId="96" priority="63" operator="between">
      <formula>0.9</formula>
      <formula>1</formula>
    </cfRule>
    <cfRule type="cellIs" dxfId="95" priority="64" operator="between">
      <formula>0.75</formula>
      <formula>0.899</formula>
    </cfRule>
    <cfRule type="cellIs" dxfId="94" priority="65" operator="between">
      <formula>0.6</formula>
      <formula>0.749</formula>
    </cfRule>
    <cfRule type="cellIs" dxfId="93" priority="66" operator="between">
      <formula>0.41</formula>
      <formula>0.599</formula>
    </cfRule>
    <cfRule type="cellIs" dxfId="92" priority="67" operator="between">
      <formula>0</formula>
      <formula>0.4</formula>
    </cfRule>
  </conditionalFormatting>
  <conditionalFormatting sqref="D25">
    <cfRule type="cellIs" dxfId="91" priority="1" operator="equal">
      <formula>1</formula>
    </cfRule>
    <cfRule type="cellIs" dxfId="90" priority="2" operator="equal">
      <formula>"La suma de los ponderadores debe ser igual a 1"</formula>
    </cfRule>
  </conditionalFormatting>
  <hyperlinks>
    <hyperlink ref="E17" r:id="rId1"/>
    <hyperlink ref="E40" r:id="rId2"/>
    <hyperlink ref="E44" r:id="rId3"/>
    <hyperlink ref="E49" r:id="rId4"/>
  </hyperlinks>
  <pageMargins left="0.7" right="0.7" top="0.75" bottom="0.75" header="0.3" footer="0.3"/>
  <pageSetup scale="30" orientation="portrait"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39997558519241921"/>
  </sheetPr>
  <dimension ref="A1:L93"/>
  <sheetViews>
    <sheetView showGridLines="0" zoomScaleNormal="100" workbookViewId="0">
      <selection activeCell="J45" sqref="J45"/>
    </sheetView>
  </sheetViews>
  <sheetFormatPr baseColWidth="10" defaultRowHeight="12" x14ac:dyDescent="0.2"/>
  <cols>
    <col min="1" max="1" width="19.7109375" style="123" customWidth="1"/>
    <col min="2" max="2" width="17" style="123" customWidth="1"/>
    <col min="3" max="3" width="26.28515625" style="123" customWidth="1"/>
    <col min="4" max="4" width="15.5703125" style="123" customWidth="1"/>
    <col min="5" max="5" width="26.140625" style="123" customWidth="1"/>
    <col min="6" max="6" width="19.28515625" style="123" customWidth="1"/>
    <col min="7" max="7" width="18.5703125" style="107" customWidth="1"/>
    <col min="8" max="8" width="15.85546875" style="133" customWidth="1"/>
    <col min="9" max="9" width="11.42578125" style="107"/>
    <col min="10" max="10" width="56.28515625" style="123" customWidth="1"/>
    <col min="11" max="16384" width="11.42578125" style="123"/>
  </cols>
  <sheetData>
    <row r="1" spans="1:11" ht="18" customHeight="1" x14ac:dyDescent="0.2">
      <c r="A1" s="1373" t="s">
        <v>1995</v>
      </c>
      <c r="B1" s="1374"/>
      <c r="C1" s="1374"/>
      <c r="D1" s="1374"/>
      <c r="E1" s="1374"/>
      <c r="F1" s="1374"/>
      <c r="G1" s="1374"/>
      <c r="H1" s="1374"/>
      <c r="I1" s="1374"/>
      <c r="J1" s="1374"/>
    </row>
    <row r="2" spans="1:11" ht="18.75" customHeight="1" x14ac:dyDescent="0.2">
      <c r="A2" s="1339" t="s">
        <v>1996</v>
      </c>
      <c r="B2" s="1339"/>
      <c r="C2" s="1339"/>
      <c r="D2" s="1339"/>
      <c r="E2" s="1339"/>
      <c r="F2" s="1339"/>
      <c r="G2" s="1339"/>
      <c r="H2" s="1339"/>
      <c r="I2" s="1339"/>
      <c r="J2" s="1339"/>
    </row>
    <row r="3" spans="1:11" ht="60.75" thickBot="1" x14ac:dyDescent="0.25">
      <c r="A3" s="141" t="s">
        <v>73</v>
      </c>
      <c r="B3" s="141" t="s">
        <v>74</v>
      </c>
      <c r="C3" s="144" t="s">
        <v>75</v>
      </c>
      <c r="D3" s="144" t="s">
        <v>1998</v>
      </c>
      <c r="E3" s="144" t="s">
        <v>76</v>
      </c>
      <c r="F3" s="144" t="s">
        <v>77</v>
      </c>
      <c r="G3" s="144" t="s">
        <v>2402</v>
      </c>
      <c r="H3" s="144" t="s">
        <v>79</v>
      </c>
      <c r="I3" s="144" t="s">
        <v>4</v>
      </c>
      <c r="J3" s="140" t="s">
        <v>1907</v>
      </c>
    </row>
    <row r="4" spans="1:11" ht="24.75" customHeight="1" x14ac:dyDescent="0.2">
      <c r="A4" s="1329" t="s">
        <v>80</v>
      </c>
      <c r="B4" s="1340">
        <v>0.125</v>
      </c>
      <c r="C4" s="1343" t="s">
        <v>81</v>
      </c>
      <c r="D4" s="285" t="s">
        <v>82</v>
      </c>
      <c r="E4" s="648" t="s">
        <v>83</v>
      </c>
      <c r="F4" s="879">
        <v>0.5</v>
      </c>
      <c r="G4" s="1346" t="s">
        <v>83</v>
      </c>
      <c r="H4" s="880"/>
      <c r="I4" s="1349">
        <f>IFERROR(IF(G4="Sí",50%,IF(G4="No",0,IF(G4="",0%))),0)</f>
        <v>0.5</v>
      </c>
      <c r="J4" s="844"/>
      <c r="K4" s="129"/>
    </row>
    <row r="5" spans="1:11" ht="27" customHeight="1" thickBot="1" x14ac:dyDescent="0.25">
      <c r="A5" s="1330"/>
      <c r="B5" s="1341"/>
      <c r="C5" s="1344"/>
      <c r="D5" s="287" t="s">
        <v>84</v>
      </c>
      <c r="E5" s="649" t="s">
        <v>85</v>
      </c>
      <c r="F5" s="287">
        <v>0</v>
      </c>
      <c r="G5" s="1347"/>
      <c r="H5" s="881" t="s">
        <v>2399</v>
      </c>
      <c r="I5" s="1350"/>
      <c r="J5" s="844"/>
    </row>
    <row r="6" spans="1:11" ht="23.25" customHeight="1" x14ac:dyDescent="0.2">
      <c r="A6" s="1330"/>
      <c r="B6" s="1341"/>
      <c r="C6" s="1345" t="s">
        <v>2289</v>
      </c>
      <c r="D6" s="142" t="s">
        <v>86</v>
      </c>
      <c r="E6" s="807" t="s">
        <v>83</v>
      </c>
      <c r="F6" s="143">
        <v>0.5</v>
      </c>
      <c r="G6" s="1348" t="s">
        <v>83</v>
      </c>
      <c r="H6" s="804" t="s">
        <v>2400</v>
      </c>
      <c r="I6" s="1351">
        <f>IFERROR(IF(G6="Sí",50%,IF(G6="No",0,IF(G6="",0%))),0)</f>
        <v>0.5</v>
      </c>
      <c r="J6" s="844"/>
    </row>
    <row r="7" spans="1:11" ht="29.25" customHeight="1" thickBot="1" x14ac:dyDescent="0.25">
      <c r="A7" s="1330"/>
      <c r="B7" s="1341"/>
      <c r="C7" s="1344"/>
      <c r="D7" s="287" t="s">
        <v>87</v>
      </c>
      <c r="E7" s="649" t="s">
        <v>85</v>
      </c>
      <c r="F7" s="287">
        <v>0</v>
      </c>
      <c r="G7" s="1347"/>
      <c r="H7" s="881" t="s">
        <v>2401</v>
      </c>
      <c r="I7" s="1350"/>
      <c r="J7" s="844"/>
    </row>
    <row r="8" spans="1:11" ht="16.5" thickBot="1" x14ac:dyDescent="0.25">
      <c r="A8" s="1331"/>
      <c r="B8" s="1342"/>
      <c r="C8" s="1272" t="s">
        <v>88</v>
      </c>
      <c r="D8" s="1273"/>
      <c r="E8" s="1273"/>
      <c r="F8" s="1273"/>
      <c r="G8" s="1273"/>
      <c r="H8" s="1274"/>
      <c r="I8" s="291">
        <f>I4+I6</f>
        <v>1</v>
      </c>
      <c r="J8" s="121"/>
    </row>
    <row r="9" spans="1:11" ht="33.75" customHeight="1" x14ac:dyDescent="0.2">
      <c r="A9" s="1329" t="s">
        <v>89</v>
      </c>
      <c r="B9" s="1332">
        <v>0.125</v>
      </c>
      <c r="C9" s="1334" t="s">
        <v>2716</v>
      </c>
      <c r="D9" s="285" t="s">
        <v>82</v>
      </c>
      <c r="E9" s="882" t="s">
        <v>83</v>
      </c>
      <c r="F9" s="879">
        <v>0.2</v>
      </c>
      <c r="G9" s="1384" t="s">
        <v>83</v>
      </c>
      <c r="H9" s="883"/>
      <c r="I9" s="1385">
        <f>IFERROR(IF(G9="Sí",20%,IF(G9="No",0,IF(G9="",0%))),0)</f>
        <v>0.2</v>
      </c>
      <c r="J9" s="844"/>
    </row>
    <row r="10" spans="1:11" ht="36" customHeight="1" thickBot="1" x14ac:dyDescent="0.25">
      <c r="A10" s="1330"/>
      <c r="B10" s="1272"/>
      <c r="C10" s="1335"/>
      <c r="D10" s="287" t="s">
        <v>84</v>
      </c>
      <c r="E10" s="884" t="s">
        <v>85</v>
      </c>
      <c r="F10" s="287">
        <v>0</v>
      </c>
      <c r="G10" s="1371"/>
      <c r="H10" s="885"/>
      <c r="I10" s="1386"/>
      <c r="J10" s="844"/>
    </row>
    <row r="11" spans="1:11" ht="45.75" customHeight="1" x14ac:dyDescent="0.2">
      <c r="A11" s="1330"/>
      <c r="B11" s="1272"/>
      <c r="C11" s="1334" t="s">
        <v>92</v>
      </c>
      <c r="D11" s="285" t="s">
        <v>86</v>
      </c>
      <c r="E11" s="882" t="s">
        <v>83</v>
      </c>
      <c r="F11" s="879">
        <v>0.2</v>
      </c>
      <c r="G11" s="1346" t="s">
        <v>83</v>
      </c>
      <c r="H11" s="1372" t="s">
        <v>91</v>
      </c>
      <c r="I11" s="1349">
        <f>IFERROR(IF(G11="Sí",20%,IF(G11="No",0,IF(G11="",0%))),0)</f>
        <v>0.2</v>
      </c>
      <c r="J11" s="844" t="s">
        <v>2786</v>
      </c>
    </row>
    <row r="12" spans="1:11" ht="42.75" customHeight="1" thickBot="1" x14ac:dyDescent="0.25">
      <c r="A12" s="1330"/>
      <c r="B12" s="1272"/>
      <c r="C12" s="1335"/>
      <c r="D12" s="287" t="s">
        <v>87</v>
      </c>
      <c r="E12" s="884" t="s">
        <v>93</v>
      </c>
      <c r="F12" s="287">
        <v>0</v>
      </c>
      <c r="G12" s="1347"/>
      <c r="H12" s="1387"/>
      <c r="I12" s="1350"/>
      <c r="J12" s="844"/>
    </row>
    <row r="13" spans="1:11" ht="36" x14ac:dyDescent="0.2">
      <c r="A13" s="1330"/>
      <c r="B13" s="1272"/>
      <c r="C13" s="1336" t="s">
        <v>94</v>
      </c>
      <c r="D13" s="281" t="s">
        <v>95</v>
      </c>
      <c r="E13" s="886" t="s">
        <v>96</v>
      </c>
      <c r="F13" s="887">
        <v>0.15</v>
      </c>
      <c r="G13" s="888" t="s">
        <v>2785</v>
      </c>
      <c r="H13" s="265"/>
      <c r="I13" s="889" t="str">
        <f>IFERROR(IF(G13="x","15%","0%"),"0")</f>
        <v>15%</v>
      </c>
      <c r="J13" s="844"/>
    </row>
    <row r="14" spans="1:11" x14ac:dyDescent="0.2">
      <c r="A14" s="1330"/>
      <c r="B14" s="1272"/>
      <c r="C14" s="1337"/>
      <c r="D14" s="147" t="s">
        <v>97</v>
      </c>
      <c r="E14" s="625" t="s">
        <v>98</v>
      </c>
      <c r="F14" s="146">
        <v>0.15</v>
      </c>
      <c r="G14" s="130" t="s">
        <v>2785</v>
      </c>
      <c r="H14" s="145"/>
      <c r="I14" s="890" t="str">
        <f t="shared" ref="I14:I16" si="0">IFERROR(IF(G14="x","15%","0%"),"0")</f>
        <v>15%</v>
      </c>
      <c r="J14" s="844"/>
    </row>
    <row r="15" spans="1:11" x14ac:dyDescent="0.2">
      <c r="A15" s="1330"/>
      <c r="B15" s="1272"/>
      <c r="C15" s="1337"/>
      <c r="D15" s="147" t="s">
        <v>99</v>
      </c>
      <c r="E15" s="625" t="s">
        <v>100</v>
      </c>
      <c r="F15" s="146">
        <v>0.15</v>
      </c>
      <c r="G15" s="130" t="s">
        <v>2785</v>
      </c>
      <c r="H15" s="131"/>
      <c r="I15" s="890" t="str">
        <f t="shared" si="0"/>
        <v>15%</v>
      </c>
      <c r="J15" s="844"/>
    </row>
    <row r="16" spans="1:11" x14ac:dyDescent="0.2">
      <c r="A16" s="1330"/>
      <c r="B16" s="1272"/>
      <c r="C16" s="1337"/>
      <c r="D16" s="147" t="s">
        <v>101</v>
      </c>
      <c r="E16" s="625" t="s">
        <v>102</v>
      </c>
      <c r="F16" s="146">
        <v>0.15</v>
      </c>
      <c r="G16" s="130" t="s">
        <v>2785</v>
      </c>
      <c r="H16" s="145"/>
      <c r="I16" s="890" t="str">
        <f t="shared" si="0"/>
        <v>15%</v>
      </c>
      <c r="J16" s="844"/>
    </row>
    <row r="17" spans="1:10" ht="12.75" thickBot="1" x14ac:dyDescent="0.25">
      <c r="A17" s="1330"/>
      <c r="B17" s="1272"/>
      <c r="C17" s="1338"/>
      <c r="D17" s="282" t="s">
        <v>103</v>
      </c>
      <c r="E17" s="891" t="s">
        <v>104</v>
      </c>
      <c r="F17" s="892">
        <v>0</v>
      </c>
      <c r="G17" s="893"/>
      <c r="H17" s="269"/>
      <c r="I17" s="894">
        <f>IFERROR(IF(G17="x","0",0%),0)</f>
        <v>0</v>
      </c>
      <c r="J17" s="844"/>
    </row>
    <row r="18" spans="1:10" ht="16.5" thickBot="1" x14ac:dyDescent="0.25">
      <c r="A18" s="1331"/>
      <c r="B18" s="1333"/>
      <c r="C18" s="1272" t="s">
        <v>105</v>
      </c>
      <c r="D18" s="1273"/>
      <c r="E18" s="1273"/>
      <c r="F18" s="1273"/>
      <c r="G18" s="1273"/>
      <c r="H18" s="1274"/>
      <c r="I18" s="291">
        <f>I9+I11+I13+I14+I15+I16</f>
        <v>1</v>
      </c>
      <c r="J18" s="121"/>
    </row>
    <row r="19" spans="1:10" ht="24" x14ac:dyDescent="0.2">
      <c r="A19" s="1354" t="s">
        <v>106</v>
      </c>
      <c r="B19" s="1357">
        <v>0.125</v>
      </c>
      <c r="C19" s="1360" t="s">
        <v>107</v>
      </c>
      <c r="D19" s="281" t="s">
        <v>82</v>
      </c>
      <c r="E19" s="886" t="s">
        <v>108</v>
      </c>
      <c r="F19" s="895">
        <v>0.3</v>
      </c>
      <c r="G19" s="896" t="s">
        <v>2785</v>
      </c>
      <c r="H19" s="883"/>
      <c r="I19" s="897" t="str">
        <f>IFERROR(IF(G19="x","30%","0"),0)</f>
        <v>30%</v>
      </c>
      <c r="J19" s="844"/>
    </row>
    <row r="20" spans="1:10" x14ac:dyDescent="0.2">
      <c r="A20" s="1355"/>
      <c r="B20" s="1358"/>
      <c r="C20" s="1361"/>
      <c r="D20" s="147" t="s">
        <v>84</v>
      </c>
      <c r="E20" s="625" t="s">
        <v>110</v>
      </c>
      <c r="F20" s="148">
        <v>0.05</v>
      </c>
      <c r="G20" s="132" t="s">
        <v>2785</v>
      </c>
      <c r="H20" s="149"/>
      <c r="I20" s="898" t="str">
        <f>IFERROR(IF(G20="x","5%","0"),0)</f>
        <v>5%</v>
      </c>
      <c r="J20" s="844"/>
    </row>
    <row r="21" spans="1:10" x14ac:dyDescent="0.2">
      <c r="A21" s="1355"/>
      <c r="B21" s="1358"/>
      <c r="C21" s="1361"/>
      <c r="D21" s="147" t="s">
        <v>86</v>
      </c>
      <c r="E21" s="625" t="s">
        <v>111</v>
      </c>
      <c r="F21" s="148">
        <v>0.05</v>
      </c>
      <c r="G21" s="132" t="s">
        <v>2785</v>
      </c>
      <c r="H21" s="149"/>
      <c r="I21" s="898" t="str">
        <f t="shared" ref="I21:I25" si="1">IFERROR(IF(G21="x","5%","0"),0)</f>
        <v>5%</v>
      </c>
      <c r="J21" s="844"/>
    </row>
    <row r="22" spans="1:10" x14ac:dyDescent="0.2">
      <c r="A22" s="1355"/>
      <c r="B22" s="1358"/>
      <c r="C22" s="1361"/>
      <c r="D22" s="147" t="s">
        <v>87</v>
      </c>
      <c r="E22" s="625" t="s">
        <v>112</v>
      </c>
      <c r="F22" s="148">
        <v>0.05</v>
      </c>
      <c r="G22" s="132" t="s">
        <v>167</v>
      </c>
      <c r="H22" s="149"/>
      <c r="I22" s="898" t="str">
        <f t="shared" si="1"/>
        <v>5%</v>
      </c>
      <c r="J22" s="844"/>
    </row>
    <row r="23" spans="1:10" ht="21.75" customHeight="1" x14ac:dyDescent="0.2">
      <c r="A23" s="1355"/>
      <c r="B23" s="1358"/>
      <c r="C23" s="1361"/>
      <c r="D23" s="147" t="s">
        <v>95</v>
      </c>
      <c r="E23" s="625" t="s">
        <v>113</v>
      </c>
      <c r="F23" s="148">
        <v>0.05</v>
      </c>
      <c r="G23" s="132" t="s">
        <v>2785</v>
      </c>
      <c r="H23" s="150" t="s">
        <v>109</v>
      </c>
      <c r="I23" s="898" t="str">
        <f t="shared" si="1"/>
        <v>5%</v>
      </c>
      <c r="J23" s="844"/>
    </row>
    <row r="24" spans="1:10" x14ac:dyDescent="0.2">
      <c r="A24" s="1355"/>
      <c r="B24" s="1358"/>
      <c r="C24" s="1361"/>
      <c r="D24" s="147" t="s">
        <v>97</v>
      </c>
      <c r="E24" s="625" t="s">
        <v>114</v>
      </c>
      <c r="F24" s="148">
        <v>0.05</v>
      </c>
      <c r="G24" s="132" t="s">
        <v>2785</v>
      </c>
      <c r="H24" s="149"/>
      <c r="I24" s="898" t="str">
        <f t="shared" si="1"/>
        <v>5%</v>
      </c>
      <c r="J24" s="844"/>
    </row>
    <row r="25" spans="1:10" ht="24" x14ac:dyDescent="0.2">
      <c r="A25" s="1355"/>
      <c r="B25" s="1358"/>
      <c r="C25" s="1361"/>
      <c r="D25" s="147" t="s">
        <v>99</v>
      </c>
      <c r="E25" s="625" t="s">
        <v>115</v>
      </c>
      <c r="F25" s="148">
        <v>0.05</v>
      </c>
      <c r="G25" s="132" t="s">
        <v>2785</v>
      </c>
      <c r="H25" s="149"/>
      <c r="I25" s="898" t="str">
        <f t="shared" si="1"/>
        <v>5%</v>
      </c>
      <c r="J25" s="844"/>
    </row>
    <row r="26" spans="1:10" x14ac:dyDescent="0.2">
      <c r="A26" s="1355"/>
      <c r="B26" s="1358"/>
      <c r="C26" s="1361"/>
      <c r="D26" s="147" t="s">
        <v>101</v>
      </c>
      <c r="E26" s="625" t="s">
        <v>116</v>
      </c>
      <c r="F26" s="148">
        <v>0.1</v>
      </c>
      <c r="G26" s="132" t="s">
        <v>2785</v>
      </c>
      <c r="H26" s="149"/>
      <c r="I26" s="898" t="str">
        <f>IFERROR(IF(G26="x","10%","0"),0)</f>
        <v>10%</v>
      </c>
      <c r="J26" s="844"/>
    </row>
    <row r="27" spans="1:10" ht="12.75" thickBot="1" x14ac:dyDescent="0.25">
      <c r="A27" s="1355"/>
      <c r="B27" s="1358"/>
      <c r="C27" s="1362"/>
      <c r="D27" s="282" t="s">
        <v>103</v>
      </c>
      <c r="E27" s="891" t="s">
        <v>117</v>
      </c>
      <c r="F27" s="899">
        <v>0.3</v>
      </c>
      <c r="G27" s="900" t="s">
        <v>2785</v>
      </c>
      <c r="H27" s="262"/>
      <c r="I27" s="901" t="str">
        <f>IFERROR(IF(G27="x","30%","0"),0)</f>
        <v>30%</v>
      </c>
      <c r="J27" s="844"/>
    </row>
    <row r="28" spans="1:10" ht="16.5" thickBot="1" x14ac:dyDescent="0.25">
      <c r="A28" s="1356"/>
      <c r="B28" s="1359"/>
      <c r="C28" s="1363" t="s">
        <v>118</v>
      </c>
      <c r="D28" s="1363"/>
      <c r="E28" s="1363"/>
      <c r="F28" s="1363"/>
      <c r="G28" s="1363"/>
      <c r="H28" s="1363"/>
      <c r="I28" s="291">
        <f>I19+I20+I21+I22+I23+I24+I25+I26+I27</f>
        <v>1</v>
      </c>
      <c r="J28" s="121"/>
    </row>
    <row r="29" spans="1:10" ht="24" x14ac:dyDescent="0.2">
      <c r="A29" s="1354" t="s">
        <v>119</v>
      </c>
      <c r="B29" s="1364">
        <v>0.15625</v>
      </c>
      <c r="C29" s="1367" t="s">
        <v>120</v>
      </c>
      <c r="D29" s="238" t="s">
        <v>82</v>
      </c>
      <c r="E29" s="635" t="s">
        <v>121</v>
      </c>
      <c r="F29" s="902">
        <v>0.125</v>
      </c>
      <c r="G29" s="263"/>
      <c r="H29" s="259"/>
      <c r="I29" s="903">
        <f>IF(G29="x",12.5%,IF(G31="X",0,IF(G30="X",0,0)))</f>
        <v>0</v>
      </c>
      <c r="J29" s="844"/>
    </row>
    <row r="30" spans="1:10" ht="24" customHeight="1" x14ac:dyDescent="0.2">
      <c r="A30" s="1355"/>
      <c r="B30" s="1365"/>
      <c r="C30" s="1368"/>
      <c r="D30" s="154" t="s">
        <v>84</v>
      </c>
      <c r="E30" s="805" t="s">
        <v>123</v>
      </c>
      <c r="F30" s="151">
        <v>0.125</v>
      </c>
      <c r="G30" s="134" t="s">
        <v>2785</v>
      </c>
      <c r="H30" s="149"/>
      <c r="I30" s="904">
        <f>IFERROR(IF(G30="x",12.5%,"0"),0)</f>
        <v>0.125</v>
      </c>
      <c r="J30" s="844"/>
    </row>
    <row r="31" spans="1:10" ht="24.75" thickBot="1" x14ac:dyDescent="0.25">
      <c r="A31" s="1355"/>
      <c r="B31" s="1365"/>
      <c r="C31" s="1369"/>
      <c r="D31" s="242" t="s">
        <v>86</v>
      </c>
      <c r="E31" s="644" t="s">
        <v>124</v>
      </c>
      <c r="F31" s="905">
        <v>0</v>
      </c>
      <c r="G31" s="267"/>
      <c r="H31" s="262"/>
      <c r="I31" s="901" t="str">
        <f>IFERROR(IF(G31="x","0%","0"),0)</f>
        <v>0</v>
      </c>
      <c r="J31" s="844"/>
    </row>
    <row r="32" spans="1:10" ht="26.25" customHeight="1" x14ac:dyDescent="0.2">
      <c r="A32" s="1355"/>
      <c r="B32" s="1365"/>
      <c r="C32" s="1343" t="s">
        <v>2717</v>
      </c>
      <c r="D32" s="906" t="s">
        <v>82</v>
      </c>
      <c r="E32" s="907" t="s">
        <v>83</v>
      </c>
      <c r="F32" s="908">
        <v>0.25</v>
      </c>
      <c r="G32" s="1346" t="s">
        <v>83</v>
      </c>
      <c r="H32" s="259"/>
      <c r="I32" s="1349">
        <f>IFERROR(IF(G32="Sí",25%,IF(G32="No",0,IF(G32="",0%))),0)</f>
        <v>0.25</v>
      </c>
      <c r="J32" s="844"/>
    </row>
    <row r="33" spans="1:12" ht="21.75" customHeight="1" x14ac:dyDescent="0.2">
      <c r="A33" s="1355"/>
      <c r="B33" s="1365"/>
      <c r="C33" s="1370"/>
      <c r="D33" s="155" t="s">
        <v>84</v>
      </c>
      <c r="E33" s="628" t="s">
        <v>85</v>
      </c>
      <c r="F33" s="152">
        <v>0</v>
      </c>
      <c r="G33" s="1353"/>
      <c r="H33" s="1352" t="s">
        <v>122</v>
      </c>
      <c r="I33" s="1388"/>
      <c r="J33" s="844"/>
    </row>
    <row r="34" spans="1:12" ht="24" x14ac:dyDescent="0.2">
      <c r="A34" s="1355"/>
      <c r="B34" s="1365"/>
      <c r="C34" s="1368" t="s">
        <v>125</v>
      </c>
      <c r="D34" s="154" t="s">
        <v>82</v>
      </c>
      <c r="E34" s="805" t="s">
        <v>126</v>
      </c>
      <c r="F34" s="153">
        <v>7.1400000000000005E-2</v>
      </c>
      <c r="G34" s="134" t="s">
        <v>2785</v>
      </c>
      <c r="H34" s="1352"/>
      <c r="I34" s="898" t="str">
        <f>IFERROR(IF(G34="x","7,14%","0"),0)</f>
        <v>7,14%</v>
      </c>
      <c r="J34" s="844"/>
    </row>
    <row r="35" spans="1:12" x14ac:dyDescent="0.2">
      <c r="A35" s="1355"/>
      <c r="B35" s="1365"/>
      <c r="C35" s="1368"/>
      <c r="D35" s="154" t="s">
        <v>84</v>
      </c>
      <c r="E35" s="805" t="s">
        <v>127</v>
      </c>
      <c r="F35" s="153">
        <v>7.1400000000000005E-2</v>
      </c>
      <c r="G35" s="134" t="s">
        <v>2785</v>
      </c>
      <c r="H35" s="149"/>
      <c r="I35" s="898" t="str">
        <f t="shared" ref="I35:I40" si="2">IFERROR(IF(G35="x","7,14%","0"),0)</f>
        <v>7,14%</v>
      </c>
      <c r="J35" s="844"/>
    </row>
    <row r="36" spans="1:12" x14ac:dyDescent="0.2">
      <c r="A36" s="1355"/>
      <c r="B36" s="1365"/>
      <c r="C36" s="1368"/>
      <c r="D36" s="154" t="s">
        <v>86</v>
      </c>
      <c r="E36" s="805" t="s">
        <v>128</v>
      </c>
      <c r="F36" s="153">
        <v>7.1400000000000005E-2</v>
      </c>
      <c r="G36" s="134" t="s">
        <v>2785</v>
      </c>
      <c r="H36" s="149"/>
      <c r="I36" s="898" t="str">
        <f t="shared" si="2"/>
        <v>7,14%</v>
      </c>
      <c r="J36" s="844"/>
    </row>
    <row r="37" spans="1:12" ht="24" x14ac:dyDescent="0.2">
      <c r="A37" s="1355"/>
      <c r="B37" s="1365"/>
      <c r="C37" s="1368"/>
      <c r="D37" s="154" t="s">
        <v>87</v>
      </c>
      <c r="E37" s="805" t="s">
        <v>129</v>
      </c>
      <c r="F37" s="153">
        <v>7.1400000000000005E-2</v>
      </c>
      <c r="G37" s="134" t="s">
        <v>2785</v>
      </c>
      <c r="H37" s="149"/>
      <c r="I37" s="898" t="str">
        <f t="shared" si="2"/>
        <v>7,14%</v>
      </c>
      <c r="J37" s="844"/>
    </row>
    <row r="38" spans="1:12" x14ac:dyDescent="0.2">
      <c r="A38" s="1355"/>
      <c r="B38" s="1365"/>
      <c r="C38" s="1368"/>
      <c r="D38" s="154" t="s">
        <v>95</v>
      </c>
      <c r="E38" s="805" t="s">
        <v>130</v>
      </c>
      <c r="F38" s="153">
        <v>7.1400000000000005E-2</v>
      </c>
      <c r="G38" s="134" t="s">
        <v>2785</v>
      </c>
      <c r="H38" s="909"/>
      <c r="I38" s="898" t="str">
        <f t="shared" si="2"/>
        <v>7,14%</v>
      </c>
      <c r="J38" s="844"/>
    </row>
    <row r="39" spans="1:12" ht="24" x14ac:dyDescent="0.2">
      <c r="A39" s="1355"/>
      <c r="B39" s="1365"/>
      <c r="C39" s="1368"/>
      <c r="D39" s="154" t="s">
        <v>97</v>
      </c>
      <c r="E39" s="805" t="s">
        <v>131</v>
      </c>
      <c r="F39" s="153">
        <v>7.1400000000000005E-2</v>
      </c>
      <c r="G39" s="134" t="s">
        <v>2785</v>
      </c>
      <c r="H39" s="149"/>
      <c r="I39" s="898" t="str">
        <f t="shared" si="2"/>
        <v>7,14%</v>
      </c>
      <c r="J39" s="844"/>
    </row>
    <row r="40" spans="1:12" ht="12.75" thickBot="1" x14ac:dyDescent="0.25">
      <c r="A40" s="1355"/>
      <c r="B40" s="1365"/>
      <c r="C40" s="1369"/>
      <c r="D40" s="242" t="s">
        <v>99</v>
      </c>
      <c r="E40" s="636" t="s">
        <v>132</v>
      </c>
      <c r="F40" s="910">
        <v>7.1400000000000005E-2</v>
      </c>
      <c r="G40" s="267" t="s">
        <v>2785</v>
      </c>
      <c r="H40" s="262"/>
      <c r="I40" s="901" t="str">
        <f t="shared" si="2"/>
        <v>7,14%</v>
      </c>
      <c r="J40" s="844"/>
      <c r="L40" s="135"/>
    </row>
    <row r="41" spans="1:12" ht="16.5" thickBot="1" x14ac:dyDescent="0.25">
      <c r="A41" s="1356"/>
      <c r="B41" s="1366"/>
      <c r="C41" s="1272" t="s">
        <v>133</v>
      </c>
      <c r="D41" s="1273"/>
      <c r="E41" s="1273"/>
      <c r="F41" s="1273"/>
      <c r="G41" s="1273"/>
      <c r="H41" s="1274"/>
      <c r="I41" s="291">
        <f>I29+I30+I31+I32+I33+I34+I35+I36+I37+I38+I39+I40</f>
        <v>0.87480000000000013</v>
      </c>
      <c r="J41" s="121"/>
    </row>
    <row r="42" spans="1:12" x14ac:dyDescent="0.2">
      <c r="A42" s="1329" t="s">
        <v>134</v>
      </c>
      <c r="B42" s="1364">
        <v>0.15620000000000001</v>
      </c>
      <c r="C42" s="1360" t="s">
        <v>135</v>
      </c>
      <c r="D42" s="238" t="s">
        <v>82</v>
      </c>
      <c r="E42" s="886" t="s">
        <v>136</v>
      </c>
      <c r="F42" s="239">
        <v>0.5</v>
      </c>
      <c r="G42" s="896" t="s">
        <v>2785</v>
      </c>
      <c r="H42" s="1372" t="s">
        <v>137</v>
      </c>
      <c r="I42" s="897" t="str">
        <f>IFERROR(IF(G42="x","50%","0"),0)</f>
        <v>50%</v>
      </c>
      <c r="J42" s="844"/>
    </row>
    <row r="43" spans="1:12" x14ac:dyDescent="0.2">
      <c r="A43" s="1330"/>
      <c r="B43" s="1365"/>
      <c r="C43" s="1361"/>
      <c r="D43" s="147" t="s">
        <v>84</v>
      </c>
      <c r="E43" s="625" t="s">
        <v>138</v>
      </c>
      <c r="F43" s="156">
        <v>0.5</v>
      </c>
      <c r="G43" s="132"/>
      <c r="H43" s="1239"/>
      <c r="I43" s="898" t="str">
        <f>IFERROR(IF(G43="x","50%","0"),0)</f>
        <v>0</v>
      </c>
      <c r="J43" s="844"/>
    </row>
    <row r="44" spans="1:12" ht="12.75" thickBot="1" x14ac:dyDescent="0.25">
      <c r="A44" s="1330"/>
      <c r="B44" s="1365"/>
      <c r="C44" s="1362"/>
      <c r="D44" s="242" t="s">
        <v>86</v>
      </c>
      <c r="E44" s="911" t="s">
        <v>139</v>
      </c>
      <c r="F44" s="242">
        <v>0</v>
      </c>
      <c r="G44" s="900"/>
      <c r="H44" s="1240"/>
      <c r="I44" s="901" t="str">
        <f>IFERROR(IF(G44="x","0%","0"),0)</f>
        <v>0</v>
      </c>
      <c r="J44" s="844"/>
    </row>
    <row r="45" spans="1:12" ht="16.5" thickBot="1" x14ac:dyDescent="0.25">
      <c r="A45" s="1331"/>
      <c r="B45" s="1366"/>
      <c r="C45" s="1272" t="s">
        <v>1940</v>
      </c>
      <c r="D45" s="1273"/>
      <c r="E45" s="1273"/>
      <c r="F45" s="1273"/>
      <c r="G45" s="1273"/>
      <c r="H45" s="1274"/>
      <c r="I45" s="291">
        <f>I42+I43+I44</f>
        <v>0.5</v>
      </c>
      <c r="J45" s="1073"/>
    </row>
    <row r="46" spans="1:12" ht="36" x14ac:dyDescent="0.2">
      <c r="A46" s="1329" t="s">
        <v>140</v>
      </c>
      <c r="B46" s="1364">
        <v>0.15629999999999999</v>
      </c>
      <c r="C46" s="1336" t="s">
        <v>141</v>
      </c>
      <c r="D46" s="281" t="s">
        <v>82</v>
      </c>
      <c r="E46" s="886" t="s">
        <v>96</v>
      </c>
      <c r="F46" s="912">
        <v>0.1</v>
      </c>
      <c r="G46" s="896" t="s">
        <v>2785</v>
      </c>
      <c r="H46" s="265"/>
      <c r="I46" s="897" t="str">
        <f>IFERROR(IF(G46="x","10%","0"),0)</f>
        <v>10%</v>
      </c>
      <c r="J46" s="844"/>
    </row>
    <row r="47" spans="1:12" x14ac:dyDescent="0.2">
      <c r="A47" s="1330"/>
      <c r="B47" s="1365"/>
      <c r="C47" s="1337"/>
      <c r="D47" s="147" t="s">
        <v>84</v>
      </c>
      <c r="E47" s="625" t="s">
        <v>143</v>
      </c>
      <c r="F47" s="158">
        <v>0.1</v>
      </c>
      <c r="G47" s="132" t="s">
        <v>2785</v>
      </c>
      <c r="H47" s="145"/>
      <c r="I47" s="898" t="str">
        <f t="shared" ref="I47:I49" si="3">IFERROR(IF(G47="x","10%","0"),0)</f>
        <v>10%</v>
      </c>
      <c r="J47" s="844"/>
    </row>
    <row r="48" spans="1:12" x14ac:dyDescent="0.2">
      <c r="A48" s="1330"/>
      <c r="B48" s="1365"/>
      <c r="C48" s="1337"/>
      <c r="D48" s="147" t="s">
        <v>86</v>
      </c>
      <c r="E48" s="625" t="s">
        <v>100</v>
      </c>
      <c r="F48" s="158">
        <v>0.1</v>
      </c>
      <c r="G48" s="132" t="s">
        <v>2785</v>
      </c>
      <c r="H48" s="145"/>
      <c r="I48" s="898" t="str">
        <f t="shared" si="3"/>
        <v>10%</v>
      </c>
      <c r="J48" s="844"/>
    </row>
    <row r="49" spans="1:12" x14ac:dyDescent="0.2">
      <c r="A49" s="1330"/>
      <c r="B49" s="1365"/>
      <c r="C49" s="1337"/>
      <c r="D49" s="147" t="s">
        <v>87</v>
      </c>
      <c r="E49" s="629" t="s">
        <v>144</v>
      </c>
      <c r="F49" s="159">
        <v>0.1</v>
      </c>
      <c r="G49" s="132" t="s">
        <v>2785</v>
      </c>
      <c r="H49" s="145"/>
      <c r="I49" s="898" t="str">
        <f t="shared" si="3"/>
        <v>10%</v>
      </c>
      <c r="J49" s="844"/>
    </row>
    <row r="50" spans="1:12" x14ac:dyDescent="0.2">
      <c r="A50" s="1330"/>
      <c r="B50" s="1365"/>
      <c r="C50" s="1337"/>
      <c r="D50" s="147" t="s">
        <v>95</v>
      </c>
      <c r="E50" s="629" t="s">
        <v>104</v>
      </c>
      <c r="F50" s="159">
        <v>0</v>
      </c>
      <c r="G50" s="132"/>
      <c r="H50" s="145"/>
      <c r="I50" s="898" t="str">
        <f>IFERROR(IF(G50="x","0%","0"),0)</f>
        <v>0</v>
      </c>
      <c r="J50" s="844"/>
    </row>
    <row r="51" spans="1:12" ht="12.75" thickBot="1" x14ac:dyDescent="0.25">
      <c r="A51" s="1330"/>
      <c r="B51" s="1365"/>
      <c r="C51" s="1338"/>
      <c r="D51" s="282" t="s">
        <v>97</v>
      </c>
      <c r="E51" s="911" t="s">
        <v>145</v>
      </c>
      <c r="F51" s="913">
        <v>0</v>
      </c>
      <c r="G51" s="900"/>
      <c r="H51" s="145"/>
      <c r="I51" s="901" t="str">
        <f>IFERROR(IF(G51="x","0%","0"),0)</f>
        <v>0</v>
      </c>
      <c r="J51" s="844"/>
    </row>
    <row r="52" spans="1:12" ht="24" x14ac:dyDescent="0.2">
      <c r="A52" s="1330"/>
      <c r="B52" s="1365"/>
      <c r="C52" s="1336" t="s">
        <v>146</v>
      </c>
      <c r="D52" s="281" t="s">
        <v>99</v>
      </c>
      <c r="E52" s="886" t="s">
        <v>147</v>
      </c>
      <c r="F52" s="912">
        <v>0.15</v>
      </c>
      <c r="G52" s="888" t="s">
        <v>2785</v>
      </c>
      <c r="H52" s="1392" t="s">
        <v>142</v>
      </c>
      <c r="I52" s="889" t="str">
        <f>IFERROR(IF(G52="x","15%","0"),0)</f>
        <v>15%</v>
      </c>
      <c r="J52" s="844"/>
    </row>
    <row r="53" spans="1:12" ht="24" x14ac:dyDescent="0.2">
      <c r="A53" s="1330"/>
      <c r="B53" s="1365"/>
      <c r="C53" s="1337"/>
      <c r="D53" s="147" t="s">
        <v>101</v>
      </c>
      <c r="E53" s="625" t="s">
        <v>148</v>
      </c>
      <c r="F53" s="157">
        <v>0.125</v>
      </c>
      <c r="G53" s="919"/>
      <c r="H53" s="1392"/>
      <c r="I53" s="890" t="str">
        <f>IFERROR(IF(G53="x","12,5%","0"),0)</f>
        <v>0</v>
      </c>
      <c r="J53" s="844"/>
    </row>
    <row r="54" spans="1:12" ht="12.75" thickBot="1" x14ac:dyDescent="0.25">
      <c r="A54" s="1330"/>
      <c r="B54" s="1365"/>
      <c r="C54" s="1338"/>
      <c r="D54" s="282" t="s">
        <v>103</v>
      </c>
      <c r="E54" s="891" t="s">
        <v>149</v>
      </c>
      <c r="F54" s="914">
        <v>0.125</v>
      </c>
      <c r="G54" s="900" t="s">
        <v>2785</v>
      </c>
      <c r="H54" s="145"/>
      <c r="I54" s="901" t="str">
        <f>IFERROR(IF(G54="x","12,5%","0"),0)</f>
        <v>12,5%</v>
      </c>
      <c r="J54" s="844"/>
    </row>
    <row r="55" spans="1:12" ht="31.5" customHeight="1" x14ac:dyDescent="0.2">
      <c r="A55" s="1330"/>
      <c r="B55" s="1365"/>
      <c r="C55" s="1401" t="s">
        <v>150</v>
      </c>
      <c r="D55" s="285" t="s">
        <v>151</v>
      </c>
      <c r="E55" s="882" t="s">
        <v>83</v>
      </c>
      <c r="F55" s="915">
        <v>0.2</v>
      </c>
      <c r="G55" s="1346" t="s">
        <v>83</v>
      </c>
      <c r="H55" s="920"/>
      <c r="I55" s="1349">
        <f>IFERROR(IF(G55="Sí",20%,IF(G55="No",0,IF(G55="",0%))),0)</f>
        <v>0.2</v>
      </c>
      <c r="J55" s="844"/>
    </row>
    <row r="56" spans="1:12" ht="27" customHeight="1" thickBot="1" x14ac:dyDescent="0.25">
      <c r="A56" s="1330"/>
      <c r="B56" s="1365"/>
      <c r="C56" s="1402"/>
      <c r="D56" s="916" t="s">
        <v>152</v>
      </c>
      <c r="E56" s="917" t="s">
        <v>85</v>
      </c>
      <c r="F56" s="918">
        <v>0</v>
      </c>
      <c r="G56" s="1371"/>
      <c r="H56" s="269"/>
      <c r="I56" s="1386"/>
      <c r="J56" s="844"/>
      <c r="L56" s="136"/>
    </row>
    <row r="57" spans="1:12" ht="16.5" thickBot="1" x14ac:dyDescent="0.25">
      <c r="A57" s="1331"/>
      <c r="B57" s="1366"/>
      <c r="C57" s="1272" t="s">
        <v>153</v>
      </c>
      <c r="D57" s="1273"/>
      <c r="E57" s="1273"/>
      <c r="F57" s="1273"/>
      <c r="G57" s="1273"/>
      <c r="H57" s="1274"/>
      <c r="I57" s="291">
        <f>I46+I47+I48+I49+I50+I51+I52+I53+I54+I55+I56</f>
        <v>0.875</v>
      </c>
      <c r="J57" s="121"/>
    </row>
    <row r="58" spans="1:12" ht="15.75" customHeight="1" x14ac:dyDescent="0.2">
      <c r="A58" s="1329" t="s">
        <v>154</v>
      </c>
      <c r="B58" s="1364">
        <v>0.15620000000000001</v>
      </c>
      <c r="C58" s="1360" t="s">
        <v>155</v>
      </c>
      <c r="D58" s="238" t="s">
        <v>82</v>
      </c>
      <c r="E58" s="921" t="s">
        <v>156</v>
      </c>
      <c r="F58" s="239">
        <v>0.5</v>
      </c>
      <c r="G58" s="922" t="s">
        <v>167</v>
      </c>
      <c r="H58" s="1372" t="s">
        <v>157</v>
      </c>
      <c r="I58" s="897" t="str">
        <f>IFERROR(IF(G58="x","50%","0"),0)</f>
        <v>50%</v>
      </c>
      <c r="J58" s="844"/>
    </row>
    <row r="59" spans="1:12" ht="19.5" customHeight="1" x14ac:dyDescent="0.2">
      <c r="A59" s="1330"/>
      <c r="B59" s="1365"/>
      <c r="C59" s="1361"/>
      <c r="D59" s="154" t="s">
        <v>84</v>
      </c>
      <c r="E59" s="629" t="s">
        <v>158</v>
      </c>
      <c r="F59" s="156">
        <v>0.5</v>
      </c>
      <c r="G59" s="137" t="s">
        <v>167</v>
      </c>
      <c r="H59" s="1239"/>
      <c r="I59" s="898" t="str">
        <f>IFERROR(IF(G59="x","50%","0"),0)</f>
        <v>50%</v>
      </c>
      <c r="J59" s="844"/>
    </row>
    <row r="60" spans="1:12" ht="24" customHeight="1" thickBot="1" x14ac:dyDescent="0.25">
      <c r="A60" s="1330"/>
      <c r="B60" s="1365"/>
      <c r="C60" s="1362"/>
      <c r="D60" s="282" t="s">
        <v>86</v>
      </c>
      <c r="E60" s="911" t="s">
        <v>159</v>
      </c>
      <c r="F60" s="242">
        <v>0</v>
      </c>
      <c r="G60" s="923"/>
      <c r="H60" s="1240"/>
      <c r="I60" s="901" t="str">
        <f>IFERROR(IF(G60="x","0%","0"),0)</f>
        <v>0</v>
      </c>
      <c r="J60" s="844"/>
    </row>
    <row r="61" spans="1:12" ht="16.5" thickBot="1" x14ac:dyDescent="0.25">
      <c r="A61" s="1331"/>
      <c r="B61" s="1366"/>
      <c r="C61" s="1272" t="s">
        <v>160</v>
      </c>
      <c r="D61" s="1273"/>
      <c r="E61" s="1273"/>
      <c r="F61" s="1273"/>
      <c r="G61" s="1273"/>
      <c r="H61" s="1274"/>
      <c r="I61" s="291">
        <f>I58+I59+I60</f>
        <v>1</v>
      </c>
      <c r="J61" s="121"/>
    </row>
    <row r="62" spans="1:12" ht="24" x14ac:dyDescent="0.2">
      <c r="A62" s="1329" t="s">
        <v>161</v>
      </c>
      <c r="B62" s="1313">
        <v>-0.125</v>
      </c>
      <c r="C62" s="1360" t="s">
        <v>162</v>
      </c>
      <c r="D62" s="238" t="s">
        <v>82</v>
      </c>
      <c r="E62" s="886" t="s">
        <v>108</v>
      </c>
      <c r="F62" s="239">
        <v>-0.3</v>
      </c>
      <c r="G62" s="896"/>
      <c r="H62" s="265"/>
      <c r="I62" s="897" t="str">
        <f>IFERROR(IF(G62="x","-30%","0"),0)</f>
        <v>0</v>
      </c>
      <c r="J62" s="844"/>
    </row>
    <row r="63" spans="1:12" x14ac:dyDescent="0.2">
      <c r="A63" s="1330"/>
      <c r="B63" s="1382"/>
      <c r="C63" s="1361"/>
      <c r="D63" s="154" t="s">
        <v>84</v>
      </c>
      <c r="E63" s="625" t="s">
        <v>110</v>
      </c>
      <c r="F63" s="156">
        <v>-0.05</v>
      </c>
      <c r="G63" s="132"/>
      <c r="H63" s="145"/>
      <c r="I63" s="898" t="str">
        <f>IFERROR(IF(G63="x","-5%","0"),0)</f>
        <v>0</v>
      </c>
      <c r="J63" s="844"/>
    </row>
    <row r="64" spans="1:12" x14ac:dyDescent="0.2">
      <c r="A64" s="1330"/>
      <c r="B64" s="1382"/>
      <c r="C64" s="1361"/>
      <c r="D64" s="154" t="s">
        <v>86</v>
      </c>
      <c r="E64" s="625" t="s">
        <v>111</v>
      </c>
      <c r="F64" s="156">
        <v>-0.05</v>
      </c>
      <c r="G64" s="132"/>
      <c r="H64" s="145"/>
      <c r="I64" s="898" t="str">
        <f t="shared" ref="I64:I68" si="4">IFERROR(IF(G64="x","-5%","0"),0)</f>
        <v>0</v>
      </c>
      <c r="J64" s="844"/>
    </row>
    <row r="65" spans="1:12" x14ac:dyDescent="0.2">
      <c r="A65" s="1330"/>
      <c r="B65" s="1382"/>
      <c r="C65" s="1361"/>
      <c r="D65" s="154" t="s">
        <v>87</v>
      </c>
      <c r="E65" s="625" t="s">
        <v>112</v>
      </c>
      <c r="F65" s="156">
        <v>-0.05</v>
      </c>
      <c r="G65" s="132"/>
      <c r="H65" s="145"/>
      <c r="I65" s="898" t="str">
        <f t="shared" si="4"/>
        <v>0</v>
      </c>
      <c r="J65" s="844"/>
    </row>
    <row r="66" spans="1:12" x14ac:dyDescent="0.2">
      <c r="A66" s="1330"/>
      <c r="B66" s="1382"/>
      <c r="C66" s="1361"/>
      <c r="D66" s="154" t="s">
        <v>95</v>
      </c>
      <c r="E66" s="625" t="s">
        <v>113</v>
      </c>
      <c r="F66" s="156">
        <v>-0.05</v>
      </c>
      <c r="G66" s="132"/>
      <c r="H66" s="145"/>
      <c r="I66" s="898" t="str">
        <f t="shared" si="4"/>
        <v>0</v>
      </c>
      <c r="J66" s="844"/>
    </row>
    <row r="67" spans="1:12" x14ac:dyDescent="0.2">
      <c r="A67" s="1330"/>
      <c r="B67" s="1382"/>
      <c r="C67" s="1361"/>
      <c r="D67" s="154" t="s">
        <v>97</v>
      </c>
      <c r="E67" s="625" t="s">
        <v>114</v>
      </c>
      <c r="F67" s="156">
        <v>-0.05</v>
      </c>
      <c r="G67" s="132"/>
      <c r="H67" s="145"/>
      <c r="I67" s="898" t="str">
        <f t="shared" si="4"/>
        <v>0</v>
      </c>
      <c r="J67" s="844"/>
    </row>
    <row r="68" spans="1:12" ht="25.5" customHeight="1" x14ac:dyDescent="0.2">
      <c r="A68" s="1330"/>
      <c r="B68" s="1382"/>
      <c r="C68" s="1361"/>
      <c r="D68" s="154" t="s">
        <v>99</v>
      </c>
      <c r="E68" s="625" t="s">
        <v>115</v>
      </c>
      <c r="F68" s="156">
        <v>-0.05</v>
      </c>
      <c r="G68" s="132"/>
      <c r="H68" s="145" t="s">
        <v>163</v>
      </c>
      <c r="I68" s="898" t="str">
        <f t="shared" si="4"/>
        <v>0</v>
      </c>
      <c r="J68" s="844"/>
    </row>
    <row r="69" spans="1:12" x14ac:dyDescent="0.2">
      <c r="A69" s="1330"/>
      <c r="B69" s="1382"/>
      <c r="C69" s="1361"/>
      <c r="D69" s="154" t="s">
        <v>101</v>
      </c>
      <c r="E69" s="625" t="s">
        <v>116</v>
      </c>
      <c r="F69" s="156">
        <v>-0.1</v>
      </c>
      <c r="G69" s="132"/>
      <c r="H69" s="145"/>
      <c r="I69" s="898" t="str">
        <f>IFERROR(IF(G69="x","-10%","0"),0)</f>
        <v>0</v>
      </c>
      <c r="J69" s="844"/>
    </row>
    <row r="70" spans="1:12" x14ac:dyDescent="0.2">
      <c r="A70" s="1330"/>
      <c r="B70" s="1382"/>
      <c r="C70" s="1361"/>
      <c r="D70" s="154" t="s">
        <v>103</v>
      </c>
      <c r="E70" s="625" t="s">
        <v>117</v>
      </c>
      <c r="F70" s="156">
        <v>-0.3</v>
      </c>
      <c r="G70" s="132"/>
      <c r="H70" s="145"/>
      <c r="I70" s="898" t="str">
        <f>IFERROR(IF(G70="x","-30%","0"),0)</f>
        <v>0</v>
      </c>
      <c r="J70" s="844"/>
    </row>
    <row r="71" spans="1:12" x14ac:dyDescent="0.2">
      <c r="A71" s="1330"/>
      <c r="B71" s="1382"/>
      <c r="C71" s="1361"/>
      <c r="D71" s="154" t="s">
        <v>151</v>
      </c>
      <c r="E71" s="625" t="s">
        <v>104</v>
      </c>
      <c r="F71" s="154">
        <v>0</v>
      </c>
      <c r="G71" s="132"/>
      <c r="H71" s="145"/>
      <c r="I71" s="898" t="str">
        <f t="shared" ref="I71:I72" si="5">IFERROR(IF(G71="x","0%","0"),0)</f>
        <v>0</v>
      </c>
      <c r="J71" s="844"/>
    </row>
    <row r="72" spans="1:12" ht="24.75" thickBot="1" x14ac:dyDescent="0.25">
      <c r="A72" s="1330"/>
      <c r="B72" s="1382"/>
      <c r="C72" s="1362"/>
      <c r="D72" s="242" t="s">
        <v>152</v>
      </c>
      <c r="E72" s="891" t="s">
        <v>164</v>
      </c>
      <c r="F72" s="242">
        <v>0</v>
      </c>
      <c r="G72" s="900" t="s">
        <v>167</v>
      </c>
      <c r="H72" s="269"/>
      <c r="I72" s="901" t="str">
        <f t="shared" si="5"/>
        <v>0%</v>
      </c>
      <c r="J72" s="844"/>
      <c r="L72" s="136"/>
    </row>
    <row r="73" spans="1:12" ht="15.75" x14ac:dyDescent="0.2">
      <c r="A73" s="1331"/>
      <c r="B73" s="1383"/>
      <c r="C73" s="1378" t="s">
        <v>165</v>
      </c>
      <c r="D73" s="1379"/>
      <c r="E73" s="1379"/>
      <c r="F73" s="1379"/>
      <c r="G73" s="1379"/>
      <c r="H73" s="1380"/>
      <c r="I73" s="294">
        <f>I62+I63+I64+I65+I66+I67+I68+I69+I70+I71+I72</f>
        <v>0</v>
      </c>
      <c r="J73" s="121"/>
    </row>
    <row r="74" spans="1:12" ht="41.25" customHeight="1" x14ac:dyDescent="0.2">
      <c r="A74" s="1375" t="s">
        <v>2403</v>
      </c>
      <c r="B74" s="1375"/>
      <c r="C74" s="1375"/>
      <c r="D74" s="1375"/>
      <c r="E74" s="1375"/>
      <c r="F74" s="1381" t="s">
        <v>166</v>
      </c>
      <c r="G74" s="1381"/>
      <c r="H74" s="1381"/>
      <c r="I74" s="292">
        <f>(I8*B4)+(I18*B9)+(I28*B19)+(I41*B29)+(I45*B42)+(I57*B46)+(I61*B58)-(I73*B62)</f>
        <v>0.88275000000000015</v>
      </c>
      <c r="J74" s="122"/>
    </row>
    <row r="75" spans="1:12" ht="15" x14ac:dyDescent="0.2">
      <c r="I75" s="124"/>
    </row>
    <row r="76" spans="1:12" x14ac:dyDescent="0.2">
      <c r="A76" s="1124" t="s">
        <v>1964</v>
      </c>
      <c r="B76" s="1124"/>
      <c r="C76" s="1124"/>
    </row>
    <row r="77" spans="1:12" x14ac:dyDescent="0.2">
      <c r="A77" s="160"/>
      <c r="B77" s="1399" t="s">
        <v>2010</v>
      </c>
      <c r="C77" s="1400"/>
    </row>
    <row r="78" spans="1:12" x14ac:dyDescent="0.2">
      <c r="A78" s="23"/>
      <c r="B78" s="1376" t="s">
        <v>2011</v>
      </c>
      <c r="C78" s="1376"/>
    </row>
    <row r="79" spans="1:12" x14ac:dyDescent="0.2">
      <c r="A79" s="6"/>
      <c r="B79" s="1377" t="s">
        <v>1970</v>
      </c>
      <c r="C79" s="1377"/>
    </row>
    <row r="80" spans="1:12" x14ac:dyDescent="0.2">
      <c r="A80" s="7"/>
      <c r="B80" s="1377" t="s">
        <v>1997</v>
      </c>
      <c r="C80" s="1377"/>
    </row>
    <row r="82" spans="1:4" ht="12.75" customHeight="1" thickBot="1" x14ac:dyDescent="0.25">
      <c r="D82" s="138"/>
    </row>
    <row r="83" spans="1:4" ht="15" customHeight="1" thickBot="1" x14ac:dyDescent="0.25">
      <c r="A83" s="1181" t="s">
        <v>2227</v>
      </c>
      <c r="B83" s="1182"/>
      <c r="C83" s="1182"/>
      <c r="D83" s="1183"/>
    </row>
    <row r="84" spans="1:4" ht="18" customHeight="1" thickBot="1" x14ac:dyDescent="0.25">
      <c r="A84" s="94" t="s">
        <v>2228</v>
      </c>
      <c r="B84" s="95" t="s">
        <v>2229</v>
      </c>
      <c r="C84" s="95" t="s">
        <v>2230</v>
      </c>
      <c r="D84" s="95" t="s">
        <v>2231</v>
      </c>
    </row>
    <row r="85" spans="1:4" ht="12.75" thickBot="1" x14ac:dyDescent="0.25">
      <c r="A85" s="96">
        <v>1</v>
      </c>
      <c r="B85" s="97" t="s">
        <v>2232</v>
      </c>
      <c r="C85" s="97" t="s">
        <v>2233</v>
      </c>
      <c r="D85" s="98"/>
    </row>
    <row r="86" spans="1:4" ht="12.75" thickBot="1" x14ac:dyDescent="0.25">
      <c r="A86" s="96">
        <v>2</v>
      </c>
      <c r="B86" s="97" t="s">
        <v>2234</v>
      </c>
      <c r="C86" s="97" t="s">
        <v>2235</v>
      </c>
      <c r="D86" s="99"/>
    </row>
    <row r="87" spans="1:4" ht="12.75" thickBot="1" x14ac:dyDescent="0.25">
      <c r="A87" s="96">
        <v>3</v>
      </c>
      <c r="B87" s="97" t="s">
        <v>2236</v>
      </c>
      <c r="C87" s="97" t="s">
        <v>2237</v>
      </c>
      <c r="D87" s="100"/>
    </row>
    <row r="88" spans="1:4" ht="12.75" thickBot="1" x14ac:dyDescent="0.25">
      <c r="A88" s="96">
        <v>4</v>
      </c>
      <c r="B88" s="97" t="s">
        <v>2238</v>
      </c>
      <c r="C88" s="97" t="s">
        <v>2239</v>
      </c>
      <c r="D88" s="101"/>
    </row>
    <row r="89" spans="1:4" ht="12.75" thickBot="1" x14ac:dyDescent="0.25">
      <c r="A89" s="96">
        <v>5</v>
      </c>
      <c r="B89" s="97" t="s">
        <v>2240</v>
      </c>
      <c r="C89" s="97" t="s">
        <v>2241</v>
      </c>
      <c r="D89" s="102"/>
    </row>
    <row r="90" spans="1:4" x14ac:dyDescent="0.2">
      <c r="B90" s="21"/>
    </row>
    <row r="91" spans="1:4" x14ac:dyDescent="0.2">
      <c r="A91" s="1396" t="s">
        <v>2288</v>
      </c>
      <c r="B91" s="1397"/>
      <c r="C91" s="1397"/>
      <c r="D91" s="1398"/>
    </row>
    <row r="92" spans="1:4" ht="71.25" customHeight="1" x14ac:dyDescent="0.2">
      <c r="A92" s="1393" t="s">
        <v>2404</v>
      </c>
      <c r="B92" s="1394"/>
      <c r="C92" s="1394"/>
      <c r="D92" s="1395"/>
    </row>
    <row r="93" spans="1:4" ht="30.75" customHeight="1" x14ac:dyDescent="0.2">
      <c r="A93" s="1389" t="s">
        <v>2059</v>
      </c>
      <c r="B93" s="1390"/>
      <c r="C93" s="1390"/>
      <c r="D93" s="1391"/>
    </row>
  </sheetData>
  <sheetProtection password="B860" sheet="1" objects="1" scenarios="1"/>
  <mergeCells count="69">
    <mergeCell ref="I32:I33"/>
    <mergeCell ref="C18:H18"/>
    <mergeCell ref="A93:D93"/>
    <mergeCell ref="I55:I56"/>
    <mergeCell ref="H52:H53"/>
    <mergeCell ref="A83:D83"/>
    <mergeCell ref="A92:D92"/>
    <mergeCell ref="A91:D91"/>
    <mergeCell ref="B80:C80"/>
    <mergeCell ref="A76:C76"/>
    <mergeCell ref="B77:C77"/>
    <mergeCell ref="C46:C51"/>
    <mergeCell ref="C52:C54"/>
    <mergeCell ref="C55:C56"/>
    <mergeCell ref="C57:H57"/>
    <mergeCell ref="C41:H41"/>
    <mergeCell ref="G9:G10"/>
    <mergeCell ref="G11:G12"/>
    <mergeCell ref="I9:I10"/>
    <mergeCell ref="I11:I12"/>
    <mergeCell ref="H11:H12"/>
    <mergeCell ref="A1:J1"/>
    <mergeCell ref="A74:E74"/>
    <mergeCell ref="B78:C78"/>
    <mergeCell ref="B79:C79"/>
    <mergeCell ref="C73:H73"/>
    <mergeCell ref="F74:H74"/>
    <mergeCell ref="A58:A61"/>
    <mergeCell ref="B58:B61"/>
    <mergeCell ref="C58:C60"/>
    <mergeCell ref="H58:H60"/>
    <mergeCell ref="C61:H61"/>
    <mergeCell ref="A62:A73"/>
    <mergeCell ref="B62:B73"/>
    <mergeCell ref="C62:C72"/>
    <mergeCell ref="A46:A57"/>
    <mergeCell ref="B46:B57"/>
    <mergeCell ref="G55:G56"/>
    <mergeCell ref="A42:A45"/>
    <mergeCell ref="B42:B45"/>
    <mergeCell ref="C42:C44"/>
    <mergeCell ref="H42:H44"/>
    <mergeCell ref="C45:H45"/>
    <mergeCell ref="H33:H34"/>
    <mergeCell ref="G32:G33"/>
    <mergeCell ref="A19:A28"/>
    <mergeCell ref="B19:B28"/>
    <mergeCell ref="C19:C27"/>
    <mergeCell ref="C28:H28"/>
    <mergeCell ref="A29:A41"/>
    <mergeCell ref="B29:B41"/>
    <mergeCell ref="C29:C31"/>
    <mergeCell ref="C34:C40"/>
    <mergeCell ref="C32:C33"/>
    <mergeCell ref="A2:J2"/>
    <mergeCell ref="A4:A8"/>
    <mergeCell ref="B4:B8"/>
    <mergeCell ref="C4:C5"/>
    <mergeCell ref="C6:C7"/>
    <mergeCell ref="C8:H8"/>
    <mergeCell ref="G4:G5"/>
    <mergeCell ref="G6:G7"/>
    <mergeCell ref="I4:I5"/>
    <mergeCell ref="I6:I7"/>
    <mergeCell ref="A9:A18"/>
    <mergeCell ref="B9:B18"/>
    <mergeCell ref="C9:C10"/>
    <mergeCell ref="C11:C12"/>
    <mergeCell ref="C13:C17"/>
  </mergeCells>
  <conditionalFormatting sqref="I8 I18 I28 I41 I45 I57 I61 I73:I74">
    <cfRule type="cellIs" dxfId="89" priority="41" operator="between">
      <formula>0.9</formula>
      <formula>1</formula>
    </cfRule>
    <cfRule type="cellIs" dxfId="88" priority="42" operator="between">
      <formula>0.75</formula>
      <formula>0.899</formula>
    </cfRule>
    <cfRule type="cellIs" dxfId="87" priority="43" operator="between">
      <formula>0.6</formula>
      <formula>0.749</formula>
    </cfRule>
    <cfRule type="cellIs" dxfId="86" priority="44" operator="between">
      <formula>0.41</formula>
      <formula>0.599</formula>
    </cfRule>
    <cfRule type="cellIs" dxfId="85" priority="45" operator="between">
      <formula>-1</formula>
      <formula>0.4</formula>
    </cfRule>
  </conditionalFormatting>
  <dataValidations count="2">
    <dataValidation type="textLength" operator="equal" allowBlank="1" showInputMessage="1" sqref="G31">
      <formula1>G29:G30="X"</formula1>
    </dataValidation>
    <dataValidation type="list" allowBlank="1" showInputMessage="1" showErrorMessage="1" sqref="G4:G7 G9:G12 G32:G33 G55:G56">
      <formula1>$E$4:$E$5</formula1>
    </dataValidation>
  </dataValidations>
  <hyperlinks>
    <hyperlink ref="A93" r:id="rId1"/>
  </hyperlinks>
  <pageMargins left="0.7" right="0.7" top="0.75" bottom="0.75" header="0.3" footer="0.3"/>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9" tint="0.59999389629810485"/>
  </sheetPr>
  <dimension ref="A1:L218"/>
  <sheetViews>
    <sheetView showGridLines="0" topLeftCell="C1" zoomScaleNormal="100" workbookViewId="0">
      <selection activeCell="L174" sqref="L174"/>
    </sheetView>
  </sheetViews>
  <sheetFormatPr baseColWidth="10" defaultRowHeight="12" x14ac:dyDescent="0.2"/>
  <cols>
    <col min="1" max="1" width="19.7109375" style="123" customWidth="1"/>
    <col min="2" max="2" width="17" style="123" customWidth="1"/>
    <col min="3" max="3" width="26.28515625" style="123" customWidth="1"/>
    <col min="4" max="4" width="15.5703125" style="123" customWidth="1"/>
    <col min="5" max="5" width="38.85546875" style="123" customWidth="1"/>
    <col min="6" max="6" width="17.85546875" style="123" customWidth="1"/>
    <col min="7" max="7" width="49.5703125" style="123" customWidth="1"/>
    <col min="8" max="8" width="16.85546875" style="123" customWidth="1"/>
    <col min="9" max="9" width="20.85546875" style="107" customWidth="1"/>
    <col min="10" max="10" width="42.5703125" style="123" customWidth="1"/>
    <col min="11" max="11" width="15.5703125" style="168" customWidth="1"/>
    <col min="12" max="12" width="60.140625" style="123" customWidth="1"/>
    <col min="13" max="16384" width="11.42578125" style="123"/>
  </cols>
  <sheetData>
    <row r="1" spans="1:12" ht="17.25" customHeight="1" x14ac:dyDescent="0.2">
      <c r="A1" s="1373" t="s">
        <v>1999</v>
      </c>
      <c r="B1" s="1374"/>
      <c r="C1" s="1374"/>
      <c r="D1" s="1374"/>
      <c r="E1" s="1374"/>
      <c r="F1" s="1374"/>
      <c r="G1" s="1374"/>
      <c r="H1" s="1374"/>
      <c r="I1" s="1374"/>
      <c r="J1" s="1374"/>
      <c r="K1" s="1374"/>
      <c r="L1" s="1374"/>
    </row>
    <row r="2" spans="1:12" ht="21" customHeight="1" x14ac:dyDescent="0.2">
      <c r="A2" s="1339" t="s">
        <v>2000</v>
      </c>
      <c r="B2" s="1339"/>
      <c r="C2" s="1339"/>
      <c r="D2" s="1339"/>
      <c r="E2" s="1339"/>
      <c r="F2" s="1339"/>
      <c r="G2" s="1339"/>
      <c r="H2" s="1339"/>
      <c r="I2" s="1339"/>
      <c r="J2" s="1339"/>
      <c r="K2" s="1339"/>
      <c r="L2" s="1339"/>
    </row>
    <row r="3" spans="1:12" ht="48.75" thickBot="1" x14ac:dyDescent="0.25">
      <c r="A3" s="141" t="s">
        <v>168</v>
      </c>
      <c r="B3" s="141" t="s">
        <v>169</v>
      </c>
      <c r="C3" s="140" t="s">
        <v>170</v>
      </c>
      <c r="D3" s="141" t="s">
        <v>171</v>
      </c>
      <c r="E3" s="144" t="s">
        <v>172</v>
      </c>
      <c r="F3" s="144" t="s">
        <v>1998</v>
      </c>
      <c r="G3" s="144" t="s">
        <v>76</v>
      </c>
      <c r="H3" s="144" t="s">
        <v>173</v>
      </c>
      <c r="I3" s="144" t="s">
        <v>78</v>
      </c>
      <c r="J3" s="144" t="s">
        <v>22</v>
      </c>
      <c r="K3" s="924" t="s">
        <v>764</v>
      </c>
      <c r="L3" s="141" t="s">
        <v>1907</v>
      </c>
    </row>
    <row r="4" spans="1:12" ht="36" x14ac:dyDescent="0.2">
      <c r="A4" s="1440" t="s">
        <v>174</v>
      </c>
      <c r="B4" s="1484">
        <v>0.16</v>
      </c>
      <c r="C4" s="1441" t="s">
        <v>175</v>
      </c>
      <c r="D4" s="1259">
        <v>0.2</v>
      </c>
      <c r="E4" s="1481" t="s">
        <v>176</v>
      </c>
      <c r="F4" s="281" t="s">
        <v>82</v>
      </c>
      <c r="G4" s="635" t="s">
        <v>177</v>
      </c>
      <c r="H4" s="887">
        <v>0.25</v>
      </c>
      <c r="I4" s="440" t="s">
        <v>2785</v>
      </c>
      <c r="J4" s="925"/>
      <c r="K4" s="809" t="str">
        <f>IFERROR(IF(I4="X","25%","0"),0)</f>
        <v>25%</v>
      </c>
      <c r="L4" s="289"/>
    </row>
    <row r="5" spans="1:12" ht="24" x14ac:dyDescent="0.2">
      <c r="A5" s="1440"/>
      <c r="B5" s="1484"/>
      <c r="C5" s="1441"/>
      <c r="D5" s="1259"/>
      <c r="E5" s="1482"/>
      <c r="F5" s="154" t="s">
        <v>84</v>
      </c>
      <c r="G5" s="805" t="s">
        <v>178</v>
      </c>
      <c r="H5" s="146">
        <v>0.25</v>
      </c>
      <c r="I5" s="163" t="s">
        <v>2785</v>
      </c>
      <c r="J5" s="171" t="s">
        <v>2442</v>
      </c>
      <c r="K5" s="810" t="str">
        <f t="shared" ref="K5:K6" si="0">IFERROR(IF(I5="X","25%","0"),0)</f>
        <v>25%</v>
      </c>
      <c r="L5" s="844"/>
    </row>
    <row r="6" spans="1:12" ht="28.5" customHeight="1" x14ac:dyDescent="0.2">
      <c r="A6" s="1440"/>
      <c r="B6" s="1484"/>
      <c r="C6" s="1441"/>
      <c r="D6" s="1259"/>
      <c r="E6" s="1482"/>
      <c r="F6" s="172" t="s">
        <v>86</v>
      </c>
      <c r="G6" s="630" t="s">
        <v>2008</v>
      </c>
      <c r="H6" s="146">
        <v>0.25</v>
      </c>
      <c r="I6" s="163" t="s">
        <v>2785</v>
      </c>
      <c r="J6" s="170"/>
      <c r="K6" s="810" t="str">
        <f t="shared" si="0"/>
        <v>25%</v>
      </c>
      <c r="L6" s="844"/>
    </row>
    <row r="7" spans="1:12" ht="12.75" thickBot="1" x14ac:dyDescent="0.25">
      <c r="A7" s="1440"/>
      <c r="B7" s="1484"/>
      <c r="C7" s="1441"/>
      <c r="D7" s="1259"/>
      <c r="E7" s="1483"/>
      <c r="F7" s="282" t="s">
        <v>87</v>
      </c>
      <c r="G7" s="636" t="s">
        <v>179</v>
      </c>
      <c r="H7" s="892">
        <v>0.25</v>
      </c>
      <c r="I7" s="439" t="s">
        <v>2785</v>
      </c>
      <c r="J7" s="926"/>
      <c r="K7" s="811" t="str">
        <f>IFERROR(IF(I7="X","25%","0"),0)</f>
        <v>25%</v>
      </c>
      <c r="L7" s="844" t="s">
        <v>2787</v>
      </c>
    </row>
    <row r="8" spans="1:12" ht="16.5" thickBot="1" x14ac:dyDescent="0.25">
      <c r="A8" s="1440"/>
      <c r="B8" s="1484"/>
      <c r="C8" s="1441"/>
      <c r="D8" s="1230"/>
      <c r="E8" s="1365" t="s">
        <v>180</v>
      </c>
      <c r="F8" s="1444"/>
      <c r="G8" s="1444"/>
      <c r="H8" s="1444"/>
      <c r="I8" s="1445"/>
      <c r="J8" s="802"/>
      <c r="K8" s="947">
        <f>K4+K5+K6+K7</f>
        <v>1</v>
      </c>
      <c r="L8" s="121"/>
    </row>
    <row r="9" spans="1:12" ht="15" customHeight="1" x14ac:dyDescent="0.2">
      <c r="A9" s="1440"/>
      <c r="B9" s="1484"/>
      <c r="C9" s="1441" t="s">
        <v>181</v>
      </c>
      <c r="D9" s="1259">
        <v>0.3</v>
      </c>
      <c r="E9" s="1481" t="s">
        <v>182</v>
      </c>
      <c r="F9" s="238" t="s">
        <v>82</v>
      </c>
      <c r="G9" s="635" t="s">
        <v>183</v>
      </c>
      <c r="H9" s="239">
        <v>0.34</v>
      </c>
      <c r="I9" s="240" t="s">
        <v>167</v>
      </c>
      <c r="J9" s="1422" t="s">
        <v>184</v>
      </c>
      <c r="K9" s="809">
        <f>IFERROR(IF(I9="X",34%,"0"),0)</f>
        <v>0.34</v>
      </c>
      <c r="L9" s="844"/>
    </row>
    <row r="10" spans="1:12" x14ac:dyDescent="0.2">
      <c r="A10" s="1440"/>
      <c r="B10" s="1484"/>
      <c r="C10" s="1441"/>
      <c r="D10" s="1259"/>
      <c r="E10" s="1482"/>
      <c r="F10" s="154" t="s">
        <v>84</v>
      </c>
      <c r="G10" s="805" t="s">
        <v>185</v>
      </c>
      <c r="H10" s="156">
        <v>0.33</v>
      </c>
      <c r="I10" s="164"/>
      <c r="J10" s="1446"/>
      <c r="K10" s="810" t="str">
        <f>IFERROR(IF(I10="X",33%,"0"),0)</f>
        <v>0</v>
      </c>
      <c r="L10" s="844"/>
    </row>
    <row r="11" spans="1:12" x14ac:dyDescent="0.2">
      <c r="A11" s="1440"/>
      <c r="B11" s="1484"/>
      <c r="C11" s="1441"/>
      <c r="D11" s="1259"/>
      <c r="E11" s="1482"/>
      <c r="F11" s="154" t="s">
        <v>86</v>
      </c>
      <c r="G11" s="805" t="s">
        <v>186</v>
      </c>
      <c r="H11" s="156">
        <v>0.33</v>
      </c>
      <c r="I11" s="164" t="s">
        <v>167</v>
      </c>
      <c r="J11" s="1446"/>
      <c r="K11" s="810">
        <f>IFERROR(IF(I11="X",33%,"0"),0)</f>
        <v>0.33</v>
      </c>
      <c r="L11" s="844"/>
    </row>
    <row r="12" spans="1:12" ht="12.75" thickBot="1" x14ac:dyDescent="0.25">
      <c r="A12" s="1440"/>
      <c r="B12" s="1484"/>
      <c r="C12" s="1441"/>
      <c r="D12" s="1259"/>
      <c r="E12" s="1483"/>
      <c r="F12" s="242" t="s">
        <v>87</v>
      </c>
      <c r="G12" s="637" t="s">
        <v>187</v>
      </c>
      <c r="H12" s="927">
        <v>0</v>
      </c>
      <c r="I12" s="244"/>
      <c r="J12" s="1423"/>
      <c r="K12" s="811" t="str">
        <f>IFERROR(IF(I12="X","0%","0"),0)</f>
        <v>0</v>
      </c>
      <c r="L12" s="844"/>
    </row>
    <row r="13" spans="1:12" ht="16.5" thickBot="1" x14ac:dyDescent="0.25">
      <c r="A13" s="1440"/>
      <c r="B13" s="1484"/>
      <c r="C13" s="1441"/>
      <c r="D13" s="1230"/>
      <c r="E13" s="1413" t="s">
        <v>188</v>
      </c>
      <c r="F13" s="1413"/>
      <c r="G13" s="1413"/>
      <c r="H13" s="1413"/>
      <c r="I13" s="1413"/>
      <c r="J13" s="802"/>
      <c r="K13" s="947">
        <f>SUM(K9:K12)</f>
        <v>0.67</v>
      </c>
      <c r="L13" s="1073"/>
    </row>
    <row r="14" spans="1:12" ht="22.5" customHeight="1" x14ac:dyDescent="0.2">
      <c r="A14" s="1440"/>
      <c r="B14" s="1484"/>
      <c r="C14" s="1485" t="s">
        <v>2781</v>
      </c>
      <c r="D14" s="1259">
        <v>0.2</v>
      </c>
      <c r="E14" s="1442" t="s">
        <v>189</v>
      </c>
      <c r="F14" s="906" t="s">
        <v>82</v>
      </c>
      <c r="G14" s="648" t="s">
        <v>190</v>
      </c>
      <c r="H14" s="928">
        <v>1</v>
      </c>
      <c r="I14" s="1424" t="s">
        <v>190</v>
      </c>
      <c r="J14" s="1422" t="s">
        <v>191</v>
      </c>
      <c r="K14" s="1385">
        <f>IFERROR(IF(I14="Existen y están implementados",100%,IF(I14="Existen pero no están implementados",50%,IF(I14="Están en proceso de construcción",25%,IF(I14="No existen",0%,0)))),0)</f>
        <v>1</v>
      </c>
      <c r="L14" s="844"/>
    </row>
    <row r="15" spans="1:12" ht="16.5" customHeight="1" x14ac:dyDescent="0.2">
      <c r="A15" s="1440"/>
      <c r="B15" s="1484"/>
      <c r="C15" s="1485"/>
      <c r="D15" s="1259"/>
      <c r="E15" s="1456"/>
      <c r="F15" s="155" t="s">
        <v>84</v>
      </c>
      <c r="G15" s="806" t="s">
        <v>192</v>
      </c>
      <c r="H15" s="152">
        <v>0.5</v>
      </c>
      <c r="I15" s="1425"/>
      <c r="J15" s="1446"/>
      <c r="K15" s="1406"/>
      <c r="L15" s="844"/>
    </row>
    <row r="16" spans="1:12" ht="14.25" customHeight="1" x14ac:dyDescent="0.2">
      <c r="A16" s="1440"/>
      <c r="B16" s="1484"/>
      <c r="C16" s="1485"/>
      <c r="D16" s="1259"/>
      <c r="E16" s="1456"/>
      <c r="F16" s="155" t="s">
        <v>86</v>
      </c>
      <c r="G16" s="806" t="s">
        <v>193</v>
      </c>
      <c r="H16" s="152">
        <v>0.25</v>
      </c>
      <c r="I16" s="1425"/>
      <c r="J16" s="1446"/>
      <c r="K16" s="1406"/>
      <c r="L16" s="844"/>
    </row>
    <row r="17" spans="1:12" ht="15.75" customHeight="1" thickBot="1" x14ac:dyDescent="0.25">
      <c r="A17" s="1440"/>
      <c r="B17" s="1484"/>
      <c r="C17" s="1485"/>
      <c r="D17" s="1259"/>
      <c r="E17" s="1443"/>
      <c r="F17" s="916" t="s">
        <v>87</v>
      </c>
      <c r="G17" s="929" t="s">
        <v>194</v>
      </c>
      <c r="H17" s="930">
        <v>0</v>
      </c>
      <c r="I17" s="1426"/>
      <c r="J17" s="1423"/>
      <c r="K17" s="1386"/>
      <c r="L17" s="844"/>
    </row>
    <row r="18" spans="1:12" ht="16.5" thickBot="1" x14ac:dyDescent="0.25">
      <c r="A18" s="1440"/>
      <c r="B18" s="1484"/>
      <c r="C18" s="1485"/>
      <c r="D18" s="1230"/>
      <c r="E18" s="1413" t="s">
        <v>195</v>
      </c>
      <c r="F18" s="1413"/>
      <c r="G18" s="1413"/>
      <c r="H18" s="1413"/>
      <c r="I18" s="1413"/>
      <c r="J18" s="802"/>
      <c r="K18" s="947">
        <f>K14</f>
        <v>1</v>
      </c>
      <c r="L18" s="121"/>
    </row>
    <row r="19" spans="1:12" ht="24" customHeight="1" x14ac:dyDescent="0.2">
      <c r="A19" s="1440"/>
      <c r="B19" s="1484"/>
      <c r="C19" s="1485" t="s">
        <v>196</v>
      </c>
      <c r="D19" s="1259">
        <v>0.3</v>
      </c>
      <c r="E19" s="1442" t="s">
        <v>197</v>
      </c>
      <c r="F19" s="906" t="s">
        <v>82</v>
      </c>
      <c r="G19" s="648" t="s">
        <v>388</v>
      </c>
      <c r="H19" s="928">
        <v>1</v>
      </c>
      <c r="I19" s="1403" t="s">
        <v>388</v>
      </c>
      <c r="J19" s="1422" t="s">
        <v>198</v>
      </c>
      <c r="K19" s="1385">
        <f>IFERROR(IF(I19="Si",100%,IF(I19="No",0%,0)),0)</f>
        <v>1</v>
      </c>
      <c r="L19" s="844" t="s">
        <v>2788</v>
      </c>
    </row>
    <row r="20" spans="1:12" ht="27.75" customHeight="1" thickBot="1" x14ac:dyDescent="0.25">
      <c r="A20" s="1440"/>
      <c r="B20" s="1484"/>
      <c r="C20" s="1485"/>
      <c r="D20" s="1259"/>
      <c r="E20" s="1443"/>
      <c r="F20" s="916" t="s">
        <v>84</v>
      </c>
      <c r="G20" s="649" t="s">
        <v>85</v>
      </c>
      <c r="H20" s="930">
        <v>0</v>
      </c>
      <c r="I20" s="1404"/>
      <c r="J20" s="1423"/>
      <c r="K20" s="1386"/>
      <c r="L20" s="844"/>
    </row>
    <row r="21" spans="1:12" ht="15.75" x14ac:dyDescent="0.2">
      <c r="A21" s="1440"/>
      <c r="B21" s="1484"/>
      <c r="C21" s="1485"/>
      <c r="D21" s="1230"/>
      <c r="E21" s="1366" t="s">
        <v>199</v>
      </c>
      <c r="F21" s="1366"/>
      <c r="G21" s="1366"/>
      <c r="H21" s="1366"/>
      <c r="I21" s="1366"/>
      <c r="J21" s="803"/>
      <c r="K21" s="948">
        <f>K19</f>
        <v>1</v>
      </c>
      <c r="L21" s="121"/>
    </row>
    <row r="22" spans="1:12" ht="16.5" thickBot="1" x14ac:dyDescent="0.25">
      <c r="A22" s="1440" t="s">
        <v>2007</v>
      </c>
      <c r="B22" s="1440"/>
      <c r="C22" s="1440"/>
      <c r="D22" s="1440"/>
      <c r="E22" s="1414"/>
      <c r="F22" s="1414"/>
      <c r="G22" s="1414"/>
      <c r="H22" s="1447" t="s">
        <v>200</v>
      </c>
      <c r="I22" s="1447"/>
      <c r="J22" s="1447"/>
      <c r="K22" s="949">
        <f>IF((K8*0.2)+(K13*0.3)+(K18*0.2)+(K21*0.3)&gt;1,1,(K8*0.2)+(K13*0.3)+(K18*0.2)+(K21*0.3))</f>
        <v>0.90100000000000002</v>
      </c>
      <c r="L22" s="121"/>
    </row>
    <row r="23" spans="1:12" ht="25.5" customHeight="1" x14ac:dyDescent="0.2">
      <c r="A23" s="1440" t="s">
        <v>201</v>
      </c>
      <c r="B23" s="1454">
        <v>0.16</v>
      </c>
      <c r="C23" s="1462" t="s">
        <v>202</v>
      </c>
      <c r="D23" s="1465">
        <v>0.2</v>
      </c>
      <c r="E23" s="1442" t="s">
        <v>90</v>
      </c>
      <c r="F23" s="931" t="s">
        <v>82</v>
      </c>
      <c r="G23" s="648" t="s">
        <v>2405</v>
      </c>
      <c r="H23" s="928">
        <v>1</v>
      </c>
      <c r="I23" s="1403" t="s">
        <v>388</v>
      </c>
      <c r="J23" s="1422" t="s">
        <v>203</v>
      </c>
      <c r="K23" s="1385">
        <f>IFERROR(IF(I23="Si",100%,IF(I23="No",0%,0)),0)</f>
        <v>1</v>
      </c>
      <c r="L23" s="844" t="s">
        <v>2789</v>
      </c>
    </row>
    <row r="24" spans="1:12" ht="26.25" customHeight="1" thickBot="1" x14ac:dyDescent="0.25">
      <c r="A24" s="1440"/>
      <c r="B24" s="1454"/>
      <c r="C24" s="1463"/>
      <c r="D24" s="1465"/>
      <c r="E24" s="1443"/>
      <c r="F24" s="916" t="s">
        <v>84</v>
      </c>
      <c r="G24" s="649" t="s">
        <v>85</v>
      </c>
      <c r="H24" s="930">
        <v>0</v>
      </c>
      <c r="I24" s="1404"/>
      <c r="J24" s="1423"/>
      <c r="K24" s="1386"/>
      <c r="L24" s="844"/>
    </row>
    <row r="25" spans="1:12" ht="22.5" customHeight="1" thickBot="1" x14ac:dyDescent="0.25">
      <c r="A25" s="1440"/>
      <c r="B25" s="1454"/>
      <c r="C25" s="1464"/>
      <c r="D25" s="1466"/>
      <c r="E25" s="1413" t="s">
        <v>204</v>
      </c>
      <c r="F25" s="1413"/>
      <c r="G25" s="1413"/>
      <c r="H25" s="1413"/>
      <c r="I25" s="1413"/>
      <c r="J25" s="802"/>
      <c r="K25" s="947">
        <f>K23</f>
        <v>1</v>
      </c>
      <c r="L25" s="977"/>
    </row>
    <row r="26" spans="1:12" ht="15" customHeight="1" x14ac:dyDescent="0.2">
      <c r="A26" s="1440"/>
      <c r="B26" s="1454"/>
      <c r="C26" s="1462" t="s">
        <v>205</v>
      </c>
      <c r="D26" s="1259">
        <v>0.3</v>
      </c>
      <c r="E26" s="1448" t="s">
        <v>1397</v>
      </c>
      <c r="F26" s="231" t="s">
        <v>82</v>
      </c>
      <c r="G26" s="632" t="s">
        <v>206</v>
      </c>
      <c r="H26" s="236">
        <f>(100/66)*100 %</f>
        <v>1.5151515151515151</v>
      </c>
      <c r="I26" s="246" t="s">
        <v>167</v>
      </c>
      <c r="J26" s="252"/>
      <c r="K26" s="249">
        <f>IFERROR(IF(I26="X",0.0152,"0"),0)</f>
        <v>1.52E-2</v>
      </c>
      <c r="L26" s="978" t="s">
        <v>2788</v>
      </c>
    </row>
    <row r="27" spans="1:12" ht="24" x14ac:dyDescent="0.2">
      <c r="A27" s="1440"/>
      <c r="B27" s="1454"/>
      <c r="C27" s="1463"/>
      <c r="D27" s="1259"/>
      <c r="E27" s="1449"/>
      <c r="F27" s="233" t="s">
        <v>84</v>
      </c>
      <c r="G27" s="633" t="s">
        <v>208</v>
      </c>
      <c r="H27" s="224">
        <f t="shared" ref="H27:H58" si="1">100/66</f>
        <v>1.5151515151515151</v>
      </c>
      <c r="I27" s="247" t="s">
        <v>167</v>
      </c>
      <c r="J27" s="253"/>
      <c r="K27" s="250">
        <f t="shared" ref="K27:K90" si="2">IFERROR(IF(I27="X",0.0152,"0"),0)</f>
        <v>1.52E-2</v>
      </c>
      <c r="L27" s="979" t="s">
        <v>2790</v>
      </c>
    </row>
    <row r="28" spans="1:12" x14ac:dyDescent="0.2">
      <c r="A28" s="1440"/>
      <c r="B28" s="1454"/>
      <c r="C28" s="1463"/>
      <c r="D28" s="1259"/>
      <c r="E28" s="1449"/>
      <c r="F28" s="233" t="s">
        <v>86</v>
      </c>
      <c r="G28" s="633" t="s">
        <v>209</v>
      </c>
      <c r="H28" s="224">
        <f t="shared" si="1"/>
        <v>1.5151515151515151</v>
      </c>
      <c r="I28" s="247" t="s">
        <v>167</v>
      </c>
      <c r="J28" s="253"/>
      <c r="K28" s="250">
        <f t="shared" si="2"/>
        <v>1.52E-2</v>
      </c>
      <c r="L28" s="979" t="s">
        <v>2791</v>
      </c>
    </row>
    <row r="29" spans="1:12" ht="24" x14ac:dyDescent="0.2">
      <c r="A29" s="1440"/>
      <c r="B29" s="1454"/>
      <c r="C29" s="1463"/>
      <c r="D29" s="1259"/>
      <c r="E29" s="1449"/>
      <c r="F29" s="233" t="s">
        <v>87</v>
      </c>
      <c r="G29" s="633" t="s">
        <v>210</v>
      </c>
      <c r="H29" s="224">
        <f t="shared" si="1"/>
        <v>1.5151515151515151</v>
      </c>
      <c r="I29" s="247" t="s">
        <v>167</v>
      </c>
      <c r="J29" s="253"/>
      <c r="K29" s="250">
        <f t="shared" si="2"/>
        <v>1.52E-2</v>
      </c>
      <c r="L29" s="979"/>
    </row>
    <row r="30" spans="1:12" ht="24" x14ac:dyDescent="0.2">
      <c r="A30" s="1440"/>
      <c r="B30" s="1454"/>
      <c r="C30" s="1463"/>
      <c r="D30" s="1259"/>
      <c r="E30" s="1449"/>
      <c r="F30" s="233" t="s">
        <v>95</v>
      </c>
      <c r="G30" s="633" t="s">
        <v>211</v>
      </c>
      <c r="H30" s="224">
        <f t="shared" si="1"/>
        <v>1.5151515151515151</v>
      </c>
      <c r="I30" s="247"/>
      <c r="J30" s="253"/>
      <c r="K30" s="250" t="str">
        <f t="shared" si="2"/>
        <v>0</v>
      </c>
      <c r="L30" s="979"/>
    </row>
    <row r="31" spans="1:12" x14ac:dyDescent="0.2">
      <c r="A31" s="1440"/>
      <c r="B31" s="1454"/>
      <c r="C31" s="1463"/>
      <c r="D31" s="1259"/>
      <c r="E31" s="1449"/>
      <c r="F31" s="233" t="s">
        <v>97</v>
      </c>
      <c r="G31" s="633" t="s">
        <v>212</v>
      </c>
      <c r="H31" s="224">
        <f t="shared" si="1"/>
        <v>1.5151515151515151</v>
      </c>
      <c r="I31" s="247" t="s">
        <v>167</v>
      </c>
      <c r="J31" s="253"/>
      <c r="K31" s="250">
        <f t="shared" si="2"/>
        <v>1.52E-2</v>
      </c>
      <c r="L31" s="979" t="s">
        <v>2792</v>
      </c>
    </row>
    <row r="32" spans="1:12" ht="24" x14ac:dyDescent="0.2">
      <c r="A32" s="1440"/>
      <c r="B32" s="1454"/>
      <c r="C32" s="1463"/>
      <c r="D32" s="1259"/>
      <c r="E32" s="1449"/>
      <c r="F32" s="233" t="s">
        <v>99</v>
      </c>
      <c r="G32" s="633" t="s">
        <v>213</v>
      </c>
      <c r="H32" s="224">
        <f t="shared" si="1"/>
        <v>1.5151515151515151</v>
      </c>
      <c r="I32" s="247" t="s">
        <v>167</v>
      </c>
      <c r="J32" s="253"/>
      <c r="K32" s="250">
        <f t="shared" si="2"/>
        <v>1.52E-2</v>
      </c>
      <c r="L32" s="979"/>
    </row>
    <row r="33" spans="1:12" x14ac:dyDescent="0.2">
      <c r="A33" s="1440"/>
      <c r="B33" s="1454"/>
      <c r="C33" s="1463"/>
      <c r="D33" s="1259"/>
      <c r="E33" s="1449"/>
      <c r="F33" s="233" t="s">
        <v>101</v>
      </c>
      <c r="G33" s="633" t="s">
        <v>214</v>
      </c>
      <c r="H33" s="224">
        <f t="shared" si="1"/>
        <v>1.5151515151515151</v>
      </c>
      <c r="I33" s="247" t="s">
        <v>167</v>
      </c>
      <c r="J33" s="253"/>
      <c r="K33" s="250">
        <f t="shared" si="2"/>
        <v>1.52E-2</v>
      </c>
      <c r="L33" s="979"/>
    </row>
    <row r="34" spans="1:12" x14ac:dyDescent="0.2">
      <c r="A34" s="1440"/>
      <c r="B34" s="1454"/>
      <c r="C34" s="1463"/>
      <c r="D34" s="1259"/>
      <c r="E34" s="1449"/>
      <c r="F34" s="233" t="s">
        <v>103</v>
      </c>
      <c r="G34" s="633" t="s">
        <v>215</v>
      </c>
      <c r="H34" s="224">
        <f t="shared" si="1"/>
        <v>1.5151515151515151</v>
      </c>
      <c r="I34" s="247" t="s">
        <v>167</v>
      </c>
      <c r="J34" s="253"/>
      <c r="K34" s="250">
        <f t="shared" si="2"/>
        <v>1.52E-2</v>
      </c>
      <c r="L34" s="979" t="s">
        <v>2793</v>
      </c>
    </row>
    <row r="35" spans="1:12" x14ac:dyDescent="0.2">
      <c r="A35" s="1440"/>
      <c r="B35" s="1454"/>
      <c r="C35" s="1463"/>
      <c r="D35" s="1259"/>
      <c r="E35" s="1449"/>
      <c r="F35" s="233" t="s">
        <v>151</v>
      </c>
      <c r="G35" s="633" t="s">
        <v>216</v>
      </c>
      <c r="H35" s="224">
        <f t="shared" si="1"/>
        <v>1.5151515151515151</v>
      </c>
      <c r="I35" s="247" t="s">
        <v>167</v>
      </c>
      <c r="J35" s="253"/>
      <c r="K35" s="250">
        <f t="shared" si="2"/>
        <v>1.52E-2</v>
      </c>
      <c r="L35" s="979" t="s">
        <v>2793</v>
      </c>
    </row>
    <row r="36" spans="1:12" ht="12.75" thickBot="1" x14ac:dyDescent="0.25">
      <c r="A36" s="1440"/>
      <c r="B36" s="1454"/>
      <c r="C36" s="1463"/>
      <c r="D36" s="1259"/>
      <c r="E36" s="1449"/>
      <c r="F36" s="234" t="s">
        <v>152</v>
      </c>
      <c r="G36" s="634" t="s">
        <v>217</v>
      </c>
      <c r="H36" s="235">
        <f t="shared" si="1"/>
        <v>1.5151515151515151</v>
      </c>
      <c r="I36" s="248" t="s">
        <v>167</v>
      </c>
      <c r="J36" s="253"/>
      <c r="K36" s="251">
        <f t="shared" si="2"/>
        <v>1.52E-2</v>
      </c>
      <c r="L36" s="980" t="s">
        <v>2794</v>
      </c>
    </row>
    <row r="37" spans="1:12" x14ac:dyDescent="0.2">
      <c r="A37" s="1440"/>
      <c r="B37" s="1454"/>
      <c r="C37" s="1463"/>
      <c r="D37" s="1259"/>
      <c r="E37" s="1449"/>
      <c r="F37" s="226" t="s">
        <v>218</v>
      </c>
      <c r="G37" s="635" t="s">
        <v>219</v>
      </c>
      <c r="H37" s="227">
        <f t="shared" si="1"/>
        <v>1.5151515151515151</v>
      </c>
      <c r="I37" s="246" t="s">
        <v>167</v>
      </c>
      <c r="J37" s="253"/>
      <c r="K37" s="249">
        <f t="shared" si="2"/>
        <v>1.52E-2</v>
      </c>
      <c r="L37" s="978" t="s">
        <v>2795</v>
      </c>
    </row>
    <row r="38" spans="1:12" x14ac:dyDescent="0.2">
      <c r="A38" s="1440"/>
      <c r="B38" s="1454"/>
      <c r="C38" s="1463"/>
      <c r="D38" s="1259"/>
      <c r="E38" s="1449"/>
      <c r="F38" s="228" t="s">
        <v>220</v>
      </c>
      <c r="G38" s="626" t="s">
        <v>221</v>
      </c>
      <c r="H38" s="174">
        <f t="shared" si="1"/>
        <v>1.5151515151515151</v>
      </c>
      <c r="I38" s="247"/>
      <c r="J38" s="253"/>
      <c r="K38" s="250" t="str">
        <f t="shared" si="2"/>
        <v>0</v>
      </c>
      <c r="L38" s="979"/>
    </row>
    <row r="39" spans="1:12" ht="24" x14ac:dyDescent="0.2">
      <c r="A39" s="1440"/>
      <c r="B39" s="1454"/>
      <c r="C39" s="1463"/>
      <c r="D39" s="1259"/>
      <c r="E39" s="1449"/>
      <c r="F39" s="228" t="s">
        <v>222</v>
      </c>
      <c r="G39" s="626" t="s">
        <v>223</v>
      </c>
      <c r="H39" s="174">
        <f t="shared" si="1"/>
        <v>1.5151515151515151</v>
      </c>
      <c r="I39" s="247" t="s">
        <v>167</v>
      </c>
      <c r="J39" s="253"/>
      <c r="K39" s="250">
        <f t="shared" si="2"/>
        <v>1.52E-2</v>
      </c>
      <c r="L39" s="979" t="s">
        <v>2827</v>
      </c>
    </row>
    <row r="40" spans="1:12" x14ac:dyDescent="0.2">
      <c r="A40" s="1440"/>
      <c r="B40" s="1454"/>
      <c r="C40" s="1463"/>
      <c r="D40" s="1259"/>
      <c r="E40" s="1449"/>
      <c r="F40" s="228" t="s">
        <v>224</v>
      </c>
      <c r="G40" s="626" t="s">
        <v>225</v>
      </c>
      <c r="H40" s="174">
        <f t="shared" si="1"/>
        <v>1.5151515151515151</v>
      </c>
      <c r="I40" s="247" t="s">
        <v>167</v>
      </c>
      <c r="J40" s="253"/>
      <c r="K40" s="250">
        <f t="shared" si="2"/>
        <v>1.52E-2</v>
      </c>
      <c r="L40" s="979" t="s">
        <v>2796</v>
      </c>
    </row>
    <row r="41" spans="1:12" x14ac:dyDescent="0.2">
      <c r="A41" s="1440"/>
      <c r="B41" s="1454"/>
      <c r="C41" s="1463"/>
      <c r="D41" s="1259"/>
      <c r="E41" s="1449"/>
      <c r="F41" s="228" t="s">
        <v>226</v>
      </c>
      <c r="G41" s="626" t="s">
        <v>227</v>
      </c>
      <c r="H41" s="174">
        <f t="shared" si="1"/>
        <v>1.5151515151515151</v>
      </c>
      <c r="I41" s="247" t="s">
        <v>167</v>
      </c>
      <c r="J41" s="253"/>
      <c r="K41" s="250">
        <f t="shared" si="2"/>
        <v>1.52E-2</v>
      </c>
      <c r="L41" s="979" t="s">
        <v>2797</v>
      </c>
    </row>
    <row r="42" spans="1:12" x14ac:dyDescent="0.2">
      <c r="A42" s="1440"/>
      <c r="B42" s="1454"/>
      <c r="C42" s="1463"/>
      <c r="D42" s="1259"/>
      <c r="E42" s="1449"/>
      <c r="F42" s="228" t="s">
        <v>228</v>
      </c>
      <c r="G42" s="626" t="s">
        <v>229</v>
      </c>
      <c r="H42" s="174">
        <f t="shared" si="1"/>
        <v>1.5151515151515151</v>
      </c>
      <c r="I42" s="247" t="s">
        <v>167</v>
      </c>
      <c r="J42" s="253"/>
      <c r="K42" s="250">
        <f t="shared" si="2"/>
        <v>1.52E-2</v>
      </c>
      <c r="L42" s="979" t="s">
        <v>2798</v>
      </c>
    </row>
    <row r="43" spans="1:12" x14ac:dyDescent="0.2">
      <c r="A43" s="1440"/>
      <c r="B43" s="1454"/>
      <c r="C43" s="1463"/>
      <c r="D43" s="1259"/>
      <c r="E43" s="1449"/>
      <c r="F43" s="228" t="s">
        <v>230</v>
      </c>
      <c r="G43" s="626" t="s">
        <v>231</v>
      </c>
      <c r="H43" s="174">
        <f t="shared" si="1"/>
        <v>1.5151515151515151</v>
      </c>
      <c r="I43" s="247" t="s">
        <v>167</v>
      </c>
      <c r="J43" s="253"/>
      <c r="K43" s="250">
        <f t="shared" si="2"/>
        <v>1.52E-2</v>
      </c>
      <c r="L43" s="979" t="s">
        <v>2799</v>
      </c>
    </row>
    <row r="44" spans="1:12" x14ac:dyDescent="0.2">
      <c r="A44" s="1440"/>
      <c r="B44" s="1454"/>
      <c r="C44" s="1463"/>
      <c r="D44" s="1259"/>
      <c r="E44" s="1449"/>
      <c r="F44" s="228" t="s">
        <v>232</v>
      </c>
      <c r="G44" s="626" t="s">
        <v>233</v>
      </c>
      <c r="H44" s="174">
        <f t="shared" si="1"/>
        <v>1.5151515151515151</v>
      </c>
      <c r="I44" s="247" t="s">
        <v>167</v>
      </c>
      <c r="J44" s="253"/>
      <c r="K44" s="250">
        <f t="shared" si="2"/>
        <v>1.52E-2</v>
      </c>
      <c r="L44" s="979"/>
    </row>
    <row r="45" spans="1:12" ht="24" x14ac:dyDescent="0.2">
      <c r="A45" s="1440"/>
      <c r="B45" s="1454"/>
      <c r="C45" s="1463"/>
      <c r="D45" s="1259"/>
      <c r="E45" s="1449"/>
      <c r="F45" s="228" t="s">
        <v>234</v>
      </c>
      <c r="G45" s="626" t="s">
        <v>235</v>
      </c>
      <c r="H45" s="174">
        <f t="shared" si="1"/>
        <v>1.5151515151515151</v>
      </c>
      <c r="I45" s="247" t="s">
        <v>167</v>
      </c>
      <c r="J45" s="253"/>
      <c r="K45" s="250">
        <f t="shared" si="2"/>
        <v>1.52E-2</v>
      </c>
      <c r="L45" s="979" t="s">
        <v>2826</v>
      </c>
    </row>
    <row r="46" spans="1:12" x14ac:dyDescent="0.2">
      <c r="A46" s="1440"/>
      <c r="B46" s="1454"/>
      <c r="C46" s="1463"/>
      <c r="D46" s="1259"/>
      <c r="E46" s="1449"/>
      <c r="F46" s="228" t="s">
        <v>236</v>
      </c>
      <c r="G46" s="626" t="s">
        <v>237</v>
      </c>
      <c r="H46" s="174">
        <f t="shared" si="1"/>
        <v>1.5151515151515151</v>
      </c>
      <c r="I46" s="247" t="s">
        <v>167</v>
      </c>
      <c r="J46" s="254" t="s">
        <v>207</v>
      </c>
      <c r="K46" s="250">
        <f t="shared" si="2"/>
        <v>1.52E-2</v>
      </c>
      <c r="L46" s="979" t="s">
        <v>2827</v>
      </c>
    </row>
    <row r="47" spans="1:12" ht="24.75" thickBot="1" x14ac:dyDescent="0.25">
      <c r="A47" s="1440"/>
      <c r="B47" s="1454"/>
      <c r="C47" s="1463"/>
      <c r="D47" s="1259"/>
      <c r="E47" s="1449"/>
      <c r="F47" s="229" t="s">
        <v>238</v>
      </c>
      <c r="G47" s="636" t="s">
        <v>239</v>
      </c>
      <c r="H47" s="230">
        <f t="shared" si="1"/>
        <v>1.5151515151515151</v>
      </c>
      <c r="I47" s="248" t="s">
        <v>167</v>
      </c>
      <c r="J47" s="253"/>
      <c r="K47" s="251">
        <f t="shared" si="2"/>
        <v>1.52E-2</v>
      </c>
      <c r="L47" s="980" t="s">
        <v>2827</v>
      </c>
    </row>
    <row r="48" spans="1:12" x14ac:dyDescent="0.2">
      <c r="A48" s="1440"/>
      <c r="B48" s="1454"/>
      <c r="C48" s="1463"/>
      <c r="D48" s="1259"/>
      <c r="E48" s="1449"/>
      <c r="F48" s="231" t="s">
        <v>240</v>
      </c>
      <c r="G48" s="632" t="s">
        <v>241</v>
      </c>
      <c r="H48" s="232">
        <f t="shared" si="1"/>
        <v>1.5151515151515151</v>
      </c>
      <c r="I48" s="246" t="s">
        <v>2785</v>
      </c>
      <c r="J48" s="253"/>
      <c r="K48" s="249">
        <f t="shared" si="2"/>
        <v>1.52E-2</v>
      </c>
      <c r="L48" s="978" t="s">
        <v>2800</v>
      </c>
    </row>
    <row r="49" spans="1:12" x14ac:dyDescent="0.2">
      <c r="A49" s="1440"/>
      <c r="B49" s="1454"/>
      <c r="C49" s="1463"/>
      <c r="D49" s="1259"/>
      <c r="E49" s="1449"/>
      <c r="F49" s="233" t="s">
        <v>167</v>
      </c>
      <c r="G49" s="633" t="s">
        <v>242</v>
      </c>
      <c r="H49" s="224">
        <f t="shared" si="1"/>
        <v>1.5151515151515151</v>
      </c>
      <c r="I49" s="247" t="s">
        <v>167</v>
      </c>
      <c r="J49" s="253"/>
      <c r="K49" s="250">
        <f t="shared" si="2"/>
        <v>1.52E-2</v>
      </c>
      <c r="L49" s="979" t="s">
        <v>2802</v>
      </c>
    </row>
    <row r="50" spans="1:12" ht="24" x14ac:dyDescent="0.2">
      <c r="A50" s="1440"/>
      <c r="B50" s="1454"/>
      <c r="C50" s="1463"/>
      <c r="D50" s="1259"/>
      <c r="E50" s="1449"/>
      <c r="F50" s="233" t="s">
        <v>243</v>
      </c>
      <c r="G50" s="633" t="s">
        <v>244</v>
      </c>
      <c r="H50" s="224">
        <f t="shared" si="1"/>
        <v>1.5151515151515151</v>
      </c>
      <c r="I50" s="247" t="s">
        <v>2785</v>
      </c>
      <c r="J50" s="253"/>
      <c r="K50" s="250">
        <f t="shared" si="2"/>
        <v>1.52E-2</v>
      </c>
      <c r="L50" s="979" t="s">
        <v>2801</v>
      </c>
    </row>
    <row r="51" spans="1:12" ht="24" x14ac:dyDescent="0.2">
      <c r="A51" s="1440"/>
      <c r="B51" s="1454"/>
      <c r="C51" s="1463"/>
      <c r="D51" s="1259"/>
      <c r="E51" s="1449"/>
      <c r="F51" s="233" t="s">
        <v>245</v>
      </c>
      <c r="G51" s="633" t="s">
        <v>1918</v>
      </c>
      <c r="H51" s="224">
        <f t="shared" si="1"/>
        <v>1.5151515151515151</v>
      </c>
      <c r="I51" s="247"/>
      <c r="J51" s="253"/>
      <c r="K51" s="250" t="str">
        <f t="shared" si="2"/>
        <v>0</v>
      </c>
      <c r="L51" s="979"/>
    </row>
    <row r="52" spans="1:12" x14ac:dyDescent="0.2">
      <c r="A52" s="1440"/>
      <c r="B52" s="1454"/>
      <c r="C52" s="1463"/>
      <c r="D52" s="1259"/>
      <c r="E52" s="1449"/>
      <c r="F52" s="233" t="s">
        <v>246</v>
      </c>
      <c r="G52" s="633" t="s">
        <v>247</v>
      </c>
      <c r="H52" s="224">
        <f t="shared" si="1"/>
        <v>1.5151515151515151</v>
      </c>
      <c r="I52" s="247" t="s">
        <v>2785</v>
      </c>
      <c r="J52" s="253"/>
      <c r="K52" s="250">
        <f t="shared" si="2"/>
        <v>1.52E-2</v>
      </c>
      <c r="L52" s="979" t="s">
        <v>2802</v>
      </c>
    </row>
    <row r="53" spans="1:12" ht="24" x14ac:dyDescent="0.2">
      <c r="A53" s="1440"/>
      <c r="B53" s="1454"/>
      <c r="C53" s="1463"/>
      <c r="D53" s="1259"/>
      <c r="E53" s="1449"/>
      <c r="F53" s="233" t="s">
        <v>248</v>
      </c>
      <c r="G53" s="633" t="s">
        <v>249</v>
      </c>
      <c r="H53" s="224">
        <f t="shared" si="1"/>
        <v>1.5151515151515151</v>
      </c>
      <c r="I53" s="247" t="s">
        <v>2785</v>
      </c>
      <c r="J53" s="253"/>
      <c r="K53" s="250">
        <f t="shared" si="2"/>
        <v>1.52E-2</v>
      </c>
      <c r="L53" s="979" t="s">
        <v>2803</v>
      </c>
    </row>
    <row r="54" spans="1:12" x14ac:dyDescent="0.2">
      <c r="A54" s="1440"/>
      <c r="B54" s="1454"/>
      <c r="C54" s="1463"/>
      <c r="D54" s="1259"/>
      <c r="E54" s="1449"/>
      <c r="F54" s="233" t="s">
        <v>250</v>
      </c>
      <c r="G54" s="633" t="s">
        <v>251</v>
      </c>
      <c r="H54" s="224">
        <f t="shared" si="1"/>
        <v>1.5151515151515151</v>
      </c>
      <c r="I54" s="247" t="s">
        <v>2785</v>
      </c>
      <c r="J54" s="253"/>
      <c r="K54" s="250">
        <f t="shared" si="2"/>
        <v>1.52E-2</v>
      </c>
      <c r="L54" s="979" t="s">
        <v>2804</v>
      </c>
    </row>
    <row r="55" spans="1:12" x14ac:dyDescent="0.2">
      <c r="A55" s="1440"/>
      <c r="B55" s="1454"/>
      <c r="C55" s="1463"/>
      <c r="D55" s="1259"/>
      <c r="E55" s="1449"/>
      <c r="F55" s="233" t="s">
        <v>252</v>
      </c>
      <c r="G55" s="633" t="s">
        <v>253</v>
      </c>
      <c r="H55" s="224">
        <f t="shared" si="1"/>
        <v>1.5151515151515151</v>
      </c>
      <c r="I55" s="247"/>
      <c r="J55" s="253"/>
      <c r="K55" s="250" t="str">
        <f t="shared" si="2"/>
        <v>0</v>
      </c>
      <c r="L55" s="979"/>
    </row>
    <row r="56" spans="1:12" x14ac:dyDescent="0.2">
      <c r="A56" s="1440"/>
      <c r="B56" s="1454"/>
      <c r="C56" s="1463"/>
      <c r="D56" s="1259"/>
      <c r="E56" s="1449"/>
      <c r="F56" s="233" t="s">
        <v>254</v>
      </c>
      <c r="G56" s="633" t="s">
        <v>2718</v>
      </c>
      <c r="H56" s="224">
        <f t="shared" si="1"/>
        <v>1.5151515151515151</v>
      </c>
      <c r="I56" s="247" t="s">
        <v>2785</v>
      </c>
      <c r="J56" s="253"/>
      <c r="K56" s="250">
        <f t="shared" si="2"/>
        <v>1.52E-2</v>
      </c>
      <c r="L56" s="979" t="s">
        <v>2805</v>
      </c>
    </row>
    <row r="57" spans="1:12" x14ac:dyDescent="0.2">
      <c r="A57" s="1440"/>
      <c r="B57" s="1454"/>
      <c r="C57" s="1463"/>
      <c r="D57" s="1259"/>
      <c r="E57" s="1449"/>
      <c r="F57" s="233" t="s">
        <v>255</v>
      </c>
      <c r="G57" s="633" t="s">
        <v>256</v>
      </c>
      <c r="H57" s="224">
        <f t="shared" si="1"/>
        <v>1.5151515151515151</v>
      </c>
      <c r="I57" s="247" t="s">
        <v>2785</v>
      </c>
      <c r="J57" s="253"/>
      <c r="K57" s="250">
        <f t="shared" si="2"/>
        <v>1.52E-2</v>
      </c>
      <c r="L57" s="979" t="s">
        <v>2806</v>
      </c>
    </row>
    <row r="58" spans="1:12" ht="24.75" thickBot="1" x14ac:dyDescent="0.25">
      <c r="A58" s="1440"/>
      <c r="B58" s="1454"/>
      <c r="C58" s="1463"/>
      <c r="D58" s="1259"/>
      <c r="E58" s="1449"/>
      <c r="F58" s="234" t="s">
        <v>257</v>
      </c>
      <c r="G58" s="634" t="s">
        <v>258</v>
      </c>
      <c r="H58" s="235">
        <f t="shared" si="1"/>
        <v>1.5151515151515151</v>
      </c>
      <c r="I58" s="248"/>
      <c r="J58" s="253"/>
      <c r="K58" s="251" t="str">
        <f t="shared" si="2"/>
        <v>0</v>
      </c>
      <c r="L58" s="980"/>
    </row>
    <row r="59" spans="1:12" x14ac:dyDescent="0.2">
      <c r="A59" s="1440"/>
      <c r="B59" s="1454"/>
      <c r="C59" s="1463"/>
      <c r="D59" s="1259"/>
      <c r="E59" s="1449"/>
      <c r="F59" s="226" t="s">
        <v>259</v>
      </c>
      <c r="G59" s="635" t="s">
        <v>260</v>
      </c>
      <c r="H59" s="227">
        <f t="shared" ref="H59:H91" si="3">100/66</f>
        <v>1.5151515151515151</v>
      </c>
      <c r="I59" s="246" t="s">
        <v>2785</v>
      </c>
      <c r="J59" s="253"/>
      <c r="K59" s="249">
        <f t="shared" si="2"/>
        <v>1.52E-2</v>
      </c>
      <c r="L59" s="978" t="s">
        <v>2807</v>
      </c>
    </row>
    <row r="60" spans="1:12" x14ac:dyDescent="0.2">
      <c r="A60" s="1440"/>
      <c r="B60" s="1454"/>
      <c r="C60" s="1463"/>
      <c r="D60" s="1259"/>
      <c r="E60" s="1449"/>
      <c r="F60" s="228" t="s">
        <v>261</v>
      </c>
      <c r="G60" s="626" t="s">
        <v>1919</v>
      </c>
      <c r="H60" s="174">
        <f t="shared" si="3"/>
        <v>1.5151515151515151</v>
      </c>
      <c r="I60" s="247" t="s">
        <v>2785</v>
      </c>
      <c r="J60" s="253"/>
      <c r="K60" s="250">
        <f t="shared" si="2"/>
        <v>1.52E-2</v>
      </c>
      <c r="L60" s="979" t="s">
        <v>2808</v>
      </c>
    </row>
    <row r="61" spans="1:12" x14ac:dyDescent="0.2">
      <c r="A61" s="1440"/>
      <c r="B61" s="1454"/>
      <c r="C61" s="1463"/>
      <c r="D61" s="1259"/>
      <c r="E61" s="1449"/>
      <c r="F61" s="228" t="s">
        <v>262</v>
      </c>
      <c r="G61" s="626" t="s">
        <v>263</v>
      </c>
      <c r="H61" s="174">
        <f t="shared" si="3"/>
        <v>1.5151515151515151</v>
      </c>
      <c r="I61" s="247" t="s">
        <v>2785</v>
      </c>
      <c r="J61" s="253"/>
      <c r="K61" s="250">
        <f t="shared" si="2"/>
        <v>1.52E-2</v>
      </c>
      <c r="L61" s="979" t="s">
        <v>2809</v>
      </c>
    </row>
    <row r="62" spans="1:12" ht="24" x14ac:dyDescent="0.2">
      <c r="A62" s="1440"/>
      <c r="B62" s="1454"/>
      <c r="C62" s="1463"/>
      <c r="D62" s="1259"/>
      <c r="E62" s="1449"/>
      <c r="F62" s="228" t="s">
        <v>264</v>
      </c>
      <c r="G62" s="626" t="s">
        <v>265</v>
      </c>
      <c r="H62" s="174">
        <f t="shared" si="3"/>
        <v>1.5151515151515151</v>
      </c>
      <c r="I62" s="247" t="s">
        <v>2785</v>
      </c>
      <c r="J62" s="253"/>
      <c r="K62" s="250">
        <f t="shared" si="2"/>
        <v>1.52E-2</v>
      </c>
      <c r="L62" s="979" t="s">
        <v>2786</v>
      </c>
    </row>
    <row r="63" spans="1:12" x14ac:dyDescent="0.2">
      <c r="A63" s="1440"/>
      <c r="B63" s="1454"/>
      <c r="C63" s="1463"/>
      <c r="D63" s="1259"/>
      <c r="E63" s="1449"/>
      <c r="F63" s="228" t="s">
        <v>266</v>
      </c>
      <c r="G63" s="626" t="s">
        <v>267</v>
      </c>
      <c r="H63" s="174">
        <f t="shared" si="3"/>
        <v>1.5151515151515151</v>
      </c>
      <c r="I63" s="247"/>
      <c r="J63" s="253"/>
      <c r="K63" s="250" t="str">
        <f t="shared" si="2"/>
        <v>0</v>
      </c>
      <c r="L63" s="979"/>
    </row>
    <row r="64" spans="1:12" x14ac:dyDescent="0.2">
      <c r="A64" s="1440"/>
      <c r="B64" s="1454"/>
      <c r="C64" s="1463"/>
      <c r="D64" s="1259"/>
      <c r="E64" s="1449"/>
      <c r="F64" s="228" t="s">
        <v>268</v>
      </c>
      <c r="G64" s="626" t="s">
        <v>269</v>
      </c>
      <c r="H64" s="174">
        <f t="shared" si="3"/>
        <v>1.5151515151515151</v>
      </c>
      <c r="I64" s="247" t="s">
        <v>2785</v>
      </c>
      <c r="J64" s="253"/>
      <c r="K64" s="250">
        <f t="shared" si="2"/>
        <v>1.52E-2</v>
      </c>
      <c r="L64" s="979" t="s">
        <v>2810</v>
      </c>
    </row>
    <row r="65" spans="1:12" ht="24" x14ac:dyDescent="0.2">
      <c r="A65" s="1440"/>
      <c r="B65" s="1454"/>
      <c r="C65" s="1463"/>
      <c r="D65" s="1259"/>
      <c r="E65" s="1449"/>
      <c r="F65" s="228" t="s">
        <v>270</v>
      </c>
      <c r="G65" s="626" t="s">
        <v>271</v>
      </c>
      <c r="H65" s="174">
        <f t="shared" si="3"/>
        <v>1.5151515151515151</v>
      </c>
      <c r="I65" s="247" t="s">
        <v>2785</v>
      </c>
      <c r="J65" s="253"/>
      <c r="K65" s="250">
        <f t="shared" si="2"/>
        <v>1.52E-2</v>
      </c>
      <c r="L65" s="979" t="s">
        <v>2811</v>
      </c>
    </row>
    <row r="66" spans="1:12" ht="24" x14ac:dyDescent="0.2">
      <c r="A66" s="1440"/>
      <c r="B66" s="1454"/>
      <c r="C66" s="1463"/>
      <c r="D66" s="1259"/>
      <c r="E66" s="1449"/>
      <c r="F66" s="228" t="s">
        <v>272</v>
      </c>
      <c r="G66" s="626" t="s">
        <v>273</v>
      </c>
      <c r="H66" s="174">
        <f t="shared" si="3"/>
        <v>1.5151515151515151</v>
      </c>
      <c r="I66" s="247"/>
      <c r="J66" s="253"/>
      <c r="K66" s="250" t="str">
        <f t="shared" si="2"/>
        <v>0</v>
      </c>
      <c r="L66" s="979"/>
    </row>
    <row r="67" spans="1:12" x14ac:dyDescent="0.2">
      <c r="A67" s="1440"/>
      <c r="B67" s="1454"/>
      <c r="C67" s="1463"/>
      <c r="D67" s="1259"/>
      <c r="E67" s="1449"/>
      <c r="F67" s="228" t="s">
        <v>274</v>
      </c>
      <c r="G67" s="626" t="s">
        <v>275</v>
      </c>
      <c r="H67" s="174">
        <f t="shared" si="3"/>
        <v>1.5151515151515151</v>
      </c>
      <c r="I67" s="247"/>
      <c r="J67" s="253"/>
      <c r="K67" s="250" t="str">
        <f t="shared" si="2"/>
        <v>0</v>
      </c>
      <c r="L67" s="979"/>
    </row>
    <row r="68" spans="1:12" x14ac:dyDescent="0.2">
      <c r="A68" s="1440"/>
      <c r="B68" s="1454"/>
      <c r="C68" s="1463"/>
      <c r="D68" s="1259"/>
      <c r="E68" s="1449"/>
      <c r="F68" s="228" t="s">
        <v>276</v>
      </c>
      <c r="G68" s="626" t="s">
        <v>277</v>
      </c>
      <c r="H68" s="174">
        <f t="shared" si="3"/>
        <v>1.5151515151515151</v>
      </c>
      <c r="I68" s="247" t="s">
        <v>167</v>
      </c>
      <c r="J68" s="253"/>
      <c r="K68" s="250">
        <f t="shared" si="2"/>
        <v>1.52E-2</v>
      </c>
      <c r="L68" s="979" t="s">
        <v>2812</v>
      </c>
    </row>
    <row r="69" spans="1:12" ht="12.75" thickBot="1" x14ac:dyDescent="0.25">
      <c r="A69" s="1440"/>
      <c r="B69" s="1454"/>
      <c r="C69" s="1463"/>
      <c r="D69" s="1259"/>
      <c r="E69" s="1449"/>
      <c r="F69" s="229" t="s">
        <v>278</v>
      </c>
      <c r="G69" s="636" t="s">
        <v>279</v>
      </c>
      <c r="H69" s="230">
        <f t="shared" si="3"/>
        <v>1.5151515151515151</v>
      </c>
      <c r="I69" s="248" t="s">
        <v>167</v>
      </c>
      <c r="J69" s="253"/>
      <c r="K69" s="251">
        <f t="shared" si="2"/>
        <v>1.52E-2</v>
      </c>
      <c r="L69" s="980" t="s">
        <v>2813</v>
      </c>
    </row>
    <row r="70" spans="1:12" x14ac:dyDescent="0.2">
      <c r="A70" s="1440"/>
      <c r="B70" s="1454"/>
      <c r="C70" s="1463"/>
      <c r="D70" s="1259"/>
      <c r="E70" s="1449"/>
      <c r="F70" s="231" t="s">
        <v>280</v>
      </c>
      <c r="G70" s="632" t="s">
        <v>281</v>
      </c>
      <c r="H70" s="232">
        <f t="shared" si="3"/>
        <v>1.5151515151515151</v>
      </c>
      <c r="I70" s="246" t="s">
        <v>167</v>
      </c>
      <c r="J70" s="253"/>
      <c r="K70" s="249">
        <f t="shared" si="2"/>
        <v>1.52E-2</v>
      </c>
      <c r="L70" s="978" t="s">
        <v>2814</v>
      </c>
    </row>
    <row r="71" spans="1:12" ht="24" x14ac:dyDescent="0.2">
      <c r="A71" s="1440"/>
      <c r="B71" s="1454"/>
      <c r="C71" s="1463"/>
      <c r="D71" s="1259"/>
      <c r="E71" s="1449"/>
      <c r="F71" s="233" t="s">
        <v>282</v>
      </c>
      <c r="G71" s="633" t="s">
        <v>283</v>
      </c>
      <c r="H71" s="224">
        <f t="shared" si="3"/>
        <v>1.5151515151515151</v>
      </c>
      <c r="I71" s="247" t="s">
        <v>167</v>
      </c>
      <c r="J71" s="253"/>
      <c r="K71" s="250">
        <f t="shared" si="2"/>
        <v>1.52E-2</v>
      </c>
      <c r="L71" s="979" t="s">
        <v>2786</v>
      </c>
    </row>
    <row r="72" spans="1:12" ht="24" x14ac:dyDescent="0.2">
      <c r="A72" s="1440"/>
      <c r="B72" s="1454"/>
      <c r="C72" s="1463"/>
      <c r="D72" s="1259"/>
      <c r="E72" s="1449"/>
      <c r="F72" s="233" t="s">
        <v>284</v>
      </c>
      <c r="G72" s="633" t="s">
        <v>285</v>
      </c>
      <c r="H72" s="224">
        <f t="shared" si="3"/>
        <v>1.5151515151515151</v>
      </c>
      <c r="I72" s="247" t="s">
        <v>167</v>
      </c>
      <c r="J72" s="253"/>
      <c r="K72" s="250">
        <f t="shared" si="2"/>
        <v>1.52E-2</v>
      </c>
      <c r="L72" s="979" t="s">
        <v>2815</v>
      </c>
    </row>
    <row r="73" spans="1:12" ht="24" x14ac:dyDescent="0.2">
      <c r="A73" s="1440"/>
      <c r="B73" s="1454"/>
      <c r="C73" s="1463"/>
      <c r="D73" s="1259"/>
      <c r="E73" s="1449"/>
      <c r="F73" s="233" t="s">
        <v>286</v>
      </c>
      <c r="G73" s="633" t="s">
        <v>287</v>
      </c>
      <c r="H73" s="224">
        <f t="shared" si="3"/>
        <v>1.5151515151515151</v>
      </c>
      <c r="I73" s="247" t="s">
        <v>167</v>
      </c>
      <c r="J73" s="253"/>
      <c r="K73" s="250">
        <f t="shared" si="2"/>
        <v>1.52E-2</v>
      </c>
      <c r="L73" s="979" t="s">
        <v>2816</v>
      </c>
    </row>
    <row r="74" spans="1:12" ht="24" x14ac:dyDescent="0.2">
      <c r="A74" s="1440"/>
      <c r="B74" s="1454"/>
      <c r="C74" s="1463"/>
      <c r="D74" s="1259"/>
      <c r="E74" s="1449"/>
      <c r="F74" s="233" t="s">
        <v>288</v>
      </c>
      <c r="G74" s="633" t="s">
        <v>289</v>
      </c>
      <c r="H74" s="224">
        <f t="shared" si="3"/>
        <v>1.5151515151515151</v>
      </c>
      <c r="I74" s="247" t="s">
        <v>167</v>
      </c>
      <c r="J74" s="253"/>
      <c r="K74" s="250">
        <f t="shared" si="2"/>
        <v>1.52E-2</v>
      </c>
      <c r="L74" s="979" t="s">
        <v>2813</v>
      </c>
    </row>
    <row r="75" spans="1:12" x14ac:dyDescent="0.2">
      <c r="A75" s="1440"/>
      <c r="B75" s="1454"/>
      <c r="C75" s="1463"/>
      <c r="D75" s="1259"/>
      <c r="E75" s="1449"/>
      <c r="F75" s="233" t="s">
        <v>290</v>
      </c>
      <c r="G75" s="633" t="s">
        <v>291</v>
      </c>
      <c r="H75" s="224">
        <f t="shared" si="3"/>
        <v>1.5151515151515151</v>
      </c>
      <c r="I75" s="247"/>
      <c r="J75" s="253"/>
      <c r="K75" s="250" t="str">
        <f t="shared" si="2"/>
        <v>0</v>
      </c>
      <c r="L75" s="979"/>
    </row>
    <row r="76" spans="1:12" ht="24" x14ac:dyDescent="0.2">
      <c r="A76" s="1440"/>
      <c r="B76" s="1454"/>
      <c r="C76" s="1463"/>
      <c r="D76" s="1259"/>
      <c r="E76" s="1449"/>
      <c r="F76" s="233" t="s">
        <v>292</v>
      </c>
      <c r="G76" s="633" t="s">
        <v>293</v>
      </c>
      <c r="H76" s="224">
        <f t="shared" si="3"/>
        <v>1.5151515151515151</v>
      </c>
      <c r="I76" s="247"/>
      <c r="J76" s="253"/>
      <c r="K76" s="250" t="str">
        <f t="shared" si="2"/>
        <v>0</v>
      </c>
      <c r="L76" s="979"/>
    </row>
    <row r="77" spans="1:12" ht="24" x14ac:dyDescent="0.2">
      <c r="A77" s="1440"/>
      <c r="B77" s="1454"/>
      <c r="C77" s="1463"/>
      <c r="D77" s="1259"/>
      <c r="E77" s="1449"/>
      <c r="F77" s="233" t="s">
        <v>294</v>
      </c>
      <c r="G77" s="633" t="s">
        <v>295</v>
      </c>
      <c r="H77" s="224">
        <f t="shared" si="3"/>
        <v>1.5151515151515151</v>
      </c>
      <c r="I77" s="247" t="s">
        <v>167</v>
      </c>
      <c r="J77" s="253"/>
      <c r="K77" s="250">
        <f t="shared" si="2"/>
        <v>1.52E-2</v>
      </c>
      <c r="L77" s="979" t="s">
        <v>2817</v>
      </c>
    </row>
    <row r="78" spans="1:12" x14ac:dyDescent="0.2">
      <c r="A78" s="1440"/>
      <c r="B78" s="1454"/>
      <c r="C78" s="1463"/>
      <c r="D78" s="1259"/>
      <c r="E78" s="1449"/>
      <c r="F78" s="233" t="s">
        <v>296</v>
      </c>
      <c r="G78" s="633" t="s">
        <v>297</v>
      </c>
      <c r="H78" s="224">
        <f t="shared" si="3"/>
        <v>1.5151515151515151</v>
      </c>
      <c r="I78" s="247" t="s">
        <v>167</v>
      </c>
      <c r="J78" s="253"/>
      <c r="K78" s="250">
        <f t="shared" si="2"/>
        <v>1.52E-2</v>
      </c>
      <c r="L78" s="979" t="s">
        <v>2818</v>
      </c>
    </row>
    <row r="79" spans="1:12" x14ac:dyDescent="0.2">
      <c r="A79" s="1440"/>
      <c r="B79" s="1454"/>
      <c r="C79" s="1463"/>
      <c r="D79" s="1259"/>
      <c r="E79" s="1449"/>
      <c r="F79" s="233" t="s">
        <v>298</v>
      </c>
      <c r="G79" s="633" t="s">
        <v>299</v>
      </c>
      <c r="H79" s="224">
        <f t="shared" si="3"/>
        <v>1.5151515151515151</v>
      </c>
      <c r="I79" s="247" t="s">
        <v>167</v>
      </c>
      <c r="J79" s="253"/>
      <c r="K79" s="250">
        <f t="shared" si="2"/>
        <v>1.52E-2</v>
      </c>
      <c r="L79" s="979"/>
    </row>
    <row r="80" spans="1:12" ht="36.75" thickBot="1" x14ac:dyDescent="0.25">
      <c r="A80" s="1440"/>
      <c r="B80" s="1454"/>
      <c r="C80" s="1463"/>
      <c r="D80" s="1259"/>
      <c r="E80" s="1449"/>
      <c r="F80" s="234" t="s">
        <v>300</v>
      </c>
      <c r="G80" s="634" t="s">
        <v>301</v>
      </c>
      <c r="H80" s="235">
        <f t="shared" si="3"/>
        <v>1.5151515151515151</v>
      </c>
      <c r="I80" s="248"/>
      <c r="J80" s="253"/>
      <c r="K80" s="251" t="str">
        <f t="shared" si="2"/>
        <v>0</v>
      </c>
      <c r="L80" s="980"/>
    </row>
    <row r="81" spans="1:12" x14ac:dyDescent="0.2">
      <c r="A81" s="1440"/>
      <c r="B81" s="1454"/>
      <c r="C81" s="1463"/>
      <c r="D81" s="1259"/>
      <c r="E81" s="1449"/>
      <c r="F81" s="226" t="s">
        <v>302</v>
      </c>
      <c r="G81" s="635" t="s">
        <v>303</v>
      </c>
      <c r="H81" s="227">
        <f t="shared" si="3"/>
        <v>1.5151515151515151</v>
      </c>
      <c r="I81" s="246"/>
      <c r="J81" s="253"/>
      <c r="K81" s="249" t="str">
        <f t="shared" si="2"/>
        <v>0</v>
      </c>
      <c r="L81" s="978"/>
    </row>
    <row r="82" spans="1:12" x14ac:dyDescent="0.2">
      <c r="A82" s="1440"/>
      <c r="B82" s="1454"/>
      <c r="C82" s="1463"/>
      <c r="D82" s="1259"/>
      <c r="E82" s="1449"/>
      <c r="F82" s="228" t="s">
        <v>304</v>
      </c>
      <c r="G82" s="626" t="s">
        <v>305</v>
      </c>
      <c r="H82" s="174">
        <f t="shared" si="3"/>
        <v>1.5151515151515151</v>
      </c>
      <c r="I82" s="247"/>
      <c r="J82" s="253"/>
      <c r="K82" s="250" t="str">
        <f t="shared" si="2"/>
        <v>0</v>
      </c>
      <c r="L82" s="979"/>
    </row>
    <row r="83" spans="1:12" x14ac:dyDescent="0.2">
      <c r="A83" s="1440"/>
      <c r="B83" s="1454"/>
      <c r="C83" s="1463"/>
      <c r="D83" s="1259"/>
      <c r="E83" s="1449"/>
      <c r="F83" s="228" t="s">
        <v>306</v>
      </c>
      <c r="G83" s="626" t="s">
        <v>307</v>
      </c>
      <c r="H83" s="174">
        <f t="shared" si="3"/>
        <v>1.5151515151515151</v>
      </c>
      <c r="I83" s="247"/>
      <c r="J83" s="253"/>
      <c r="K83" s="250" t="str">
        <f t="shared" si="2"/>
        <v>0</v>
      </c>
      <c r="L83" s="979"/>
    </row>
    <row r="84" spans="1:12" x14ac:dyDescent="0.2">
      <c r="A84" s="1440"/>
      <c r="B84" s="1454"/>
      <c r="C84" s="1463"/>
      <c r="D84" s="1259"/>
      <c r="E84" s="1449"/>
      <c r="F84" s="228" t="s">
        <v>308</v>
      </c>
      <c r="G84" s="626" t="s">
        <v>309</v>
      </c>
      <c r="H84" s="174">
        <f t="shared" si="3"/>
        <v>1.5151515151515151</v>
      </c>
      <c r="I84" s="247"/>
      <c r="J84" s="253"/>
      <c r="K84" s="250" t="str">
        <f t="shared" si="2"/>
        <v>0</v>
      </c>
      <c r="L84" s="979"/>
    </row>
    <row r="85" spans="1:12" ht="24" x14ac:dyDescent="0.2">
      <c r="A85" s="1440"/>
      <c r="B85" s="1454"/>
      <c r="C85" s="1463"/>
      <c r="D85" s="1259"/>
      <c r="E85" s="1449"/>
      <c r="F85" s="228" t="s">
        <v>310</v>
      </c>
      <c r="G85" s="626" t="s">
        <v>311</v>
      </c>
      <c r="H85" s="174">
        <f t="shared" si="3"/>
        <v>1.5151515151515151</v>
      </c>
      <c r="I85" s="247" t="s">
        <v>167</v>
      </c>
      <c r="J85" s="253"/>
      <c r="K85" s="250">
        <f t="shared" si="2"/>
        <v>1.52E-2</v>
      </c>
      <c r="L85" s="979" t="s">
        <v>2823</v>
      </c>
    </row>
    <row r="86" spans="1:12" ht="24" x14ac:dyDescent="0.2">
      <c r="A86" s="1440"/>
      <c r="B86" s="1454"/>
      <c r="C86" s="1463"/>
      <c r="D86" s="1259"/>
      <c r="E86" s="1449"/>
      <c r="F86" s="228" t="s">
        <v>312</v>
      </c>
      <c r="G86" s="626" t="s">
        <v>313</v>
      </c>
      <c r="H86" s="174">
        <f t="shared" si="3"/>
        <v>1.5151515151515151</v>
      </c>
      <c r="I86" s="247" t="s">
        <v>167</v>
      </c>
      <c r="J86" s="253"/>
      <c r="K86" s="250">
        <f t="shared" si="2"/>
        <v>1.52E-2</v>
      </c>
      <c r="L86" s="979" t="s">
        <v>2824</v>
      </c>
    </row>
    <row r="87" spans="1:12" x14ac:dyDescent="0.2">
      <c r="A87" s="1440"/>
      <c r="B87" s="1454"/>
      <c r="C87" s="1463"/>
      <c r="D87" s="1259"/>
      <c r="E87" s="1449"/>
      <c r="F87" s="228" t="s">
        <v>314</v>
      </c>
      <c r="G87" s="626" t="s">
        <v>315</v>
      </c>
      <c r="H87" s="174">
        <f t="shared" si="3"/>
        <v>1.5151515151515151</v>
      </c>
      <c r="I87" s="247" t="s">
        <v>167</v>
      </c>
      <c r="J87" s="253"/>
      <c r="K87" s="250">
        <f t="shared" si="2"/>
        <v>1.52E-2</v>
      </c>
      <c r="L87" s="979"/>
    </row>
    <row r="88" spans="1:12" ht="24" x14ac:dyDescent="0.2">
      <c r="A88" s="1440"/>
      <c r="B88" s="1454"/>
      <c r="C88" s="1463"/>
      <c r="D88" s="1259"/>
      <c r="E88" s="1449"/>
      <c r="F88" s="228" t="s">
        <v>316</v>
      </c>
      <c r="G88" s="626" t="s">
        <v>317</v>
      </c>
      <c r="H88" s="174">
        <f t="shared" si="3"/>
        <v>1.5151515151515151</v>
      </c>
      <c r="I88" s="247"/>
      <c r="J88" s="253"/>
      <c r="K88" s="250" t="str">
        <f t="shared" si="2"/>
        <v>0</v>
      </c>
      <c r="L88" s="979"/>
    </row>
    <row r="89" spans="1:12" ht="24" x14ac:dyDescent="0.2">
      <c r="A89" s="1440"/>
      <c r="B89" s="1454"/>
      <c r="C89" s="1463"/>
      <c r="D89" s="1259"/>
      <c r="E89" s="1449"/>
      <c r="F89" s="228" t="s">
        <v>318</v>
      </c>
      <c r="G89" s="626" t="s">
        <v>319</v>
      </c>
      <c r="H89" s="174">
        <f t="shared" si="3"/>
        <v>1.5151515151515151</v>
      </c>
      <c r="I89" s="247"/>
      <c r="J89" s="253"/>
      <c r="K89" s="250" t="str">
        <f t="shared" si="2"/>
        <v>0</v>
      </c>
      <c r="L89" s="979"/>
    </row>
    <row r="90" spans="1:12" ht="24" x14ac:dyDescent="0.2">
      <c r="A90" s="1440"/>
      <c r="B90" s="1454"/>
      <c r="C90" s="1463"/>
      <c r="D90" s="1259"/>
      <c r="E90" s="1449"/>
      <c r="F90" s="228" t="s">
        <v>320</v>
      </c>
      <c r="G90" s="626" t="s">
        <v>321</v>
      </c>
      <c r="H90" s="174">
        <f t="shared" si="3"/>
        <v>1.5151515151515151</v>
      </c>
      <c r="I90" s="247" t="s">
        <v>167</v>
      </c>
      <c r="J90" s="253"/>
      <c r="K90" s="250">
        <f t="shared" si="2"/>
        <v>1.52E-2</v>
      </c>
      <c r="L90" s="979" t="s">
        <v>2819</v>
      </c>
    </row>
    <row r="91" spans="1:12" ht="24.75" thickBot="1" x14ac:dyDescent="0.25">
      <c r="A91" s="1440"/>
      <c r="B91" s="1454"/>
      <c r="C91" s="1463"/>
      <c r="D91" s="1259"/>
      <c r="E91" s="1450"/>
      <c r="F91" s="229" t="s">
        <v>322</v>
      </c>
      <c r="G91" s="637" t="s">
        <v>323</v>
      </c>
      <c r="H91" s="230">
        <f t="shared" si="3"/>
        <v>1.5151515151515151</v>
      </c>
      <c r="I91" s="248" t="s">
        <v>167</v>
      </c>
      <c r="J91" s="255"/>
      <c r="K91" s="251">
        <f>IFERROR(IF(I91="X",0.0152,"0"),0)</f>
        <v>1.52E-2</v>
      </c>
      <c r="L91" s="980" t="s">
        <v>2820</v>
      </c>
    </row>
    <row r="92" spans="1:12" ht="16.5" thickBot="1" x14ac:dyDescent="0.25">
      <c r="A92" s="1440"/>
      <c r="B92" s="1454"/>
      <c r="C92" s="1464"/>
      <c r="D92" s="1230"/>
      <c r="E92" s="1413" t="s">
        <v>324</v>
      </c>
      <c r="F92" s="1413"/>
      <c r="G92" s="1413"/>
      <c r="H92" s="1413"/>
      <c r="I92" s="1413"/>
      <c r="J92" s="237"/>
      <c r="K92" s="950">
        <f>IF(SUM(K26:K91)&gt;1,1,SUM(K26:K91))</f>
        <v>0.74479999999999968</v>
      </c>
      <c r="L92" s="981"/>
    </row>
    <row r="93" spans="1:12" ht="15" customHeight="1" x14ac:dyDescent="0.2">
      <c r="A93" s="1440"/>
      <c r="B93" s="1454"/>
      <c r="C93" s="1419" t="s">
        <v>325</v>
      </c>
      <c r="D93" s="1438">
        <v>0.2</v>
      </c>
      <c r="E93" s="1360" t="s">
        <v>326</v>
      </c>
      <c r="F93" s="238" t="s">
        <v>82</v>
      </c>
      <c r="G93" s="635" t="s">
        <v>327</v>
      </c>
      <c r="H93" s="239">
        <v>0.1</v>
      </c>
      <c r="I93" s="240" t="s">
        <v>2785</v>
      </c>
      <c r="J93" s="1422" t="s">
        <v>328</v>
      </c>
      <c r="K93" s="241">
        <f>IFERROR(IF(I93="X",10%,"0"),0)</f>
        <v>0.1</v>
      </c>
      <c r="L93" s="978"/>
    </row>
    <row r="94" spans="1:12" ht="24" x14ac:dyDescent="0.2">
      <c r="A94" s="1440"/>
      <c r="B94" s="1454"/>
      <c r="C94" s="1420"/>
      <c r="D94" s="1438"/>
      <c r="E94" s="1361"/>
      <c r="F94" s="154" t="s">
        <v>84</v>
      </c>
      <c r="G94" s="626" t="s">
        <v>329</v>
      </c>
      <c r="H94" s="156">
        <v>0.1</v>
      </c>
      <c r="I94" s="164" t="s">
        <v>2785</v>
      </c>
      <c r="J94" s="1446"/>
      <c r="K94" s="202">
        <f t="shared" ref="K94:K102" si="4">IFERROR(IF(I94="X",10%,"0"),0)</f>
        <v>0.1</v>
      </c>
      <c r="L94" s="979"/>
    </row>
    <row r="95" spans="1:12" x14ac:dyDescent="0.2">
      <c r="A95" s="1440"/>
      <c r="B95" s="1454"/>
      <c r="C95" s="1420"/>
      <c r="D95" s="1438"/>
      <c r="E95" s="1361"/>
      <c r="F95" s="154" t="s">
        <v>86</v>
      </c>
      <c r="G95" s="626" t="s">
        <v>330</v>
      </c>
      <c r="H95" s="156">
        <v>0.1</v>
      </c>
      <c r="I95" s="164" t="s">
        <v>2785</v>
      </c>
      <c r="J95" s="1446"/>
      <c r="K95" s="202">
        <f t="shared" si="4"/>
        <v>0.1</v>
      </c>
      <c r="L95" s="979"/>
    </row>
    <row r="96" spans="1:12" ht="24" x14ac:dyDescent="0.2">
      <c r="A96" s="1440"/>
      <c r="B96" s="1454"/>
      <c r="C96" s="1420"/>
      <c r="D96" s="1438"/>
      <c r="E96" s="1361"/>
      <c r="F96" s="154" t="s">
        <v>87</v>
      </c>
      <c r="G96" s="626" t="s">
        <v>211</v>
      </c>
      <c r="H96" s="156">
        <v>0.1</v>
      </c>
      <c r="I96" s="164"/>
      <c r="J96" s="1446"/>
      <c r="K96" s="202" t="str">
        <f t="shared" si="4"/>
        <v>0</v>
      </c>
      <c r="L96" s="979"/>
    </row>
    <row r="97" spans="1:12" x14ac:dyDescent="0.2">
      <c r="A97" s="1440"/>
      <c r="B97" s="1454"/>
      <c r="C97" s="1420"/>
      <c r="D97" s="1438"/>
      <c r="E97" s="1361"/>
      <c r="F97" s="154" t="s">
        <v>95</v>
      </c>
      <c r="G97" s="626" t="s">
        <v>331</v>
      </c>
      <c r="H97" s="156">
        <v>0.1</v>
      </c>
      <c r="I97" s="164" t="s">
        <v>2785</v>
      </c>
      <c r="J97" s="1446"/>
      <c r="K97" s="202">
        <f t="shared" si="4"/>
        <v>0.1</v>
      </c>
      <c r="L97" s="979"/>
    </row>
    <row r="98" spans="1:12" ht="24" x14ac:dyDescent="0.2">
      <c r="A98" s="1440"/>
      <c r="B98" s="1454"/>
      <c r="C98" s="1420"/>
      <c r="D98" s="1438"/>
      <c r="E98" s="1361"/>
      <c r="F98" s="154" t="s">
        <v>97</v>
      </c>
      <c r="G98" s="626" t="s">
        <v>332</v>
      </c>
      <c r="H98" s="156">
        <v>0.1</v>
      </c>
      <c r="I98" s="164" t="s">
        <v>167</v>
      </c>
      <c r="J98" s="1446"/>
      <c r="K98" s="202">
        <f t="shared" si="4"/>
        <v>0.1</v>
      </c>
      <c r="L98" s="979" t="s">
        <v>2821</v>
      </c>
    </row>
    <row r="99" spans="1:12" x14ac:dyDescent="0.2">
      <c r="A99" s="1440"/>
      <c r="B99" s="1454"/>
      <c r="C99" s="1420"/>
      <c r="D99" s="1438"/>
      <c r="E99" s="1361"/>
      <c r="F99" s="154" t="s">
        <v>99</v>
      </c>
      <c r="G99" s="626" t="s">
        <v>333</v>
      </c>
      <c r="H99" s="156">
        <v>0.1</v>
      </c>
      <c r="I99" s="164" t="s">
        <v>2785</v>
      </c>
      <c r="J99" s="1446"/>
      <c r="K99" s="202">
        <f t="shared" si="4"/>
        <v>0.1</v>
      </c>
      <c r="L99" s="979"/>
    </row>
    <row r="100" spans="1:12" x14ac:dyDescent="0.2">
      <c r="A100" s="1440"/>
      <c r="B100" s="1454"/>
      <c r="C100" s="1420"/>
      <c r="D100" s="1438"/>
      <c r="E100" s="1361"/>
      <c r="F100" s="154" t="s">
        <v>101</v>
      </c>
      <c r="G100" s="626" t="s">
        <v>217</v>
      </c>
      <c r="H100" s="156">
        <v>0.1</v>
      </c>
      <c r="I100" s="164" t="s">
        <v>2785</v>
      </c>
      <c r="J100" s="1446"/>
      <c r="K100" s="202">
        <f t="shared" si="4"/>
        <v>0.1</v>
      </c>
      <c r="L100" s="979"/>
    </row>
    <row r="101" spans="1:12" ht="24" x14ac:dyDescent="0.2">
      <c r="A101" s="1440"/>
      <c r="B101" s="1454"/>
      <c r="C101" s="1420"/>
      <c r="D101" s="1438"/>
      <c r="E101" s="1361"/>
      <c r="F101" s="154" t="s">
        <v>103</v>
      </c>
      <c r="G101" s="626" t="s">
        <v>334</v>
      </c>
      <c r="H101" s="156">
        <v>0.1</v>
      </c>
      <c r="I101" s="164" t="s">
        <v>2785</v>
      </c>
      <c r="J101" s="1446"/>
      <c r="K101" s="202">
        <f t="shared" si="4"/>
        <v>0.1</v>
      </c>
      <c r="L101" s="979" t="s">
        <v>2815</v>
      </c>
    </row>
    <row r="102" spans="1:12" x14ac:dyDescent="0.2">
      <c r="A102" s="1440"/>
      <c r="B102" s="1454"/>
      <c r="C102" s="1420"/>
      <c r="D102" s="1438"/>
      <c r="E102" s="1361"/>
      <c r="F102" s="154" t="s">
        <v>151</v>
      </c>
      <c r="G102" s="626" t="s">
        <v>219</v>
      </c>
      <c r="H102" s="156">
        <v>0.1</v>
      </c>
      <c r="I102" s="164" t="s">
        <v>2785</v>
      </c>
      <c r="J102" s="1446"/>
      <c r="K102" s="202">
        <f t="shared" si="4"/>
        <v>0.1</v>
      </c>
      <c r="L102" s="979"/>
    </row>
    <row r="103" spans="1:12" ht="12.75" thickBot="1" x14ac:dyDescent="0.25">
      <c r="A103" s="1440"/>
      <c r="B103" s="1454"/>
      <c r="C103" s="1420"/>
      <c r="D103" s="1438"/>
      <c r="E103" s="1362"/>
      <c r="F103" s="242" t="s">
        <v>152</v>
      </c>
      <c r="G103" s="636" t="s">
        <v>187</v>
      </c>
      <c r="H103" s="243">
        <v>0</v>
      </c>
      <c r="I103" s="244"/>
      <c r="J103" s="1423"/>
      <c r="K103" s="245" t="str">
        <f>IFERROR(IF(I103="X",0%,"0"),0)</f>
        <v>0</v>
      </c>
      <c r="L103" s="980"/>
    </row>
    <row r="104" spans="1:12" ht="15" customHeight="1" thickBot="1" x14ac:dyDescent="0.25">
      <c r="A104" s="1440"/>
      <c r="B104" s="1454"/>
      <c r="C104" s="1421"/>
      <c r="D104" s="1439"/>
      <c r="E104" s="1363" t="s">
        <v>335</v>
      </c>
      <c r="F104" s="1363"/>
      <c r="G104" s="1363"/>
      <c r="H104" s="1363"/>
      <c r="I104" s="1363"/>
      <c r="J104" s="802"/>
      <c r="K104" s="947">
        <f>SUM(K93:K103)</f>
        <v>0.89999999999999991</v>
      </c>
      <c r="L104" s="982"/>
    </row>
    <row r="105" spans="1:12" ht="32.25" customHeight="1" x14ac:dyDescent="0.2">
      <c r="A105" s="1440"/>
      <c r="B105" s="1454"/>
      <c r="C105" s="1467" t="s">
        <v>336</v>
      </c>
      <c r="D105" s="1259">
        <v>0.15</v>
      </c>
      <c r="E105" s="1442" t="s">
        <v>337</v>
      </c>
      <c r="F105" s="906" t="s">
        <v>82</v>
      </c>
      <c r="G105" s="648" t="s">
        <v>338</v>
      </c>
      <c r="H105" s="928">
        <v>1</v>
      </c>
      <c r="I105" s="1403" t="s">
        <v>388</v>
      </c>
      <c r="J105" s="1422" t="s">
        <v>339</v>
      </c>
      <c r="K105" s="1385">
        <f>IFERROR(IF(I105="Si",100%,IF(I105="No",0%,0)),0)</f>
        <v>1</v>
      </c>
      <c r="L105" s="844"/>
    </row>
    <row r="106" spans="1:12" ht="22.5" customHeight="1" thickBot="1" x14ac:dyDescent="0.25">
      <c r="A106" s="1440"/>
      <c r="B106" s="1454"/>
      <c r="C106" s="1468"/>
      <c r="D106" s="1259"/>
      <c r="E106" s="1443"/>
      <c r="F106" s="916" t="s">
        <v>84</v>
      </c>
      <c r="G106" s="649" t="s">
        <v>340</v>
      </c>
      <c r="H106" s="930">
        <v>0</v>
      </c>
      <c r="I106" s="1404"/>
      <c r="J106" s="1423"/>
      <c r="K106" s="1386"/>
      <c r="L106" s="844"/>
    </row>
    <row r="107" spans="1:12" ht="16.5" thickBot="1" x14ac:dyDescent="0.25">
      <c r="A107" s="1440"/>
      <c r="B107" s="1454"/>
      <c r="C107" s="1469"/>
      <c r="D107" s="1230"/>
      <c r="E107" s="1413" t="s">
        <v>341</v>
      </c>
      <c r="F107" s="1413"/>
      <c r="G107" s="1413"/>
      <c r="H107" s="1413"/>
      <c r="I107" s="1413"/>
      <c r="J107" s="1413"/>
      <c r="K107" s="947">
        <f>K105</f>
        <v>1</v>
      </c>
      <c r="L107" s="121"/>
    </row>
    <row r="108" spans="1:12" ht="33" customHeight="1" x14ac:dyDescent="0.2">
      <c r="A108" s="1440"/>
      <c r="B108" s="1454"/>
      <c r="C108" s="1436" t="s">
        <v>342</v>
      </c>
      <c r="D108" s="1259">
        <v>0.15</v>
      </c>
      <c r="E108" s="1442" t="s">
        <v>343</v>
      </c>
      <c r="F108" s="906" t="s">
        <v>82</v>
      </c>
      <c r="G108" s="648" t="s">
        <v>344</v>
      </c>
      <c r="H108" s="928">
        <v>1</v>
      </c>
      <c r="I108" s="1403" t="s">
        <v>85</v>
      </c>
      <c r="J108" s="1422" t="s">
        <v>345</v>
      </c>
      <c r="K108" s="1385">
        <f>IFERROR(IF(I108="Si",100%,IF(I108="No",0%,0)),0)</f>
        <v>0</v>
      </c>
      <c r="L108" s="844"/>
    </row>
    <row r="109" spans="1:12" ht="21" customHeight="1" thickBot="1" x14ac:dyDescent="0.25">
      <c r="A109" s="1440"/>
      <c r="B109" s="1454"/>
      <c r="C109" s="1436"/>
      <c r="D109" s="1259"/>
      <c r="E109" s="1443"/>
      <c r="F109" s="916" t="s">
        <v>84</v>
      </c>
      <c r="G109" s="649" t="s">
        <v>85</v>
      </c>
      <c r="H109" s="930">
        <v>0</v>
      </c>
      <c r="I109" s="1404"/>
      <c r="J109" s="1423"/>
      <c r="K109" s="1386"/>
      <c r="L109" s="844"/>
    </row>
    <row r="110" spans="1:12" ht="15.75" x14ac:dyDescent="0.2">
      <c r="A110" s="1440"/>
      <c r="B110" s="1454"/>
      <c r="C110" s="1436"/>
      <c r="D110" s="1230"/>
      <c r="E110" s="1366" t="s">
        <v>346</v>
      </c>
      <c r="F110" s="1366"/>
      <c r="G110" s="1366"/>
      <c r="H110" s="1366"/>
      <c r="I110" s="1366"/>
      <c r="J110" s="932"/>
      <c r="K110" s="948">
        <f>K108</f>
        <v>0</v>
      </c>
      <c r="L110" s="1073"/>
    </row>
    <row r="111" spans="1:12" ht="16.5" thickBot="1" x14ac:dyDescent="0.25">
      <c r="A111" s="1440" t="s">
        <v>2006</v>
      </c>
      <c r="B111" s="1440"/>
      <c r="C111" s="1440"/>
      <c r="D111" s="1440"/>
      <c r="E111" s="1414"/>
      <c r="F111" s="1414"/>
      <c r="G111" s="1414"/>
      <c r="H111" s="1455" t="s">
        <v>2443</v>
      </c>
      <c r="I111" s="1455"/>
      <c r="J111" s="1455"/>
      <c r="K111" s="949">
        <f>IF((K25*0.2)+(K92*0.3)+(K104*0.2)+(K107*0.15)+(K110*0.15)&gt;1,1,(K25*0.2)+(K92*0.3)+(K104*0.2)+(K107*0.15)+(K110*0.15))</f>
        <v>0.75344</v>
      </c>
      <c r="L111" s="121"/>
    </row>
    <row r="112" spans="1:12" ht="24" customHeight="1" x14ac:dyDescent="0.2">
      <c r="A112" s="1437" t="s">
        <v>347</v>
      </c>
      <c r="B112" s="1418">
        <v>0.16</v>
      </c>
      <c r="C112" s="1419" t="s">
        <v>2782</v>
      </c>
      <c r="D112" s="1438">
        <v>0.4</v>
      </c>
      <c r="E112" s="1442" t="s">
        <v>348</v>
      </c>
      <c r="F112" s="906" t="s">
        <v>82</v>
      </c>
      <c r="G112" s="648" t="s">
        <v>349</v>
      </c>
      <c r="H112" s="928">
        <v>0.25</v>
      </c>
      <c r="I112" s="1403" t="s">
        <v>354</v>
      </c>
      <c r="J112" s="1422" t="s">
        <v>350</v>
      </c>
      <c r="K112" s="1385">
        <f>IFERROR(IF(I112="Anual",25%,IF(I112="Semestral",50%,IF(I112="Trimestral",100%,IF(I112="Bimestral",100%,IF(I112="Mensual",100%,0))))),0)</f>
        <v>1</v>
      </c>
      <c r="L112" s="844"/>
    </row>
    <row r="113" spans="1:12" ht="26.25" customHeight="1" x14ac:dyDescent="0.2">
      <c r="A113" s="1437"/>
      <c r="B113" s="1418"/>
      <c r="C113" s="1420"/>
      <c r="D113" s="1438"/>
      <c r="E113" s="1456"/>
      <c r="F113" s="155" t="s">
        <v>84</v>
      </c>
      <c r="G113" s="806" t="s">
        <v>351</v>
      </c>
      <c r="H113" s="152">
        <v>0.5</v>
      </c>
      <c r="I113" s="1405"/>
      <c r="J113" s="1446"/>
      <c r="K113" s="1406"/>
      <c r="L113" s="844"/>
    </row>
    <row r="114" spans="1:12" x14ac:dyDescent="0.2">
      <c r="A114" s="1437"/>
      <c r="B114" s="1418"/>
      <c r="C114" s="1420"/>
      <c r="D114" s="1438"/>
      <c r="E114" s="1456"/>
      <c r="F114" s="155" t="s">
        <v>86</v>
      </c>
      <c r="G114" s="806" t="s">
        <v>352</v>
      </c>
      <c r="H114" s="152">
        <v>1</v>
      </c>
      <c r="I114" s="1405"/>
      <c r="J114" s="1446"/>
      <c r="K114" s="1406"/>
      <c r="L114" s="844"/>
    </row>
    <row r="115" spans="1:12" x14ac:dyDescent="0.2">
      <c r="A115" s="1437"/>
      <c r="B115" s="1418"/>
      <c r="C115" s="1420"/>
      <c r="D115" s="1438"/>
      <c r="E115" s="1456"/>
      <c r="F115" s="155" t="s">
        <v>87</v>
      </c>
      <c r="G115" s="806" t="s">
        <v>353</v>
      </c>
      <c r="H115" s="152">
        <v>1</v>
      </c>
      <c r="I115" s="1405"/>
      <c r="J115" s="1446"/>
      <c r="K115" s="1406"/>
      <c r="L115" s="844"/>
    </row>
    <row r="116" spans="1:12" ht="12.75" thickBot="1" x14ac:dyDescent="0.25">
      <c r="A116" s="1437"/>
      <c r="B116" s="1418"/>
      <c r="C116" s="1420"/>
      <c r="D116" s="1438"/>
      <c r="E116" s="1443"/>
      <c r="F116" s="916" t="s">
        <v>95</v>
      </c>
      <c r="G116" s="649" t="s">
        <v>354</v>
      </c>
      <c r="H116" s="930">
        <v>1</v>
      </c>
      <c r="I116" s="1404"/>
      <c r="J116" s="1423"/>
      <c r="K116" s="1386"/>
      <c r="L116" s="844"/>
    </row>
    <row r="117" spans="1:12" ht="16.5" thickBot="1" x14ac:dyDescent="0.25">
      <c r="A117" s="1437"/>
      <c r="B117" s="1418"/>
      <c r="C117" s="1421"/>
      <c r="D117" s="1439"/>
      <c r="E117" s="1413" t="s">
        <v>355</v>
      </c>
      <c r="F117" s="1413"/>
      <c r="G117" s="1413"/>
      <c r="H117" s="1413"/>
      <c r="I117" s="1413"/>
      <c r="J117" s="237"/>
      <c r="K117" s="947">
        <f>K112</f>
        <v>1</v>
      </c>
      <c r="L117" s="121"/>
    </row>
    <row r="118" spans="1:12" ht="24" x14ac:dyDescent="0.2">
      <c r="A118" s="1437"/>
      <c r="B118" s="1418"/>
      <c r="C118" s="1441" t="s">
        <v>356</v>
      </c>
      <c r="D118" s="1438">
        <v>0.4</v>
      </c>
      <c r="E118" s="1457" t="s">
        <v>1584</v>
      </c>
      <c r="F118" s="933" t="s">
        <v>82</v>
      </c>
      <c r="G118" s="868" t="s">
        <v>357</v>
      </c>
      <c r="H118" s="933" t="s">
        <v>358</v>
      </c>
      <c r="I118" s="441">
        <v>274</v>
      </c>
      <c r="J118" s="1452" t="s">
        <v>359</v>
      </c>
      <c r="K118" s="1385">
        <f>IFERROR(IF(I119/I118&gt;1,1,I119/I118),0)</f>
        <v>0.75182481751824815</v>
      </c>
      <c r="L118" s="844"/>
    </row>
    <row r="119" spans="1:12" ht="36.75" thickBot="1" x14ac:dyDescent="0.25">
      <c r="A119" s="1437"/>
      <c r="B119" s="1418"/>
      <c r="C119" s="1441"/>
      <c r="D119" s="1438"/>
      <c r="E119" s="1458"/>
      <c r="F119" s="934" t="s">
        <v>84</v>
      </c>
      <c r="G119" s="839" t="s">
        <v>360</v>
      </c>
      <c r="H119" s="934" t="s">
        <v>358</v>
      </c>
      <c r="I119" s="376">
        <v>206</v>
      </c>
      <c r="J119" s="1453"/>
      <c r="K119" s="1386"/>
      <c r="L119" s="844"/>
    </row>
    <row r="120" spans="1:12" ht="16.5" thickBot="1" x14ac:dyDescent="0.25">
      <c r="A120" s="1437"/>
      <c r="B120" s="1418"/>
      <c r="C120" s="1441"/>
      <c r="D120" s="1439"/>
      <c r="E120" s="1413" t="s">
        <v>361</v>
      </c>
      <c r="F120" s="1413"/>
      <c r="G120" s="1413"/>
      <c r="H120" s="1413"/>
      <c r="I120" s="1413"/>
      <c r="J120" s="237"/>
      <c r="K120" s="947">
        <f>K118</f>
        <v>0.75182481751824815</v>
      </c>
      <c r="L120" s="121"/>
    </row>
    <row r="121" spans="1:12" ht="21" customHeight="1" x14ac:dyDescent="0.2">
      <c r="A121" s="1437"/>
      <c r="B121" s="1418"/>
      <c r="C121" s="1441" t="s">
        <v>362</v>
      </c>
      <c r="D121" s="1259">
        <v>0.2</v>
      </c>
      <c r="E121" s="1442" t="s">
        <v>363</v>
      </c>
      <c r="F121" s="906" t="s">
        <v>82</v>
      </c>
      <c r="G121" s="648" t="s">
        <v>2405</v>
      </c>
      <c r="H121" s="879">
        <v>1</v>
      </c>
      <c r="I121" s="1403" t="s">
        <v>388</v>
      </c>
      <c r="J121" s="1422" t="s">
        <v>364</v>
      </c>
      <c r="K121" s="1385">
        <f>IFERROR(IF(I121="Si",100%,IF(I121="No",0%,0)),0)</f>
        <v>1</v>
      </c>
      <c r="L121" s="844"/>
    </row>
    <row r="122" spans="1:12" ht="20.25" customHeight="1" thickBot="1" x14ac:dyDescent="0.25">
      <c r="A122" s="1437"/>
      <c r="B122" s="1418"/>
      <c r="C122" s="1441"/>
      <c r="D122" s="1259"/>
      <c r="E122" s="1443"/>
      <c r="F122" s="916" t="s">
        <v>84</v>
      </c>
      <c r="G122" s="649" t="s">
        <v>85</v>
      </c>
      <c r="H122" s="287">
        <v>0</v>
      </c>
      <c r="I122" s="1404"/>
      <c r="J122" s="1451"/>
      <c r="K122" s="1386"/>
      <c r="L122" s="844"/>
    </row>
    <row r="123" spans="1:12" ht="15.75" x14ac:dyDescent="0.2">
      <c r="A123" s="1437"/>
      <c r="B123" s="1418"/>
      <c r="C123" s="1441"/>
      <c r="D123" s="1230"/>
      <c r="E123" s="1459" t="s">
        <v>365</v>
      </c>
      <c r="F123" s="1460"/>
      <c r="G123" s="1460"/>
      <c r="H123" s="1460"/>
      <c r="I123" s="1460"/>
      <c r="J123" s="1461"/>
      <c r="K123" s="948">
        <f>K121</f>
        <v>1</v>
      </c>
      <c r="L123" s="121"/>
    </row>
    <row r="124" spans="1:12" ht="16.5" thickBot="1" x14ac:dyDescent="0.25">
      <c r="A124" s="1440" t="s">
        <v>2005</v>
      </c>
      <c r="B124" s="1440"/>
      <c r="C124" s="1440"/>
      <c r="D124" s="1440"/>
      <c r="E124" s="1414"/>
      <c r="F124" s="1414"/>
      <c r="G124" s="1414"/>
      <c r="H124" s="1414" t="s">
        <v>366</v>
      </c>
      <c r="I124" s="1414"/>
      <c r="J124" s="1414"/>
      <c r="K124" s="949">
        <f>IF((K117*0.4)+(K120*0.4)+(K123*0.2)&gt;1,1,(K117*0.4)+(K120*0.4)+(K123*0.2))</f>
        <v>0.90072992700729926</v>
      </c>
      <c r="L124" s="121"/>
    </row>
    <row r="125" spans="1:12" ht="36" x14ac:dyDescent="0.2">
      <c r="A125" s="1415" t="s">
        <v>367</v>
      </c>
      <c r="B125" s="1418">
        <v>0.12</v>
      </c>
      <c r="C125" s="1419" t="s">
        <v>368</v>
      </c>
      <c r="D125" s="1438">
        <v>0.25</v>
      </c>
      <c r="E125" s="1476" t="s">
        <v>2009</v>
      </c>
      <c r="F125" s="238" t="s">
        <v>82</v>
      </c>
      <c r="G125" s="635" t="s">
        <v>369</v>
      </c>
      <c r="H125" s="935">
        <v>0.14285714285714199</v>
      </c>
      <c r="I125" s="936"/>
      <c r="J125" s="937"/>
      <c r="K125" s="938" t="str">
        <f t="shared" ref="K125:K131" si="5">IFERROR(IF(I125="X",0.1429,"0"),0)</f>
        <v>0</v>
      </c>
      <c r="L125" s="844"/>
    </row>
    <row r="126" spans="1:12" ht="36" x14ac:dyDescent="0.2">
      <c r="A126" s="1416"/>
      <c r="B126" s="1418"/>
      <c r="C126" s="1420"/>
      <c r="D126" s="1438"/>
      <c r="E126" s="1477"/>
      <c r="F126" s="154" t="s">
        <v>84</v>
      </c>
      <c r="G126" s="805" t="s">
        <v>371</v>
      </c>
      <c r="H126" s="175">
        <v>0.14285714285714199</v>
      </c>
      <c r="I126" s="166"/>
      <c r="J126" s="176"/>
      <c r="K126" s="939" t="str">
        <f t="shared" si="5"/>
        <v>0</v>
      </c>
      <c r="L126" s="844"/>
    </row>
    <row r="127" spans="1:12" ht="24" x14ac:dyDescent="0.2">
      <c r="A127" s="1416"/>
      <c r="B127" s="1418"/>
      <c r="C127" s="1420"/>
      <c r="D127" s="1438"/>
      <c r="E127" s="1477"/>
      <c r="F127" s="154" t="s">
        <v>86</v>
      </c>
      <c r="G127" s="805" t="s">
        <v>372</v>
      </c>
      <c r="H127" s="175">
        <v>0.14285714285714199</v>
      </c>
      <c r="I127" s="166"/>
      <c r="J127" s="176"/>
      <c r="K127" s="939" t="str">
        <f t="shared" si="5"/>
        <v>0</v>
      </c>
      <c r="L127" s="844"/>
    </row>
    <row r="128" spans="1:12" ht="24" x14ac:dyDescent="0.2">
      <c r="A128" s="1416"/>
      <c r="B128" s="1418"/>
      <c r="C128" s="1420"/>
      <c r="D128" s="1438"/>
      <c r="E128" s="1477"/>
      <c r="F128" s="154" t="s">
        <v>87</v>
      </c>
      <c r="G128" s="805" t="s">
        <v>373</v>
      </c>
      <c r="H128" s="175">
        <v>0.14285714285714199</v>
      </c>
      <c r="I128" s="166" t="s">
        <v>167</v>
      </c>
      <c r="J128" s="177" t="s">
        <v>370</v>
      </c>
      <c r="K128" s="939">
        <f t="shared" si="5"/>
        <v>0.1429</v>
      </c>
      <c r="L128" s="844"/>
    </row>
    <row r="129" spans="1:12" ht="24" x14ac:dyDescent="0.2">
      <c r="A129" s="1416"/>
      <c r="B129" s="1418"/>
      <c r="C129" s="1420"/>
      <c r="D129" s="1438"/>
      <c r="E129" s="1477"/>
      <c r="F129" s="154" t="s">
        <v>95</v>
      </c>
      <c r="G129" s="805" t="s">
        <v>374</v>
      </c>
      <c r="H129" s="175">
        <v>0.14285714285714199</v>
      </c>
      <c r="I129" s="166" t="s">
        <v>167</v>
      </c>
      <c r="J129" s="176"/>
      <c r="K129" s="939">
        <f t="shared" si="5"/>
        <v>0.1429</v>
      </c>
      <c r="L129" s="844"/>
    </row>
    <row r="130" spans="1:12" ht="24" x14ac:dyDescent="0.2">
      <c r="A130" s="1416"/>
      <c r="B130" s="1418"/>
      <c r="C130" s="1420"/>
      <c r="D130" s="1438"/>
      <c r="E130" s="1477"/>
      <c r="F130" s="154" t="s">
        <v>97</v>
      </c>
      <c r="G130" s="805" t="s">
        <v>375</v>
      </c>
      <c r="H130" s="175">
        <v>0.14285714285714199</v>
      </c>
      <c r="I130" s="166"/>
      <c r="J130" s="176"/>
      <c r="K130" s="939" t="str">
        <f t="shared" si="5"/>
        <v>0</v>
      </c>
      <c r="L130" s="844"/>
    </row>
    <row r="131" spans="1:12" ht="36.75" thickBot="1" x14ac:dyDescent="0.25">
      <c r="A131" s="1416"/>
      <c r="B131" s="1418"/>
      <c r="C131" s="1420"/>
      <c r="D131" s="1438"/>
      <c r="E131" s="1478"/>
      <c r="F131" s="242" t="s">
        <v>99</v>
      </c>
      <c r="G131" s="636" t="s">
        <v>376</v>
      </c>
      <c r="H131" s="940">
        <v>0.14285714285714199</v>
      </c>
      <c r="I131" s="941" t="s">
        <v>167</v>
      </c>
      <c r="J131" s="942"/>
      <c r="K131" s="943">
        <f t="shared" si="5"/>
        <v>0.1429</v>
      </c>
      <c r="L131" s="844"/>
    </row>
    <row r="132" spans="1:12" ht="16.5" thickBot="1" x14ac:dyDescent="0.25">
      <c r="A132" s="1416"/>
      <c r="B132" s="1418"/>
      <c r="C132" s="1421"/>
      <c r="D132" s="1439"/>
      <c r="E132" s="1475" t="s">
        <v>377</v>
      </c>
      <c r="F132" s="1475"/>
      <c r="G132" s="1475"/>
      <c r="H132" s="1475"/>
      <c r="I132" s="1475"/>
      <c r="J132" s="1475"/>
      <c r="K132" s="950">
        <f>IF(SUM(K125:K131)&gt;1,1,SUM(K125:K131))</f>
        <v>0.42869999999999997</v>
      </c>
      <c r="L132" s="1073"/>
    </row>
    <row r="133" spans="1:12" ht="24" x14ac:dyDescent="0.2">
      <c r="A133" s="1416"/>
      <c r="B133" s="1418"/>
      <c r="C133" s="1419" t="s">
        <v>378</v>
      </c>
      <c r="D133" s="1438">
        <v>0.2</v>
      </c>
      <c r="E133" s="1360" t="s">
        <v>379</v>
      </c>
      <c r="F133" s="238" t="s">
        <v>82</v>
      </c>
      <c r="G133" s="635" t="s">
        <v>380</v>
      </c>
      <c r="H133" s="239">
        <v>0.34</v>
      </c>
      <c r="I133" s="240" t="s">
        <v>2785</v>
      </c>
      <c r="J133" s="1422" t="s">
        <v>381</v>
      </c>
      <c r="K133" s="809">
        <f>IFERROR(IF(I133="X",34%,"0"),0)</f>
        <v>0.34</v>
      </c>
      <c r="L133" s="844"/>
    </row>
    <row r="134" spans="1:12" x14ac:dyDescent="0.2">
      <c r="A134" s="1416"/>
      <c r="B134" s="1418"/>
      <c r="C134" s="1420"/>
      <c r="D134" s="1438"/>
      <c r="E134" s="1361"/>
      <c r="F134" s="154" t="s">
        <v>84</v>
      </c>
      <c r="G134" s="805" t="s">
        <v>382</v>
      </c>
      <c r="H134" s="156">
        <v>0.33</v>
      </c>
      <c r="I134" s="164" t="s">
        <v>2785</v>
      </c>
      <c r="J134" s="1446"/>
      <c r="K134" s="810">
        <f>IFERROR(IF(I134="X",33%,"0"),0)</f>
        <v>0.33</v>
      </c>
      <c r="L134" s="844"/>
    </row>
    <row r="135" spans="1:12" x14ac:dyDescent="0.2">
      <c r="A135" s="1416"/>
      <c r="B135" s="1418"/>
      <c r="C135" s="1420"/>
      <c r="D135" s="1438"/>
      <c r="E135" s="1361"/>
      <c r="F135" s="154" t="s">
        <v>86</v>
      </c>
      <c r="G135" s="805" t="s">
        <v>383</v>
      </c>
      <c r="H135" s="156">
        <v>0.33</v>
      </c>
      <c r="I135" s="164"/>
      <c r="J135" s="1446"/>
      <c r="K135" s="810" t="str">
        <f>IFERROR(IF(I135="X",33%,"0"),0)</f>
        <v>0</v>
      </c>
      <c r="L135" s="844"/>
    </row>
    <row r="136" spans="1:12" ht="12.75" thickBot="1" x14ac:dyDescent="0.25">
      <c r="A136" s="1416"/>
      <c r="B136" s="1418"/>
      <c r="C136" s="1420"/>
      <c r="D136" s="1438"/>
      <c r="E136" s="1362"/>
      <c r="F136" s="242" t="s">
        <v>87</v>
      </c>
      <c r="G136" s="636" t="s">
        <v>384</v>
      </c>
      <c r="H136" s="243">
        <v>0</v>
      </c>
      <c r="I136" s="244"/>
      <c r="J136" s="1423"/>
      <c r="K136" s="811">
        <f>IFERROR(IF(I136="X",0%,0),0)</f>
        <v>0</v>
      </c>
      <c r="L136" s="844"/>
    </row>
    <row r="137" spans="1:12" ht="16.5" thickBot="1" x14ac:dyDescent="0.25">
      <c r="A137" s="1416"/>
      <c r="B137" s="1418"/>
      <c r="C137" s="1421"/>
      <c r="D137" s="1439"/>
      <c r="E137" s="1413" t="s">
        <v>385</v>
      </c>
      <c r="F137" s="1413"/>
      <c r="G137" s="1413"/>
      <c r="H137" s="1413"/>
      <c r="I137" s="1413"/>
      <c r="J137" s="1413"/>
      <c r="K137" s="947">
        <f>SUM(K133:K136)</f>
        <v>0.67</v>
      </c>
      <c r="L137" s="121"/>
    </row>
    <row r="138" spans="1:12" ht="32.25" customHeight="1" x14ac:dyDescent="0.2">
      <c r="A138" s="1416"/>
      <c r="B138" s="1418"/>
      <c r="C138" s="1441" t="s">
        <v>386</v>
      </c>
      <c r="D138" s="1259">
        <v>0.15</v>
      </c>
      <c r="E138" s="1442" t="s">
        <v>387</v>
      </c>
      <c r="F138" s="906" t="s">
        <v>82</v>
      </c>
      <c r="G138" s="648" t="s">
        <v>388</v>
      </c>
      <c r="H138" s="928">
        <v>1</v>
      </c>
      <c r="I138" s="1403" t="s">
        <v>388</v>
      </c>
      <c r="J138" s="1422" t="s">
        <v>389</v>
      </c>
      <c r="K138" s="1385">
        <f>IFERROR(IF(I138="Si",100%,IF(I138="No",0%,0)),0)</f>
        <v>1</v>
      </c>
      <c r="L138" s="844"/>
    </row>
    <row r="139" spans="1:12" ht="21" customHeight="1" thickBot="1" x14ac:dyDescent="0.25">
      <c r="A139" s="1416"/>
      <c r="B139" s="1418"/>
      <c r="C139" s="1441"/>
      <c r="D139" s="1259"/>
      <c r="E139" s="1443"/>
      <c r="F139" s="944" t="s">
        <v>84</v>
      </c>
      <c r="G139" s="929" t="s">
        <v>85</v>
      </c>
      <c r="H139" s="930">
        <v>0</v>
      </c>
      <c r="I139" s="1404"/>
      <c r="J139" s="1423"/>
      <c r="K139" s="1386"/>
      <c r="L139" s="844"/>
    </row>
    <row r="140" spans="1:12" ht="16.5" thickBot="1" x14ac:dyDescent="0.25">
      <c r="A140" s="1416"/>
      <c r="B140" s="1418"/>
      <c r="C140" s="1441"/>
      <c r="D140" s="1230"/>
      <c r="E140" s="1413" t="s">
        <v>390</v>
      </c>
      <c r="F140" s="1413"/>
      <c r="G140" s="1413"/>
      <c r="H140" s="1413"/>
      <c r="I140" s="1413"/>
      <c r="J140" s="1413"/>
      <c r="K140" s="947">
        <f>K138</f>
        <v>1</v>
      </c>
      <c r="L140" s="121"/>
    </row>
    <row r="141" spans="1:12" ht="27" customHeight="1" x14ac:dyDescent="0.2">
      <c r="A141" s="1416"/>
      <c r="B141" s="1418"/>
      <c r="C141" s="1441" t="s">
        <v>391</v>
      </c>
      <c r="D141" s="1259">
        <v>0.15</v>
      </c>
      <c r="E141" s="1442" t="s">
        <v>392</v>
      </c>
      <c r="F141" s="906" t="s">
        <v>82</v>
      </c>
      <c r="G141" s="648" t="s">
        <v>344</v>
      </c>
      <c r="H141" s="928">
        <v>1</v>
      </c>
      <c r="I141" s="1403" t="s">
        <v>388</v>
      </c>
      <c r="J141" s="1422" t="s">
        <v>393</v>
      </c>
      <c r="K141" s="1385">
        <f>IFERROR(IF(I141="Si",100%,IF(I141="No",0%,0)),0)</f>
        <v>1</v>
      </c>
      <c r="L141" s="844"/>
    </row>
    <row r="142" spans="1:12" ht="17.25" customHeight="1" thickBot="1" x14ac:dyDescent="0.25">
      <c r="A142" s="1416"/>
      <c r="B142" s="1418"/>
      <c r="C142" s="1441"/>
      <c r="D142" s="1259"/>
      <c r="E142" s="1443"/>
      <c r="F142" s="916" t="s">
        <v>84</v>
      </c>
      <c r="G142" s="649" t="s">
        <v>85</v>
      </c>
      <c r="H142" s="930">
        <v>0</v>
      </c>
      <c r="I142" s="1404"/>
      <c r="J142" s="1423"/>
      <c r="K142" s="1386"/>
      <c r="L142" s="844"/>
    </row>
    <row r="143" spans="1:12" ht="16.5" thickBot="1" x14ac:dyDescent="0.25">
      <c r="A143" s="1416"/>
      <c r="B143" s="1418"/>
      <c r="C143" s="1441"/>
      <c r="D143" s="1230"/>
      <c r="E143" s="1365" t="s">
        <v>394</v>
      </c>
      <c r="F143" s="1444"/>
      <c r="G143" s="1444"/>
      <c r="H143" s="1444"/>
      <c r="I143" s="1444"/>
      <c r="J143" s="1445"/>
      <c r="K143" s="947">
        <f>K141</f>
        <v>1</v>
      </c>
      <c r="L143" s="121"/>
    </row>
    <row r="144" spans="1:12" ht="33" customHeight="1" x14ac:dyDescent="0.2">
      <c r="A144" s="1416"/>
      <c r="B144" s="1418"/>
      <c r="C144" s="1441" t="s">
        <v>395</v>
      </c>
      <c r="D144" s="1438">
        <v>0.25</v>
      </c>
      <c r="E144" s="1442" t="s">
        <v>396</v>
      </c>
      <c r="F144" s="906" t="s">
        <v>82</v>
      </c>
      <c r="G144" s="648" t="s">
        <v>2406</v>
      </c>
      <c r="H144" s="928">
        <v>0.25</v>
      </c>
      <c r="I144" s="1424" t="s">
        <v>416</v>
      </c>
      <c r="J144" s="1422" t="s">
        <v>397</v>
      </c>
      <c r="K144" s="1385">
        <f>IF(I144="Aprobación",75%,IF(I144="Revisado y aprobado por la Dirección",100%,IF(I144="Revisión",50%,IF(I144="Construcción",25%,0))))</f>
        <v>0.75</v>
      </c>
      <c r="L144" s="844"/>
    </row>
    <row r="145" spans="1:12" ht="22.5" customHeight="1" x14ac:dyDescent="0.2">
      <c r="A145" s="1416"/>
      <c r="B145" s="1418"/>
      <c r="C145" s="1441"/>
      <c r="D145" s="1438"/>
      <c r="E145" s="1456"/>
      <c r="F145" s="155" t="s">
        <v>84</v>
      </c>
      <c r="G145" s="806" t="s">
        <v>2407</v>
      </c>
      <c r="H145" s="152">
        <v>0.5</v>
      </c>
      <c r="I145" s="1425"/>
      <c r="J145" s="1446"/>
      <c r="K145" s="1406"/>
      <c r="L145" s="844"/>
    </row>
    <row r="146" spans="1:12" ht="18.75" customHeight="1" x14ac:dyDescent="0.2">
      <c r="A146" s="1416"/>
      <c r="B146" s="1418"/>
      <c r="C146" s="1441"/>
      <c r="D146" s="1438"/>
      <c r="E146" s="1456"/>
      <c r="F146" s="155" t="s">
        <v>86</v>
      </c>
      <c r="G146" s="806" t="s">
        <v>416</v>
      </c>
      <c r="H146" s="152">
        <v>0.75</v>
      </c>
      <c r="I146" s="1425"/>
      <c r="J146" s="1446"/>
      <c r="K146" s="1406"/>
      <c r="L146" s="844"/>
    </row>
    <row r="147" spans="1:12" ht="16.5" customHeight="1" thickBot="1" x14ac:dyDescent="0.25">
      <c r="A147" s="1416"/>
      <c r="B147" s="1418"/>
      <c r="C147" s="1441"/>
      <c r="D147" s="1438"/>
      <c r="E147" s="1443"/>
      <c r="F147" s="916" t="s">
        <v>87</v>
      </c>
      <c r="G147" s="649" t="s">
        <v>398</v>
      </c>
      <c r="H147" s="930">
        <v>1</v>
      </c>
      <c r="I147" s="1426"/>
      <c r="J147" s="1423"/>
      <c r="K147" s="1386"/>
      <c r="L147" s="844"/>
    </row>
    <row r="148" spans="1:12" ht="15.75" x14ac:dyDescent="0.2">
      <c r="A148" s="1417"/>
      <c r="B148" s="1418"/>
      <c r="C148" s="1441"/>
      <c r="D148" s="1439"/>
      <c r="E148" s="1366" t="s">
        <v>399</v>
      </c>
      <c r="F148" s="1366"/>
      <c r="G148" s="1366"/>
      <c r="H148" s="1366"/>
      <c r="I148" s="1366"/>
      <c r="J148" s="1366"/>
      <c r="K148" s="948">
        <f>K144+K145+K146+K147</f>
        <v>0.75</v>
      </c>
      <c r="L148" s="121"/>
    </row>
    <row r="149" spans="1:12" x14ac:dyDescent="0.2">
      <c r="A149" s="1440" t="s">
        <v>2004</v>
      </c>
      <c r="B149" s="1440"/>
      <c r="C149" s="1440"/>
      <c r="D149" s="1440"/>
      <c r="E149" s="1440"/>
      <c r="F149" s="1440"/>
      <c r="G149" s="1440"/>
      <c r="H149" s="1479" t="s">
        <v>2444</v>
      </c>
      <c r="I149" s="1479"/>
      <c r="J149" s="1479"/>
      <c r="K149" s="1470">
        <f>(K132*0.25)+(K137*0.2)+(K140*0.15)+(K143*0.15)+(K148*0.25)</f>
        <v>0.72867499999999996</v>
      </c>
      <c r="L149" s="121"/>
    </row>
    <row r="150" spans="1:12" ht="12.75" thickBot="1" x14ac:dyDescent="0.25">
      <c r="A150" s="1440"/>
      <c r="B150" s="1440"/>
      <c r="C150" s="1440"/>
      <c r="D150" s="1440"/>
      <c r="E150" s="1414"/>
      <c r="F150" s="1414"/>
      <c r="G150" s="1414"/>
      <c r="H150" s="1480"/>
      <c r="I150" s="1480"/>
      <c r="J150" s="1480"/>
      <c r="K150" s="1471"/>
      <c r="L150" s="121"/>
    </row>
    <row r="151" spans="1:12" ht="26.25" customHeight="1" x14ac:dyDescent="0.2">
      <c r="A151" s="1437" t="s">
        <v>400</v>
      </c>
      <c r="B151" s="1418">
        <v>0.12</v>
      </c>
      <c r="C151" s="1419" t="s">
        <v>401</v>
      </c>
      <c r="D151" s="1259">
        <v>0.5</v>
      </c>
      <c r="E151" s="1343" t="s">
        <v>402</v>
      </c>
      <c r="F151" s="906" t="s">
        <v>82</v>
      </c>
      <c r="G151" s="648" t="s">
        <v>388</v>
      </c>
      <c r="H151" s="928">
        <v>0.5</v>
      </c>
      <c r="I151" s="1407" t="s">
        <v>388</v>
      </c>
      <c r="J151" s="1472" t="s">
        <v>403</v>
      </c>
      <c r="K151" s="1409">
        <f>IFERROR(IF(I151="Si",50%,IF(I151="No",0%,0)),0)</f>
        <v>0.5</v>
      </c>
      <c r="L151" s="844"/>
    </row>
    <row r="152" spans="1:12" ht="24.75" customHeight="1" thickBot="1" x14ac:dyDescent="0.25">
      <c r="A152" s="1437"/>
      <c r="B152" s="1418"/>
      <c r="C152" s="1420"/>
      <c r="D152" s="1259"/>
      <c r="E152" s="1344"/>
      <c r="F152" s="916" t="s">
        <v>84</v>
      </c>
      <c r="G152" s="649" t="s">
        <v>85</v>
      </c>
      <c r="H152" s="930">
        <v>0</v>
      </c>
      <c r="I152" s="1408"/>
      <c r="J152" s="1473"/>
      <c r="K152" s="1410"/>
      <c r="L152" s="844"/>
    </row>
    <row r="153" spans="1:12" ht="19.5" customHeight="1" x14ac:dyDescent="0.2">
      <c r="A153" s="1437"/>
      <c r="B153" s="1418"/>
      <c r="C153" s="1420"/>
      <c r="D153" s="1259">
        <v>0.5</v>
      </c>
      <c r="E153" s="1343" t="s">
        <v>404</v>
      </c>
      <c r="F153" s="906" t="s">
        <v>86</v>
      </c>
      <c r="G153" s="648" t="s">
        <v>388</v>
      </c>
      <c r="H153" s="928">
        <v>0.5</v>
      </c>
      <c r="I153" s="1407" t="s">
        <v>388</v>
      </c>
      <c r="J153" s="1473"/>
      <c r="K153" s="1411">
        <f>IFERROR(IF(I153="Si",50%,IF(I153="No",0%,0)),0)</f>
        <v>0.5</v>
      </c>
      <c r="L153" s="844"/>
    </row>
    <row r="154" spans="1:12" ht="30" customHeight="1" thickBot="1" x14ac:dyDescent="0.25">
      <c r="A154" s="1437"/>
      <c r="B154" s="1418"/>
      <c r="C154" s="1420"/>
      <c r="D154" s="1259"/>
      <c r="E154" s="1344"/>
      <c r="F154" s="916" t="s">
        <v>87</v>
      </c>
      <c r="G154" s="649" t="s">
        <v>85</v>
      </c>
      <c r="H154" s="930">
        <v>0</v>
      </c>
      <c r="I154" s="1408"/>
      <c r="J154" s="1474"/>
      <c r="K154" s="1412"/>
      <c r="L154" s="844"/>
    </row>
    <row r="155" spans="1:12" ht="15.75" x14ac:dyDescent="0.2">
      <c r="A155" s="1437"/>
      <c r="B155" s="1418"/>
      <c r="C155" s="1421"/>
      <c r="D155" s="1342" t="s">
        <v>405</v>
      </c>
      <c r="E155" s="1333"/>
      <c r="F155" s="1333"/>
      <c r="G155" s="1333"/>
      <c r="H155" s="1333"/>
      <c r="I155" s="1333"/>
      <c r="J155" s="1333"/>
      <c r="K155" s="948">
        <f>SUM(K151:K154)</f>
        <v>1</v>
      </c>
      <c r="L155" s="121"/>
    </row>
    <row r="156" spans="1:12" ht="16.5" thickBot="1" x14ac:dyDescent="0.25">
      <c r="A156" s="1440" t="s">
        <v>2003</v>
      </c>
      <c r="B156" s="1440"/>
      <c r="C156" s="1440"/>
      <c r="D156" s="1440"/>
      <c r="E156" s="1414"/>
      <c r="F156" s="1414"/>
      <c r="G156" s="1414"/>
      <c r="H156" s="1414" t="s">
        <v>406</v>
      </c>
      <c r="I156" s="1414"/>
      <c r="J156" s="1414"/>
      <c r="K156" s="949">
        <f>K155</f>
        <v>1</v>
      </c>
      <c r="L156" s="121"/>
    </row>
    <row r="157" spans="1:12" ht="15" customHeight="1" x14ac:dyDescent="0.2">
      <c r="A157" s="1415" t="s">
        <v>412</v>
      </c>
      <c r="B157" s="1418">
        <v>0.16</v>
      </c>
      <c r="C157" s="1441" t="s">
        <v>413</v>
      </c>
      <c r="D157" s="1438">
        <v>0.35</v>
      </c>
      <c r="E157" s="1360" t="s">
        <v>414</v>
      </c>
      <c r="F157" s="238" t="s">
        <v>82</v>
      </c>
      <c r="G157" s="635" t="s">
        <v>415</v>
      </c>
      <c r="H157" s="239">
        <v>0.25</v>
      </c>
      <c r="I157" s="240" t="s">
        <v>2785</v>
      </c>
      <c r="J157" s="1422" t="s">
        <v>2445</v>
      </c>
      <c r="K157" s="809" t="str">
        <f>IF(I157="x","25%","0")</f>
        <v>25%</v>
      </c>
      <c r="L157" s="844"/>
    </row>
    <row r="158" spans="1:12" x14ac:dyDescent="0.2">
      <c r="A158" s="1487"/>
      <c r="B158" s="1489"/>
      <c r="C158" s="1441"/>
      <c r="D158" s="1438"/>
      <c r="E158" s="1361"/>
      <c r="F158" s="154" t="s">
        <v>84</v>
      </c>
      <c r="G158" s="805" t="s">
        <v>416</v>
      </c>
      <c r="H158" s="156">
        <v>0.25</v>
      </c>
      <c r="I158" s="164" t="s">
        <v>2785</v>
      </c>
      <c r="J158" s="1446"/>
      <c r="K158" s="810" t="str">
        <f>IF(I158="x","25%","0")</f>
        <v>25%</v>
      </c>
      <c r="L158" s="844"/>
    </row>
    <row r="159" spans="1:12" x14ac:dyDescent="0.2">
      <c r="A159" s="1487"/>
      <c r="B159" s="1489"/>
      <c r="C159" s="1441"/>
      <c r="D159" s="1438"/>
      <c r="E159" s="1361"/>
      <c r="F159" s="154" t="s">
        <v>86</v>
      </c>
      <c r="G159" s="805" t="s">
        <v>417</v>
      </c>
      <c r="H159" s="156">
        <v>0.25</v>
      </c>
      <c r="I159" s="164"/>
      <c r="J159" s="1446"/>
      <c r="K159" s="810" t="str">
        <f>IF(I159="x","25%","0")</f>
        <v>0</v>
      </c>
      <c r="L159" s="844"/>
    </row>
    <row r="160" spans="1:12" x14ac:dyDescent="0.2">
      <c r="A160" s="1487"/>
      <c r="B160" s="1489"/>
      <c r="C160" s="1441"/>
      <c r="D160" s="1438"/>
      <c r="E160" s="1361"/>
      <c r="F160" s="154" t="s">
        <v>87</v>
      </c>
      <c r="G160" s="805" t="s">
        <v>418</v>
      </c>
      <c r="H160" s="156">
        <v>0.25</v>
      </c>
      <c r="I160" s="164"/>
      <c r="J160" s="1446"/>
      <c r="K160" s="810" t="str">
        <f>IF(I160="x","25%","0")</f>
        <v>0</v>
      </c>
      <c r="L160" s="844"/>
    </row>
    <row r="161" spans="1:12" ht="12.75" thickBot="1" x14ac:dyDescent="0.25">
      <c r="A161" s="1487"/>
      <c r="B161" s="1489"/>
      <c r="C161" s="1441"/>
      <c r="D161" s="1438"/>
      <c r="E161" s="1362"/>
      <c r="F161" s="927" t="s">
        <v>95</v>
      </c>
      <c r="G161" s="637" t="s">
        <v>419</v>
      </c>
      <c r="H161" s="945">
        <v>0</v>
      </c>
      <c r="I161" s="244"/>
      <c r="J161" s="1423"/>
      <c r="K161" s="811" t="str">
        <f>IF(I161="x","0","0")</f>
        <v>0</v>
      </c>
      <c r="L161" s="844"/>
    </row>
    <row r="162" spans="1:12" ht="16.5" thickBot="1" x14ac:dyDescent="0.25">
      <c r="A162" s="1487"/>
      <c r="B162" s="1489"/>
      <c r="C162" s="1441"/>
      <c r="D162" s="1439"/>
      <c r="E162" s="1413" t="s">
        <v>420</v>
      </c>
      <c r="F162" s="1413"/>
      <c r="G162" s="1413"/>
      <c r="H162" s="1413"/>
      <c r="I162" s="1413"/>
      <c r="J162" s="1413"/>
      <c r="K162" s="947">
        <f>K157+K158+K159+K160+K161</f>
        <v>0.5</v>
      </c>
      <c r="L162" s="1073"/>
    </row>
    <row r="163" spans="1:12" ht="15" customHeight="1" x14ac:dyDescent="0.2">
      <c r="A163" s="1487"/>
      <c r="B163" s="1489"/>
      <c r="C163" s="1441" t="s">
        <v>421</v>
      </c>
      <c r="D163" s="1438">
        <v>0.35</v>
      </c>
      <c r="E163" s="1360" t="s">
        <v>422</v>
      </c>
      <c r="F163" s="238" t="s">
        <v>82</v>
      </c>
      <c r="G163" s="635" t="s">
        <v>423</v>
      </c>
      <c r="H163" s="239">
        <v>0.25</v>
      </c>
      <c r="I163" s="240" t="s">
        <v>2785</v>
      </c>
      <c r="J163" s="1422" t="s">
        <v>424</v>
      </c>
      <c r="K163" s="809" t="str">
        <f>IF(I163="x","25%","0")</f>
        <v>25%</v>
      </c>
      <c r="L163" s="844"/>
    </row>
    <row r="164" spans="1:12" x14ac:dyDescent="0.2">
      <c r="A164" s="1487"/>
      <c r="B164" s="1489"/>
      <c r="C164" s="1441"/>
      <c r="D164" s="1438"/>
      <c r="E164" s="1361"/>
      <c r="F164" s="154" t="s">
        <v>84</v>
      </c>
      <c r="G164" s="805" t="s">
        <v>416</v>
      </c>
      <c r="H164" s="156">
        <v>0.25</v>
      </c>
      <c r="I164" s="164" t="s">
        <v>2785</v>
      </c>
      <c r="J164" s="1446"/>
      <c r="K164" s="810" t="str">
        <f>IF(I164="x","25%","0")</f>
        <v>25%</v>
      </c>
      <c r="L164" s="844"/>
    </row>
    <row r="165" spans="1:12" x14ac:dyDescent="0.2">
      <c r="A165" s="1487"/>
      <c r="B165" s="1489"/>
      <c r="C165" s="1441"/>
      <c r="D165" s="1438"/>
      <c r="E165" s="1361"/>
      <c r="F165" s="154" t="s">
        <v>86</v>
      </c>
      <c r="G165" s="805" t="s">
        <v>417</v>
      </c>
      <c r="H165" s="156">
        <v>0.25</v>
      </c>
      <c r="I165" s="164"/>
      <c r="J165" s="1446"/>
      <c r="K165" s="810" t="str">
        <f>IF(I165="x","25%","0")</f>
        <v>0</v>
      </c>
      <c r="L165" s="844"/>
    </row>
    <row r="166" spans="1:12" x14ac:dyDescent="0.2">
      <c r="A166" s="1487"/>
      <c r="B166" s="1489"/>
      <c r="C166" s="1441"/>
      <c r="D166" s="1438"/>
      <c r="E166" s="1361"/>
      <c r="F166" s="178" t="s">
        <v>87</v>
      </c>
      <c r="G166" s="638" t="s">
        <v>418</v>
      </c>
      <c r="H166" s="156">
        <v>0.25</v>
      </c>
      <c r="I166" s="164"/>
      <c r="J166" s="1446"/>
      <c r="K166" s="810" t="str">
        <f>IF(I166="x","25%","0")</f>
        <v>0</v>
      </c>
      <c r="L166" s="844"/>
    </row>
    <row r="167" spans="1:12" ht="12.75" thickBot="1" x14ac:dyDescent="0.25">
      <c r="A167" s="1487"/>
      <c r="B167" s="1489"/>
      <c r="C167" s="1441"/>
      <c r="D167" s="1438"/>
      <c r="E167" s="1362"/>
      <c r="F167" s="242" t="s">
        <v>95</v>
      </c>
      <c r="G167" s="636" t="s">
        <v>419</v>
      </c>
      <c r="H167" s="243">
        <v>0</v>
      </c>
      <c r="I167" s="244"/>
      <c r="J167" s="1423"/>
      <c r="K167" s="811" t="str">
        <f>IF(I167="x","0","0")</f>
        <v>0</v>
      </c>
      <c r="L167" s="844"/>
    </row>
    <row r="168" spans="1:12" ht="16.5" thickBot="1" x14ac:dyDescent="0.25">
      <c r="A168" s="1487"/>
      <c r="B168" s="1489"/>
      <c r="C168" s="1441"/>
      <c r="D168" s="1439"/>
      <c r="E168" s="1413" t="s">
        <v>425</v>
      </c>
      <c r="F168" s="1413"/>
      <c r="G168" s="1413"/>
      <c r="H168" s="1413"/>
      <c r="I168" s="1413"/>
      <c r="J168" s="1413"/>
      <c r="K168" s="947">
        <f>K163+K164+K165+K166+K167</f>
        <v>0.5</v>
      </c>
      <c r="L168" s="1073"/>
    </row>
    <row r="169" spans="1:12" ht="15" customHeight="1" x14ac:dyDescent="0.2">
      <c r="A169" s="1487"/>
      <c r="B169" s="1489"/>
      <c r="C169" s="1441" t="s">
        <v>426</v>
      </c>
      <c r="D169" s="1259">
        <v>0.3</v>
      </c>
      <c r="E169" s="1360" t="s">
        <v>427</v>
      </c>
      <c r="F169" s="238" t="s">
        <v>82</v>
      </c>
      <c r="G169" s="635" t="s">
        <v>423</v>
      </c>
      <c r="H169" s="239">
        <v>0.25</v>
      </c>
      <c r="I169" s="240" t="s">
        <v>2785</v>
      </c>
      <c r="J169" s="1422" t="s">
        <v>428</v>
      </c>
      <c r="K169" s="809" t="str">
        <f>IF(I169="x","25%","0")</f>
        <v>25%</v>
      </c>
      <c r="L169" s="844"/>
    </row>
    <row r="170" spans="1:12" x14ac:dyDescent="0.2">
      <c r="A170" s="1487"/>
      <c r="B170" s="1489"/>
      <c r="C170" s="1441"/>
      <c r="D170" s="1259"/>
      <c r="E170" s="1361"/>
      <c r="F170" s="154" t="s">
        <v>84</v>
      </c>
      <c r="G170" s="805" t="s">
        <v>416</v>
      </c>
      <c r="H170" s="156">
        <v>0.25</v>
      </c>
      <c r="I170" s="164" t="s">
        <v>2785</v>
      </c>
      <c r="J170" s="1446"/>
      <c r="K170" s="810" t="str">
        <f>IF(I170="x","25%","0")</f>
        <v>25%</v>
      </c>
      <c r="L170" s="844"/>
    </row>
    <row r="171" spans="1:12" x14ac:dyDescent="0.2">
      <c r="A171" s="1487"/>
      <c r="B171" s="1489"/>
      <c r="C171" s="1441"/>
      <c r="D171" s="1259"/>
      <c r="E171" s="1361"/>
      <c r="F171" s="154" t="s">
        <v>86</v>
      </c>
      <c r="G171" s="805" t="s">
        <v>417</v>
      </c>
      <c r="H171" s="156">
        <v>0.25</v>
      </c>
      <c r="I171" s="164"/>
      <c r="J171" s="1446"/>
      <c r="K171" s="810" t="str">
        <f>IF(I171="x","25%","0")</f>
        <v>0</v>
      </c>
      <c r="L171" s="844"/>
    </row>
    <row r="172" spans="1:12" x14ac:dyDescent="0.2">
      <c r="A172" s="1487"/>
      <c r="B172" s="1489"/>
      <c r="C172" s="1441"/>
      <c r="D172" s="1259"/>
      <c r="E172" s="1361"/>
      <c r="F172" s="178" t="s">
        <v>87</v>
      </c>
      <c r="G172" s="638" t="s">
        <v>418</v>
      </c>
      <c r="H172" s="156">
        <v>0.25</v>
      </c>
      <c r="I172" s="164"/>
      <c r="J172" s="1446"/>
      <c r="K172" s="810" t="str">
        <f>IF(I172="x","25%","0")</f>
        <v>0</v>
      </c>
      <c r="L172" s="844"/>
    </row>
    <row r="173" spans="1:12" ht="12.75" thickBot="1" x14ac:dyDescent="0.25">
      <c r="A173" s="1487"/>
      <c r="B173" s="1489"/>
      <c r="C173" s="1441"/>
      <c r="D173" s="1259"/>
      <c r="E173" s="1362"/>
      <c r="F173" s="242" t="s">
        <v>95</v>
      </c>
      <c r="G173" s="636" t="s">
        <v>419</v>
      </c>
      <c r="H173" s="243">
        <v>0</v>
      </c>
      <c r="I173" s="244"/>
      <c r="J173" s="1423"/>
      <c r="K173" s="811" t="str">
        <f>IF(I173="x","0","0")</f>
        <v>0</v>
      </c>
      <c r="L173" s="844"/>
    </row>
    <row r="174" spans="1:12" ht="15.75" x14ac:dyDescent="0.2">
      <c r="A174" s="1488"/>
      <c r="B174" s="1489"/>
      <c r="C174" s="1441"/>
      <c r="D174" s="1230"/>
      <c r="E174" s="1366" t="s">
        <v>429</v>
      </c>
      <c r="F174" s="1366"/>
      <c r="G174" s="1366"/>
      <c r="H174" s="1366"/>
      <c r="I174" s="1366"/>
      <c r="J174" s="1366"/>
      <c r="K174" s="948">
        <f>K169+K170+K171+K172+K173</f>
        <v>0.5</v>
      </c>
      <c r="L174" s="1073"/>
    </row>
    <row r="175" spans="1:12" ht="16.5" thickBot="1" x14ac:dyDescent="0.25">
      <c r="A175" s="1440" t="s">
        <v>2002</v>
      </c>
      <c r="B175" s="1440"/>
      <c r="C175" s="1440"/>
      <c r="D175" s="1440"/>
      <c r="E175" s="1414"/>
      <c r="F175" s="1414"/>
      <c r="G175" s="1414"/>
      <c r="H175" s="1480" t="s">
        <v>430</v>
      </c>
      <c r="I175" s="1480"/>
      <c r="J175" s="1480"/>
      <c r="K175" s="949">
        <f>(K162*0.35)+(K168*0.35)+(K174*0.3)</f>
        <v>0.5</v>
      </c>
      <c r="L175" s="121"/>
    </row>
    <row r="176" spans="1:12" ht="38.25" customHeight="1" x14ac:dyDescent="0.2">
      <c r="A176" s="1415" t="s">
        <v>431</v>
      </c>
      <c r="B176" s="1418">
        <v>0.12</v>
      </c>
      <c r="C176" s="1419" t="s">
        <v>432</v>
      </c>
      <c r="D176" s="1259">
        <v>0.14000000000000001</v>
      </c>
      <c r="E176" s="1442" t="s">
        <v>433</v>
      </c>
      <c r="F176" s="906" t="s">
        <v>82</v>
      </c>
      <c r="G176" s="648" t="s">
        <v>338</v>
      </c>
      <c r="H176" s="928">
        <v>1</v>
      </c>
      <c r="I176" s="1403" t="s">
        <v>388</v>
      </c>
      <c r="J176" s="1422" t="s">
        <v>434</v>
      </c>
      <c r="K176" s="1385">
        <f>IFERROR(IF(I176="Si",100%,IF(I176="No",0%,0)),0)</f>
        <v>1</v>
      </c>
      <c r="L176" s="844"/>
    </row>
    <row r="177" spans="1:12" ht="19.5" customHeight="1" thickBot="1" x14ac:dyDescent="0.25">
      <c r="A177" s="1416"/>
      <c r="B177" s="1418"/>
      <c r="C177" s="1420"/>
      <c r="D177" s="1259"/>
      <c r="E177" s="1443"/>
      <c r="F177" s="944" t="s">
        <v>84</v>
      </c>
      <c r="G177" s="929" t="s">
        <v>85</v>
      </c>
      <c r="H177" s="946">
        <v>0</v>
      </c>
      <c r="I177" s="1404"/>
      <c r="J177" s="1423"/>
      <c r="K177" s="1386"/>
      <c r="L177" s="844"/>
    </row>
    <row r="178" spans="1:12" ht="16.5" thickBot="1" x14ac:dyDescent="0.25">
      <c r="A178" s="1416"/>
      <c r="B178" s="1418"/>
      <c r="C178" s="1421"/>
      <c r="D178" s="1230"/>
      <c r="E178" s="1365" t="s">
        <v>435</v>
      </c>
      <c r="F178" s="1444"/>
      <c r="G178" s="1444"/>
      <c r="H178" s="1444"/>
      <c r="I178" s="1444"/>
      <c r="J178" s="1445"/>
      <c r="K178" s="947">
        <f>K176</f>
        <v>1</v>
      </c>
      <c r="L178" s="121"/>
    </row>
    <row r="179" spans="1:12" ht="20.25" customHeight="1" x14ac:dyDescent="0.2">
      <c r="A179" s="1416"/>
      <c r="B179" s="1418"/>
      <c r="C179" s="1441" t="s">
        <v>436</v>
      </c>
      <c r="D179" s="1259">
        <v>0.24</v>
      </c>
      <c r="E179" s="1442" t="s">
        <v>437</v>
      </c>
      <c r="F179" s="906" t="s">
        <v>82</v>
      </c>
      <c r="G179" s="648" t="s">
        <v>438</v>
      </c>
      <c r="H179" s="928">
        <v>1</v>
      </c>
      <c r="I179" s="1403" t="s">
        <v>388</v>
      </c>
      <c r="J179" s="1422" t="s">
        <v>439</v>
      </c>
      <c r="K179" s="1385">
        <f>IFERROR(IF(I179="Si",100%,IF(I179="No",0%,0)),0)</f>
        <v>1</v>
      </c>
      <c r="L179" s="844"/>
    </row>
    <row r="180" spans="1:12" ht="28.5" customHeight="1" thickBot="1" x14ac:dyDescent="0.25">
      <c r="A180" s="1416"/>
      <c r="B180" s="1418"/>
      <c r="C180" s="1441"/>
      <c r="D180" s="1259"/>
      <c r="E180" s="1443"/>
      <c r="F180" s="916" t="s">
        <v>84</v>
      </c>
      <c r="G180" s="929" t="s">
        <v>85</v>
      </c>
      <c r="H180" s="930">
        <v>0</v>
      </c>
      <c r="I180" s="1404"/>
      <c r="J180" s="1423"/>
      <c r="K180" s="1386"/>
      <c r="L180" s="844"/>
    </row>
    <row r="181" spans="1:12" ht="16.5" thickBot="1" x14ac:dyDescent="0.25">
      <c r="A181" s="1416"/>
      <c r="B181" s="1418"/>
      <c r="C181" s="1441"/>
      <c r="D181" s="1230"/>
      <c r="E181" s="1413" t="s">
        <v>440</v>
      </c>
      <c r="F181" s="1413"/>
      <c r="G181" s="1413"/>
      <c r="H181" s="1413"/>
      <c r="I181" s="1413"/>
      <c r="J181" s="1413"/>
      <c r="K181" s="947">
        <f>K179</f>
        <v>1</v>
      </c>
      <c r="L181" s="121"/>
    </row>
    <row r="182" spans="1:12" ht="27" customHeight="1" x14ac:dyDescent="0.2">
      <c r="A182" s="1416"/>
      <c r="B182" s="1418"/>
      <c r="C182" s="1441" t="s">
        <v>441</v>
      </c>
      <c r="D182" s="1259">
        <v>0.24</v>
      </c>
      <c r="E182" s="1442" t="s">
        <v>442</v>
      </c>
      <c r="F182" s="906" t="s">
        <v>82</v>
      </c>
      <c r="G182" s="648" t="s">
        <v>83</v>
      </c>
      <c r="H182" s="928">
        <v>1</v>
      </c>
      <c r="I182" s="1403" t="s">
        <v>388</v>
      </c>
      <c r="J182" s="1422" t="s">
        <v>443</v>
      </c>
      <c r="K182" s="1385">
        <f>IFERROR(IF(I182="Si",100%,IF(I182="No",0%,0)),0)</f>
        <v>1</v>
      </c>
      <c r="L182" s="844"/>
    </row>
    <row r="183" spans="1:12" ht="34.5" customHeight="1" thickBot="1" x14ac:dyDescent="0.25">
      <c r="A183" s="1416"/>
      <c r="B183" s="1418"/>
      <c r="C183" s="1441"/>
      <c r="D183" s="1259"/>
      <c r="E183" s="1443"/>
      <c r="F183" s="916" t="s">
        <v>84</v>
      </c>
      <c r="G183" s="649" t="s">
        <v>85</v>
      </c>
      <c r="H183" s="930">
        <v>0</v>
      </c>
      <c r="I183" s="1404"/>
      <c r="J183" s="1423"/>
      <c r="K183" s="1386"/>
      <c r="L183" s="844"/>
    </row>
    <row r="184" spans="1:12" ht="19.5" customHeight="1" thickBot="1" x14ac:dyDescent="0.25">
      <c r="A184" s="1416"/>
      <c r="B184" s="1418"/>
      <c r="C184" s="1441"/>
      <c r="D184" s="1230"/>
      <c r="E184" s="1413" t="s">
        <v>444</v>
      </c>
      <c r="F184" s="1413"/>
      <c r="G184" s="1413"/>
      <c r="H184" s="1413"/>
      <c r="I184" s="1413"/>
      <c r="J184" s="1413"/>
      <c r="K184" s="947">
        <f>K182</f>
        <v>1</v>
      </c>
      <c r="L184" s="121"/>
    </row>
    <row r="185" spans="1:12" ht="22.5" customHeight="1" x14ac:dyDescent="0.2">
      <c r="A185" s="1416"/>
      <c r="B185" s="1418"/>
      <c r="C185" s="1441" t="s">
        <v>445</v>
      </c>
      <c r="D185" s="1438">
        <v>0.24</v>
      </c>
      <c r="E185" s="1442" t="s">
        <v>446</v>
      </c>
      <c r="F185" s="906" t="s">
        <v>82</v>
      </c>
      <c r="G185" s="648" t="s">
        <v>338</v>
      </c>
      <c r="H185" s="928">
        <v>1</v>
      </c>
      <c r="I185" s="1403" t="s">
        <v>388</v>
      </c>
      <c r="J185" s="1422" t="s">
        <v>447</v>
      </c>
      <c r="K185" s="1385">
        <f>IFERROR(IF(I185="Si",100%,IF(I185="No",0%,0)),0)</f>
        <v>1</v>
      </c>
      <c r="L185" s="844"/>
    </row>
    <row r="186" spans="1:12" ht="21.75" customHeight="1" thickBot="1" x14ac:dyDescent="0.25">
      <c r="A186" s="1416"/>
      <c r="B186" s="1418"/>
      <c r="C186" s="1441"/>
      <c r="D186" s="1438"/>
      <c r="E186" s="1443"/>
      <c r="F186" s="916" t="s">
        <v>84</v>
      </c>
      <c r="G186" s="649" t="s">
        <v>340</v>
      </c>
      <c r="H186" s="930">
        <v>0</v>
      </c>
      <c r="I186" s="1404"/>
      <c r="J186" s="1423"/>
      <c r="K186" s="1386"/>
      <c r="L186" s="844"/>
    </row>
    <row r="187" spans="1:12" ht="16.5" thickBot="1" x14ac:dyDescent="0.25">
      <c r="A187" s="1416"/>
      <c r="B187" s="1418"/>
      <c r="C187" s="1441"/>
      <c r="D187" s="1439"/>
      <c r="E187" s="1413" t="s">
        <v>448</v>
      </c>
      <c r="F187" s="1413"/>
      <c r="G187" s="1413"/>
      <c r="H187" s="1413"/>
      <c r="I187" s="1413"/>
      <c r="J187" s="1413"/>
      <c r="K187" s="947">
        <f>K185</f>
        <v>1</v>
      </c>
      <c r="L187" s="121"/>
    </row>
    <row r="188" spans="1:12" ht="35.25" customHeight="1" x14ac:dyDescent="0.2">
      <c r="A188" s="1416"/>
      <c r="B188" s="1418"/>
      <c r="C188" s="1441" t="s">
        <v>449</v>
      </c>
      <c r="D188" s="1438">
        <v>0.14000000000000001</v>
      </c>
      <c r="E188" s="1442" t="s">
        <v>450</v>
      </c>
      <c r="F188" s="906" t="s">
        <v>82</v>
      </c>
      <c r="G188" s="648" t="s">
        <v>451</v>
      </c>
      <c r="H188" s="928">
        <v>1</v>
      </c>
      <c r="I188" s="1403" t="s">
        <v>451</v>
      </c>
      <c r="J188" s="1422" t="s">
        <v>452</v>
      </c>
      <c r="K188" s="1385">
        <f>IF(I188="Totalmente",100%,IF(I188="Parcialmente",50%,IF(I188="Incipientemente",25%,0)))</f>
        <v>1</v>
      </c>
      <c r="L188" s="844"/>
    </row>
    <row r="189" spans="1:12" ht="26.25" customHeight="1" x14ac:dyDescent="0.2">
      <c r="A189" s="1416"/>
      <c r="B189" s="1418"/>
      <c r="C189" s="1441"/>
      <c r="D189" s="1438"/>
      <c r="E189" s="1456"/>
      <c r="F189" s="155" t="s">
        <v>84</v>
      </c>
      <c r="G189" s="806" t="s">
        <v>453</v>
      </c>
      <c r="H189" s="152">
        <v>0.5</v>
      </c>
      <c r="I189" s="1405"/>
      <c r="J189" s="1446"/>
      <c r="K189" s="1406"/>
      <c r="L189" s="844"/>
    </row>
    <row r="190" spans="1:12" ht="19.5" customHeight="1" thickBot="1" x14ac:dyDescent="0.25">
      <c r="A190" s="1416"/>
      <c r="B190" s="1418"/>
      <c r="C190" s="1441"/>
      <c r="D190" s="1438"/>
      <c r="E190" s="1443"/>
      <c r="F190" s="916" t="s">
        <v>86</v>
      </c>
      <c r="G190" s="649" t="s">
        <v>454</v>
      </c>
      <c r="H190" s="930">
        <v>0.25</v>
      </c>
      <c r="I190" s="1404"/>
      <c r="J190" s="1423"/>
      <c r="K190" s="1386"/>
      <c r="L190" s="844"/>
    </row>
    <row r="191" spans="1:12" ht="21" customHeight="1" x14ac:dyDescent="0.2">
      <c r="A191" s="1417"/>
      <c r="B191" s="1418"/>
      <c r="C191" s="1441"/>
      <c r="D191" s="1439"/>
      <c r="E191" s="1366" t="s">
        <v>455</v>
      </c>
      <c r="F191" s="1366"/>
      <c r="G191" s="1366"/>
      <c r="H191" s="1366"/>
      <c r="I191" s="1366"/>
      <c r="J191" s="1366"/>
      <c r="K191" s="948">
        <f>K188</f>
        <v>1</v>
      </c>
      <c r="L191" s="121"/>
    </row>
    <row r="192" spans="1:12" ht="15.75" x14ac:dyDescent="0.2">
      <c r="A192" s="1479" t="s">
        <v>2001</v>
      </c>
      <c r="B192" s="1479"/>
      <c r="C192" s="1479"/>
      <c r="D192" s="1479"/>
      <c r="E192" s="1479"/>
      <c r="F192" s="1479"/>
      <c r="G192" s="1479"/>
      <c r="H192" s="1486" t="s">
        <v>2441</v>
      </c>
      <c r="I192" s="1486"/>
      <c r="J192" s="1486"/>
      <c r="K192" s="951">
        <f>(K178*0.14)+(K181*0.24)+(K184*0.24)+(K187*0.24)+(K191*0.14)</f>
        <v>1</v>
      </c>
      <c r="L192" s="121"/>
    </row>
    <row r="193" spans="1:12" ht="15.75" x14ac:dyDescent="0.2">
      <c r="A193" s="1375" t="s">
        <v>2015</v>
      </c>
      <c r="B193" s="1375"/>
      <c r="C193" s="1375"/>
      <c r="D193" s="1375"/>
      <c r="E193" s="1375"/>
      <c r="F193" s="1375"/>
      <c r="G193" s="1375"/>
      <c r="H193" s="1381" t="s">
        <v>2446</v>
      </c>
      <c r="I193" s="1381"/>
      <c r="J193" s="1381"/>
      <c r="K193" s="951">
        <f>IF(((K22*0.16)+(K111*0.16)+(K124*0.16)+(K149*0.12)+(K156*0.12)+(K175*0.16)+(K192*0.12))&gt;1,1,(K22*0.16)+(K111*0.16)+(K124*0.16)+(K149*0.12)+(K156*0.12)+(K175*0.16)+(K192*0.12))</f>
        <v>0.81626818832116788</v>
      </c>
      <c r="L193" s="121"/>
    </row>
    <row r="194" spans="1:12" ht="15" x14ac:dyDescent="0.2">
      <c r="G194" s="21"/>
      <c r="K194" s="167"/>
    </row>
    <row r="195" spans="1:12" x14ac:dyDescent="0.2">
      <c r="A195" s="1124" t="s">
        <v>1964</v>
      </c>
      <c r="B195" s="1124"/>
      <c r="C195" s="1124"/>
      <c r="D195" s="1124"/>
    </row>
    <row r="196" spans="1:12" x14ac:dyDescent="0.2">
      <c r="A196" s="179"/>
      <c r="B196" s="1376" t="s">
        <v>2010</v>
      </c>
      <c r="C196" s="1376"/>
      <c r="D196" s="1376"/>
    </row>
    <row r="197" spans="1:12" x14ac:dyDescent="0.2">
      <c r="A197" s="169"/>
      <c r="B197" s="1376" t="s">
        <v>2011</v>
      </c>
      <c r="C197" s="1376"/>
      <c r="D197" s="1376"/>
    </row>
    <row r="198" spans="1:12" x14ac:dyDescent="0.2">
      <c r="A198" s="180"/>
      <c r="B198" s="1376" t="s">
        <v>2012</v>
      </c>
      <c r="C198" s="1376"/>
      <c r="D198" s="1376"/>
    </row>
    <row r="199" spans="1:12" ht="22.5" customHeight="1" x14ac:dyDescent="0.2">
      <c r="A199" s="73"/>
      <c r="B199" s="1149" t="s">
        <v>2014</v>
      </c>
      <c r="C199" s="1149"/>
      <c r="D199" s="1149"/>
    </row>
    <row r="200" spans="1:12" ht="15" customHeight="1" x14ac:dyDescent="0.2">
      <c r="A200" s="7"/>
      <c r="B200" s="1149" t="s">
        <v>2013</v>
      </c>
      <c r="C200" s="1149"/>
      <c r="D200" s="1149"/>
    </row>
    <row r="202" spans="1:12" ht="12.75" thickBot="1" x14ac:dyDescent="0.25"/>
    <row r="203" spans="1:12" ht="12.75" thickBot="1" x14ac:dyDescent="0.25">
      <c r="A203" s="1181" t="s">
        <v>2227</v>
      </c>
      <c r="B203" s="1182"/>
      <c r="C203" s="1182"/>
      <c r="D203" s="1183"/>
    </row>
    <row r="204" spans="1:12" ht="15.75" customHeight="1" thickBot="1" x14ac:dyDescent="0.25">
      <c r="A204" s="94" t="s">
        <v>2228</v>
      </c>
      <c r="B204" s="95" t="s">
        <v>2229</v>
      </c>
      <c r="C204" s="95" t="s">
        <v>2230</v>
      </c>
      <c r="D204" s="95" t="s">
        <v>2231</v>
      </c>
    </row>
    <row r="205" spans="1:12" ht="12.75" thickBot="1" x14ac:dyDescent="0.25">
      <c r="A205" s="96">
        <v>1</v>
      </c>
      <c r="B205" s="97" t="s">
        <v>2232</v>
      </c>
      <c r="C205" s="97" t="s">
        <v>2233</v>
      </c>
      <c r="D205" s="98"/>
    </row>
    <row r="206" spans="1:12" ht="12.75" thickBot="1" x14ac:dyDescent="0.25">
      <c r="A206" s="96">
        <v>2</v>
      </c>
      <c r="B206" s="97" t="s">
        <v>2234</v>
      </c>
      <c r="C206" s="97" t="s">
        <v>2235</v>
      </c>
      <c r="D206" s="99"/>
    </row>
    <row r="207" spans="1:12" ht="15" customHeight="1" thickBot="1" x14ac:dyDescent="0.25">
      <c r="A207" s="96">
        <v>3</v>
      </c>
      <c r="B207" s="97" t="s">
        <v>2236</v>
      </c>
      <c r="C207" s="97" t="s">
        <v>2237</v>
      </c>
      <c r="D207" s="100"/>
    </row>
    <row r="208" spans="1:12" ht="16.5" customHeight="1" thickBot="1" x14ac:dyDescent="0.25">
      <c r="A208" s="96">
        <v>4</v>
      </c>
      <c r="B208" s="97" t="s">
        <v>2238</v>
      </c>
      <c r="C208" s="97" t="s">
        <v>2239</v>
      </c>
      <c r="D208" s="101"/>
    </row>
    <row r="209" spans="1:4" ht="12.75" thickBot="1" x14ac:dyDescent="0.25">
      <c r="A209" s="96">
        <v>5</v>
      </c>
      <c r="B209" s="97" t="s">
        <v>2240</v>
      </c>
      <c r="C209" s="97" t="s">
        <v>2241</v>
      </c>
      <c r="D209" s="102"/>
    </row>
    <row r="213" spans="1:4" x14ac:dyDescent="0.2">
      <c r="A213" s="1124" t="s">
        <v>2285</v>
      </c>
      <c r="B213" s="1245"/>
      <c r="C213" s="1245"/>
      <c r="D213" s="1245"/>
    </row>
    <row r="214" spans="1:4" ht="45" customHeight="1" x14ac:dyDescent="0.2">
      <c r="A214" s="1393" t="s">
        <v>2056</v>
      </c>
      <c r="B214" s="1394"/>
      <c r="C214" s="1394"/>
      <c r="D214" s="1395"/>
    </row>
    <row r="215" spans="1:4" ht="18.75" customHeight="1" x14ac:dyDescent="0.2">
      <c r="A215" s="1430" t="s">
        <v>2036</v>
      </c>
      <c r="B215" s="1431"/>
      <c r="C215" s="1431"/>
      <c r="D215" s="1432"/>
    </row>
    <row r="216" spans="1:4" ht="12.75" customHeight="1" x14ac:dyDescent="0.2">
      <c r="A216" s="1433" t="s">
        <v>2057</v>
      </c>
      <c r="B216" s="1434"/>
      <c r="C216" s="1434"/>
      <c r="D216" s="1435"/>
    </row>
    <row r="217" spans="1:4" ht="50.25" customHeight="1" x14ac:dyDescent="0.2">
      <c r="A217" s="1393" t="s">
        <v>2058</v>
      </c>
      <c r="B217" s="1394"/>
      <c r="C217" s="1394"/>
      <c r="D217" s="1395"/>
    </row>
    <row r="218" spans="1:4" ht="30.75" customHeight="1" x14ac:dyDescent="0.2">
      <c r="A218" s="1427" t="s">
        <v>2059</v>
      </c>
      <c r="B218" s="1428"/>
      <c r="C218" s="1428"/>
      <c r="D218" s="1429"/>
    </row>
  </sheetData>
  <sheetProtection password="B860" sheet="1" objects="1" scenarios="1"/>
  <mergeCells count="210">
    <mergeCell ref="E163:E167"/>
    <mergeCell ref="C179:C181"/>
    <mergeCell ref="A175:G175"/>
    <mergeCell ref="H175:J175"/>
    <mergeCell ref="D179:D181"/>
    <mergeCell ref="J179:J180"/>
    <mergeCell ref="C182:C184"/>
    <mergeCell ref="I138:I139"/>
    <mergeCell ref="K138:K139"/>
    <mergeCell ref="I141:I142"/>
    <mergeCell ref="K141:K142"/>
    <mergeCell ref="I144:I147"/>
    <mergeCell ref="K144:K147"/>
    <mergeCell ref="D182:D184"/>
    <mergeCell ref="J182:J183"/>
    <mergeCell ref="J169:J173"/>
    <mergeCell ref="A157:A174"/>
    <mergeCell ref="B157:B174"/>
    <mergeCell ref="C157:C162"/>
    <mergeCell ref="D157:D162"/>
    <mergeCell ref="J157:J161"/>
    <mergeCell ref="C163:C168"/>
    <mergeCell ref="D163:D168"/>
    <mergeCell ref="E157:E161"/>
    <mergeCell ref="E162:J162"/>
    <mergeCell ref="J9:J12"/>
    <mergeCell ref="C14:C18"/>
    <mergeCell ref="D14:D18"/>
    <mergeCell ref="J14:J17"/>
    <mergeCell ref="C19:C21"/>
    <mergeCell ref="D19:D21"/>
    <mergeCell ref="B199:D199"/>
    <mergeCell ref="B200:D200"/>
    <mergeCell ref="A195:D195"/>
    <mergeCell ref="B196:D196"/>
    <mergeCell ref="B197:D197"/>
    <mergeCell ref="B198:D198"/>
    <mergeCell ref="E187:J187"/>
    <mergeCell ref="E188:E190"/>
    <mergeCell ref="E191:J191"/>
    <mergeCell ref="A192:G192"/>
    <mergeCell ref="H192:J192"/>
    <mergeCell ref="C185:C187"/>
    <mergeCell ref="D185:D187"/>
    <mergeCell ref="A193:G193"/>
    <mergeCell ref="H193:J193"/>
    <mergeCell ref="C188:C191"/>
    <mergeCell ref="D188:D191"/>
    <mergeCell ref="J185:J186"/>
    <mergeCell ref="J144:J147"/>
    <mergeCell ref="A149:G150"/>
    <mergeCell ref="H149:J150"/>
    <mergeCell ref="E144:E147"/>
    <mergeCell ref="E148:J148"/>
    <mergeCell ref="J163:J167"/>
    <mergeCell ref="J188:J190"/>
    <mergeCell ref="A1:L1"/>
    <mergeCell ref="E4:E7"/>
    <mergeCell ref="E8:I8"/>
    <mergeCell ref="E9:E12"/>
    <mergeCell ref="E13:I13"/>
    <mergeCell ref="E14:E17"/>
    <mergeCell ref="E18:I18"/>
    <mergeCell ref="E19:E20"/>
    <mergeCell ref="E21:I21"/>
    <mergeCell ref="A2:L2"/>
    <mergeCell ref="J19:J20"/>
    <mergeCell ref="A4:A21"/>
    <mergeCell ref="B4:B21"/>
    <mergeCell ref="C4:C8"/>
    <mergeCell ref="D4:D8"/>
    <mergeCell ref="C9:C13"/>
    <mergeCell ref="D9:D13"/>
    <mergeCell ref="J133:J136"/>
    <mergeCell ref="C138:C140"/>
    <mergeCell ref="D138:D140"/>
    <mergeCell ref="A124:G124"/>
    <mergeCell ref="H124:J124"/>
    <mergeCell ref="A125:A148"/>
    <mergeCell ref="B125:B148"/>
    <mergeCell ref="C125:C132"/>
    <mergeCell ref="D125:D132"/>
    <mergeCell ref="C133:C137"/>
    <mergeCell ref="J138:J139"/>
    <mergeCell ref="C141:C143"/>
    <mergeCell ref="D141:D143"/>
    <mergeCell ref="J141:J142"/>
    <mergeCell ref="E132:J132"/>
    <mergeCell ref="E133:E136"/>
    <mergeCell ref="E137:J137"/>
    <mergeCell ref="E138:E139"/>
    <mergeCell ref="E140:J140"/>
    <mergeCell ref="E141:E142"/>
    <mergeCell ref="E143:J143"/>
    <mergeCell ref="E125:E131"/>
    <mergeCell ref="C144:C148"/>
    <mergeCell ref="D144:D148"/>
    <mergeCell ref="K149:K150"/>
    <mergeCell ref="A151:A155"/>
    <mergeCell ref="B151:B155"/>
    <mergeCell ref="C151:C155"/>
    <mergeCell ref="D151:D152"/>
    <mergeCell ref="E151:E152"/>
    <mergeCell ref="J151:J154"/>
    <mergeCell ref="D153:D154"/>
    <mergeCell ref="E153:E154"/>
    <mergeCell ref="D155:J155"/>
    <mergeCell ref="C118:C120"/>
    <mergeCell ref="C121:C123"/>
    <mergeCell ref="D121:D123"/>
    <mergeCell ref="J121:J122"/>
    <mergeCell ref="D118:D120"/>
    <mergeCell ref="J118:J119"/>
    <mergeCell ref="A23:A110"/>
    <mergeCell ref="B23:B110"/>
    <mergeCell ref="A111:G111"/>
    <mergeCell ref="H111:J111"/>
    <mergeCell ref="E108:E109"/>
    <mergeCell ref="E110:I110"/>
    <mergeCell ref="E112:E116"/>
    <mergeCell ref="E117:I117"/>
    <mergeCell ref="E118:E119"/>
    <mergeCell ref="E120:I120"/>
    <mergeCell ref="E121:E122"/>
    <mergeCell ref="E123:J123"/>
    <mergeCell ref="J108:J109"/>
    <mergeCell ref="C23:C25"/>
    <mergeCell ref="D23:D25"/>
    <mergeCell ref="J23:J24"/>
    <mergeCell ref="C26:C92"/>
    <mergeCell ref="C105:C107"/>
    <mergeCell ref="D105:D107"/>
    <mergeCell ref="J105:J106"/>
    <mergeCell ref="E93:E103"/>
    <mergeCell ref="E104:I104"/>
    <mergeCell ref="E105:E106"/>
    <mergeCell ref="E107:J107"/>
    <mergeCell ref="A22:G22"/>
    <mergeCell ref="H22:J22"/>
    <mergeCell ref="D26:D92"/>
    <mergeCell ref="E23:E24"/>
    <mergeCell ref="E25:I25"/>
    <mergeCell ref="E26:E91"/>
    <mergeCell ref="E92:I92"/>
    <mergeCell ref="C93:C104"/>
    <mergeCell ref="D93:D104"/>
    <mergeCell ref="J93:J103"/>
    <mergeCell ref="A213:D213"/>
    <mergeCell ref="A217:D217"/>
    <mergeCell ref="A218:D218"/>
    <mergeCell ref="A214:D214"/>
    <mergeCell ref="A215:D215"/>
    <mergeCell ref="A216:D216"/>
    <mergeCell ref="C108:C110"/>
    <mergeCell ref="D108:D110"/>
    <mergeCell ref="A112:A123"/>
    <mergeCell ref="B112:B123"/>
    <mergeCell ref="C112:C117"/>
    <mergeCell ref="D112:D117"/>
    <mergeCell ref="D133:D137"/>
    <mergeCell ref="A156:G156"/>
    <mergeCell ref="C169:C174"/>
    <mergeCell ref="D169:D174"/>
    <mergeCell ref="E176:E177"/>
    <mergeCell ref="E178:J178"/>
    <mergeCell ref="E179:E180"/>
    <mergeCell ref="E181:J181"/>
    <mergeCell ref="E182:E183"/>
    <mergeCell ref="E184:J184"/>
    <mergeCell ref="E185:E186"/>
    <mergeCell ref="J112:J116"/>
    <mergeCell ref="I112:I116"/>
    <mergeCell ref="K112:K116"/>
    <mergeCell ref="I121:I122"/>
    <mergeCell ref="K121:K122"/>
    <mergeCell ref="I14:I17"/>
    <mergeCell ref="K14:K17"/>
    <mergeCell ref="I19:I20"/>
    <mergeCell ref="K19:K20"/>
    <mergeCell ref="I23:I24"/>
    <mergeCell ref="K23:K24"/>
    <mergeCell ref="I105:I106"/>
    <mergeCell ref="K105:K106"/>
    <mergeCell ref="I108:I109"/>
    <mergeCell ref="K108:K109"/>
    <mergeCell ref="K118:K119"/>
    <mergeCell ref="K182:K183"/>
    <mergeCell ref="I182:I183"/>
    <mergeCell ref="I185:I186"/>
    <mergeCell ref="K185:K186"/>
    <mergeCell ref="I188:I190"/>
    <mergeCell ref="K188:K190"/>
    <mergeCell ref="A203:D203"/>
    <mergeCell ref="I151:I152"/>
    <mergeCell ref="I153:I154"/>
    <mergeCell ref="K151:K152"/>
    <mergeCell ref="K153:K154"/>
    <mergeCell ref="I176:I177"/>
    <mergeCell ref="I179:I180"/>
    <mergeCell ref="K176:K177"/>
    <mergeCell ref="K179:K180"/>
    <mergeCell ref="E168:J168"/>
    <mergeCell ref="E169:E173"/>
    <mergeCell ref="E174:J174"/>
    <mergeCell ref="H156:J156"/>
    <mergeCell ref="A176:A191"/>
    <mergeCell ref="B176:B191"/>
    <mergeCell ref="C176:C178"/>
    <mergeCell ref="D176:D178"/>
    <mergeCell ref="J176:J177"/>
  </mergeCells>
  <conditionalFormatting sqref="K8 K13 K18 K21:K22 K92 K104 K107 K110:K111 K117 K120 K123:K124 K140 K143 K148:K150 K155:K156 K162 K168 K174:K175 K178 K181 K184 K187 K191:K193 K25 K132 K137">
    <cfRule type="cellIs" dxfId="84" priority="126" operator="between">
      <formula>0.9</formula>
      <formula>1</formula>
    </cfRule>
    <cfRule type="cellIs" dxfId="83" priority="127" operator="between">
      <formula>0.75</formula>
      <formula>0.899</formula>
    </cfRule>
    <cfRule type="cellIs" dxfId="82" priority="128" operator="between">
      <formula>0.6</formula>
      <formula>0.749</formula>
    </cfRule>
    <cfRule type="cellIs" dxfId="81" priority="129" operator="between">
      <formula>0.41</formula>
      <formula>0.599</formula>
    </cfRule>
    <cfRule type="cellIs" dxfId="80" priority="130" operator="between">
      <formula>0</formula>
      <formula>0.4</formula>
    </cfRule>
  </conditionalFormatting>
  <dataValidations count="5">
    <dataValidation type="list" allowBlank="1" showInputMessage="1" showErrorMessage="1" sqref="I14:I17">
      <formula1>$G$14:$G$17</formula1>
    </dataValidation>
    <dataValidation type="list" allowBlank="1" showInputMessage="1" showErrorMessage="1" sqref="I19:I20 I141:I142 I138:I139 I121:I122 I108:I109 I105:I106 I23:I24 I151:I154 I176:I177 I179:I180 I182:I183 I185:I186">
      <formula1>$G$19:$G$20</formula1>
    </dataValidation>
    <dataValidation type="list" allowBlank="1" showInputMessage="1" showErrorMessage="1" sqref="I112:I116">
      <formula1>$G$112:$G$116</formula1>
    </dataValidation>
    <dataValidation type="list" allowBlank="1" showInputMessage="1" showErrorMessage="1" sqref="I144:I147">
      <formula1>$G$144:$G$147</formula1>
    </dataValidation>
    <dataValidation type="list" allowBlank="1" showInputMessage="1" showErrorMessage="1" sqref="I188:I190">
      <formula1>$G$188:$G$190</formula1>
    </dataValidation>
  </dataValidations>
  <hyperlinks>
    <hyperlink ref="A215:D215" r:id="rId1" display="http://estrategia.gobiernoenlinea.gov.co/623/articles-8250_Guiainnovacion.pdf"/>
    <hyperlink ref="A216:D216" r:id="rId2" display="http://estrategia.gobiernoenlinea.gov.co/623/articles-8248_Guia_Apertura_Datos.pdf "/>
    <hyperlink ref="A218:D218" r:id="rId3" display="http://www.funcionpublica.gov.co/documents/418537/9865585/Instructivo_ingreso_y_diligenciamineto_FURAG.pdf/fb25ad16-ce84-49ca-97f0-558a7b72cdcc "/>
  </hyperlinks>
  <pageMargins left="0.7" right="0.7" top="0.75" bottom="0.75" header="0.3" footer="0.3"/>
  <pageSetup orientation="portrait"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9" tint="0.59999389629810485"/>
  </sheetPr>
  <dimension ref="A1:K159"/>
  <sheetViews>
    <sheetView showGridLines="0" zoomScaleNormal="100" workbookViewId="0">
      <selection activeCell="F41" sqref="F41"/>
    </sheetView>
  </sheetViews>
  <sheetFormatPr baseColWidth="10" defaultRowHeight="12" x14ac:dyDescent="0.2"/>
  <cols>
    <col min="1" max="1" width="27.42578125" style="123" customWidth="1"/>
    <col min="2" max="2" width="11.42578125" style="123"/>
    <col min="3" max="3" width="38.85546875" style="123" customWidth="1"/>
    <col min="4" max="4" width="11.42578125" style="123"/>
    <col min="5" max="5" width="49.5703125" style="123" customWidth="1"/>
    <col min="6" max="6" width="25.5703125" style="107" customWidth="1"/>
    <col min="7" max="7" width="19.42578125" style="123" customWidth="1"/>
    <col min="8" max="8" width="26.5703125" style="123" customWidth="1"/>
    <col min="9" max="9" width="21.28515625" style="123" customWidth="1"/>
    <col min="10" max="10" width="17.42578125" style="123" customWidth="1"/>
    <col min="11" max="11" width="52.5703125" style="123" customWidth="1"/>
    <col min="12" max="16384" width="11.42578125" style="123"/>
  </cols>
  <sheetData>
    <row r="1" spans="1:11" ht="18.75" customHeight="1" x14ac:dyDescent="0.2">
      <c r="A1" s="1373" t="s">
        <v>1999</v>
      </c>
      <c r="B1" s="1373"/>
      <c r="C1" s="1373"/>
      <c r="D1" s="1373"/>
      <c r="E1" s="1373"/>
      <c r="F1" s="1373"/>
      <c r="G1" s="1373"/>
      <c r="H1" s="1373"/>
      <c r="I1" s="1373"/>
      <c r="J1" s="1373"/>
      <c r="K1" s="1373"/>
    </row>
    <row r="2" spans="1:11" ht="21" customHeight="1" x14ac:dyDescent="0.2">
      <c r="A2" s="1538" t="s">
        <v>2016</v>
      </c>
      <c r="B2" s="1538"/>
      <c r="C2" s="1538"/>
      <c r="D2" s="1538"/>
      <c r="E2" s="1538"/>
      <c r="F2" s="1538"/>
      <c r="G2" s="1538"/>
      <c r="H2" s="1538"/>
      <c r="I2" s="1538"/>
      <c r="J2" s="1538"/>
      <c r="K2" s="1538"/>
    </row>
    <row r="3" spans="1:11" ht="36" x14ac:dyDescent="0.2">
      <c r="A3" s="185" t="s">
        <v>170</v>
      </c>
      <c r="B3" s="186" t="s">
        <v>171</v>
      </c>
      <c r="C3" s="186" t="s">
        <v>172</v>
      </c>
      <c r="D3" s="186" t="s">
        <v>1998</v>
      </c>
      <c r="E3" s="186" t="s">
        <v>456</v>
      </c>
      <c r="F3" s="186" t="s">
        <v>457</v>
      </c>
      <c r="G3" s="186" t="s">
        <v>458</v>
      </c>
      <c r="H3" s="186" t="s">
        <v>22</v>
      </c>
      <c r="I3" s="186" t="s">
        <v>2409</v>
      </c>
      <c r="J3" s="187" t="s">
        <v>459</v>
      </c>
      <c r="K3" s="186" t="s">
        <v>1907</v>
      </c>
    </row>
    <row r="4" spans="1:11" ht="32.25" customHeight="1" x14ac:dyDescent="0.2">
      <c r="A4" s="1514" t="s">
        <v>460</v>
      </c>
      <c r="B4" s="1230">
        <v>0.25</v>
      </c>
      <c r="C4" s="1515" t="s">
        <v>2412</v>
      </c>
      <c r="D4" s="155" t="s">
        <v>82</v>
      </c>
      <c r="E4" s="624" t="s">
        <v>388</v>
      </c>
      <c r="F4" s="1521" t="s">
        <v>388</v>
      </c>
      <c r="G4" s="1214" t="s">
        <v>2408</v>
      </c>
      <c r="H4" s="162" t="s">
        <v>462</v>
      </c>
      <c r="I4" s="1541">
        <f>J4</f>
        <v>1</v>
      </c>
      <c r="J4" s="1496">
        <f>IF(F4="Si",100%,IF(F4="No",0%,0))</f>
        <v>1</v>
      </c>
      <c r="K4" s="122"/>
    </row>
    <row r="5" spans="1:11" ht="32.25" customHeight="1" thickBot="1" x14ac:dyDescent="0.25">
      <c r="A5" s="1514"/>
      <c r="B5" s="1230"/>
      <c r="C5" s="1516"/>
      <c r="D5" s="173" t="s">
        <v>84</v>
      </c>
      <c r="E5" s="631" t="s">
        <v>693</v>
      </c>
      <c r="F5" s="1522"/>
      <c r="G5" s="1517"/>
      <c r="H5" s="196" t="s">
        <v>463</v>
      </c>
      <c r="I5" s="1352"/>
      <c r="J5" s="1497"/>
      <c r="K5" s="122"/>
    </row>
    <row r="6" spans="1:11" ht="12" customHeight="1" x14ac:dyDescent="0.2">
      <c r="A6" s="1514"/>
      <c r="B6" s="1259"/>
      <c r="C6" s="1367" t="s">
        <v>464</v>
      </c>
      <c r="D6" s="238" t="s">
        <v>86</v>
      </c>
      <c r="E6" s="635" t="s">
        <v>465</v>
      </c>
      <c r="F6" s="257" t="s">
        <v>167</v>
      </c>
      <c r="G6" s="258">
        <v>1</v>
      </c>
      <c r="H6" s="259"/>
      <c r="I6" s="1213">
        <f>SUMIF(F6:F13,"x",G6:G13)</f>
        <v>6</v>
      </c>
      <c r="J6" s="1499">
        <f>I6/7</f>
        <v>0.8571428571428571</v>
      </c>
      <c r="K6" s="844" t="s">
        <v>2828</v>
      </c>
    </row>
    <row r="7" spans="1:11" x14ac:dyDescent="0.2">
      <c r="A7" s="1514"/>
      <c r="B7" s="1259"/>
      <c r="C7" s="1368"/>
      <c r="D7" s="154" t="s">
        <v>87</v>
      </c>
      <c r="E7" s="626" t="s">
        <v>466</v>
      </c>
      <c r="F7" s="111"/>
      <c r="G7" s="197">
        <v>1</v>
      </c>
      <c r="H7" s="149"/>
      <c r="I7" s="1214"/>
      <c r="J7" s="1500"/>
      <c r="K7" s="844"/>
    </row>
    <row r="8" spans="1:11" x14ac:dyDescent="0.2">
      <c r="A8" s="1514"/>
      <c r="B8" s="1259"/>
      <c r="C8" s="1368"/>
      <c r="D8" s="154" t="s">
        <v>95</v>
      </c>
      <c r="E8" s="626" t="s">
        <v>467</v>
      </c>
      <c r="F8" s="111" t="s">
        <v>167</v>
      </c>
      <c r="G8" s="197">
        <v>1</v>
      </c>
      <c r="H8" s="149"/>
      <c r="I8" s="1214"/>
      <c r="J8" s="1500"/>
      <c r="K8" s="844" t="s">
        <v>2822</v>
      </c>
    </row>
    <row r="9" spans="1:11" ht="24" customHeight="1" x14ac:dyDescent="0.2">
      <c r="A9" s="1514"/>
      <c r="B9" s="1259"/>
      <c r="C9" s="1368"/>
      <c r="D9" s="154" t="s">
        <v>97</v>
      </c>
      <c r="E9" s="626" t="s">
        <v>468</v>
      </c>
      <c r="F9" s="111" t="s">
        <v>2785</v>
      </c>
      <c r="G9" s="197">
        <v>1</v>
      </c>
      <c r="H9" s="1352" t="s">
        <v>2023</v>
      </c>
      <c r="I9" s="1214"/>
      <c r="J9" s="1500"/>
      <c r="K9" s="844" t="s">
        <v>2829</v>
      </c>
    </row>
    <row r="10" spans="1:11" ht="36" x14ac:dyDescent="0.2">
      <c r="A10" s="1514"/>
      <c r="B10" s="1259"/>
      <c r="C10" s="1368"/>
      <c r="D10" s="154" t="s">
        <v>99</v>
      </c>
      <c r="E10" s="626" t="s">
        <v>469</v>
      </c>
      <c r="F10" s="134" t="s">
        <v>167</v>
      </c>
      <c r="G10" s="197">
        <v>1</v>
      </c>
      <c r="H10" s="1352"/>
      <c r="I10" s="1214"/>
      <c r="J10" s="1500"/>
      <c r="K10" s="1074" t="s">
        <v>2840</v>
      </c>
    </row>
    <row r="11" spans="1:11" x14ac:dyDescent="0.2">
      <c r="A11" s="1514"/>
      <c r="B11" s="1259"/>
      <c r="C11" s="1368"/>
      <c r="D11" s="154" t="s">
        <v>101</v>
      </c>
      <c r="E11" s="626" t="s">
        <v>470</v>
      </c>
      <c r="F11" s="111" t="s">
        <v>167</v>
      </c>
      <c r="G11" s="197">
        <v>1</v>
      </c>
      <c r="H11" s="149"/>
      <c r="I11" s="1214"/>
      <c r="J11" s="1500"/>
      <c r="K11" s="1074"/>
    </row>
    <row r="12" spans="1:11" ht="24" x14ac:dyDescent="0.2">
      <c r="A12" s="1514"/>
      <c r="B12" s="1259"/>
      <c r="C12" s="1368"/>
      <c r="D12" s="154" t="s">
        <v>103</v>
      </c>
      <c r="E12" s="626" t="s">
        <v>471</v>
      </c>
      <c r="F12" s="111" t="s">
        <v>167</v>
      </c>
      <c r="G12" s="197">
        <v>1</v>
      </c>
      <c r="H12" s="149"/>
      <c r="I12" s="1214"/>
      <c r="J12" s="1500"/>
      <c r="K12" s="1074" t="s">
        <v>2845</v>
      </c>
    </row>
    <row r="13" spans="1:11" ht="12.75" thickBot="1" x14ac:dyDescent="0.25">
      <c r="A13" s="1514"/>
      <c r="B13" s="1259"/>
      <c r="C13" s="1369"/>
      <c r="D13" s="242" t="s">
        <v>151</v>
      </c>
      <c r="E13" s="636" t="s">
        <v>472</v>
      </c>
      <c r="F13" s="260"/>
      <c r="G13" s="261">
        <v>0</v>
      </c>
      <c r="H13" s="262"/>
      <c r="I13" s="1498"/>
      <c r="J13" s="1501"/>
      <c r="K13" s="289"/>
    </row>
    <row r="14" spans="1:11" ht="12" customHeight="1" x14ac:dyDescent="0.2">
      <c r="A14" s="1514"/>
      <c r="B14" s="1259"/>
      <c r="C14" s="1518" t="s">
        <v>473</v>
      </c>
      <c r="D14" s="270" t="s">
        <v>152</v>
      </c>
      <c r="E14" s="632" t="s">
        <v>474</v>
      </c>
      <c r="F14" s="263" t="s">
        <v>167</v>
      </c>
      <c r="G14" s="264">
        <v>1</v>
      </c>
      <c r="H14" s="265"/>
      <c r="I14" s="1502">
        <f>SUMIF(F14:F22,"x",G14:G22)</f>
        <v>5</v>
      </c>
      <c r="J14" s="1505">
        <f>I14/8</f>
        <v>0.625</v>
      </c>
      <c r="K14" s="844" t="s">
        <v>2842</v>
      </c>
    </row>
    <row r="15" spans="1:11" x14ac:dyDescent="0.2">
      <c r="A15" s="1514"/>
      <c r="B15" s="1259"/>
      <c r="C15" s="1519"/>
      <c r="D15" s="225" t="s">
        <v>218</v>
      </c>
      <c r="E15" s="633" t="s">
        <v>475</v>
      </c>
      <c r="F15" s="134"/>
      <c r="G15" s="266">
        <v>1</v>
      </c>
      <c r="H15" s="145"/>
      <c r="I15" s="1503"/>
      <c r="J15" s="1506"/>
      <c r="K15" s="844"/>
    </row>
    <row r="16" spans="1:11" ht="24" x14ac:dyDescent="0.2">
      <c r="A16" s="1514"/>
      <c r="B16" s="1259"/>
      <c r="C16" s="1519"/>
      <c r="D16" s="225" t="s">
        <v>220</v>
      </c>
      <c r="E16" s="633" t="s">
        <v>476</v>
      </c>
      <c r="F16" s="134" t="s">
        <v>167</v>
      </c>
      <c r="G16" s="266">
        <v>1</v>
      </c>
      <c r="H16" s="145"/>
      <c r="I16" s="1503"/>
      <c r="J16" s="1506"/>
      <c r="K16" s="844" t="s">
        <v>2841</v>
      </c>
    </row>
    <row r="17" spans="1:11" ht="24" customHeight="1" x14ac:dyDescent="0.2">
      <c r="A17" s="1514"/>
      <c r="B17" s="1259"/>
      <c r="C17" s="1519"/>
      <c r="D17" s="225" t="s">
        <v>222</v>
      </c>
      <c r="E17" s="633" t="s">
        <v>477</v>
      </c>
      <c r="F17" s="134"/>
      <c r="G17" s="266">
        <v>1</v>
      </c>
      <c r="H17" s="1526" t="s">
        <v>2024</v>
      </c>
      <c r="I17" s="1503"/>
      <c r="J17" s="1506"/>
      <c r="K17" s="1074"/>
    </row>
    <row r="18" spans="1:11" ht="24" x14ac:dyDescent="0.2">
      <c r="A18" s="1514"/>
      <c r="B18" s="1259"/>
      <c r="C18" s="1519"/>
      <c r="D18" s="225" t="s">
        <v>224</v>
      </c>
      <c r="E18" s="633" t="s">
        <v>478</v>
      </c>
      <c r="F18" s="134" t="s">
        <v>167</v>
      </c>
      <c r="G18" s="266">
        <v>1</v>
      </c>
      <c r="H18" s="1526"/>
      <c r="I18" s="1503"/>
      <c r="J18" s="1506"/>
      <c r="K18" s="1074" t="s">
        <v>2843</v>
      </c>
    </row>
    <row r="19" spans="1:11" x14ac:dyDescent="0.2">
      <c r="A19" s="1514"/>
      <c r="B19" s="1259"/>
      <c r="C19" s="1519"/>
      <c r="D19" s="225" t="s">
        <v>226</v>
      </c>
      <c r="E19" s="633" t="s">
        <v>479</v>
      </c>
      <c r="F19" s="134" t="s">
        <v>167</v>
      </c>
      <c r="G19" s="266">
        <v>1</v>
      </c>
      <c r="H19" s="145"/>
      <c r="I19" s="1503"/>
      <c r="J19" s="1506"/>
      <c r="K19" s="1074"/>
    </row>
    <row r="20" spans="1:11" x14ac:dyDescent="0.2">
      <c r="A20" s="1514"/>
      <c r="B20" s="1259"/>
      <c r="C20" s="1519"/>
      <c r="D20" s="225" t="s">
        <v>228</v>
      </c>
      <c r="E20" s="633" t="s">
        <v>480</v>
      </c>
      <c r="F20" s="134" t="s">
        <v>167</v>
      </c>
      <c r="G20" s="266">
        <v>1</v>
      </c>
      <c r="H20" s="145"/>
      <c r="I20" s="1503"/>
      <c r="J20" s="1506"/>
      <c r="K20" s="1074"/>
    </row>
    <row r="21" spans="1:11" x14ac:dyDescent="0.2">
      <c r="A21" s="1514"/>
      <c r="B21" s="1259"/>
      <c r="C21" s="1519"/>
      <c r="D21" s="225" t="s">
        <v>230</v>
      </c>
      <c r="E21" s="633" t="s">
        <v>481</v>
      </c>
      <c r="F21" s="134"/>
      <c r="G21" s="266">
        <v>1</v>
      </c>
      <c r="H21" s="145"/>
      <c r="I21" s="1503"/>
      <c r="J21" s="1506"/>
      <c r="K21" s="1074"/>
    </row>
    <row r="22" spans="1:11" ht="12.75" thickBot="1" x14ac:dyDescent="0.25">
      <c r="A22" s="1514"/>
      <c r="B22" s="1259"/>
      <c r="C22" s="1520"/>
      <c r="D22" s="274" t="s">
        <v>232</v>
      </c>
      <c r="E22" s="634" t="s">
        <v>472</v>
      </c>
      <c r="F22" s="267"/>
      <c r="G22" s="268">
        <v>0</v>
      </c>
      <c r="H22" s="269"/>
      <c r="I22" s="1504"/>
      <c r="J22" s="1507"/>
      <c r="K22" s="844"/>
    </row>
    <row r="23" spans="1:11" ht="12" customHeight="1" x14ac:dyDescent="0.2">
      <c r="A23" s="1514"/>
      <c r="B23" s="1259"/>
      <c r="C23" s="1367" t="s">
        <v>482</v>
      </c>
      <c r="D23" s="238" t="s">
        <v>234</v>
      </c>
      <c r="E23" s="639" t="s">
        <v>483</v>
      </c>
      <c r="F23" s="1061" t="s">
        <v>2785</v>
      </c>
      <c r="G23" s="277">
        <v>1</v>
      </c>
      <c r="H23" s="278"/>
      <c r="I23" s="1508">
        <f>SUMIF(F23:F33,"x",G23:G33)</f>
        <v>6</v>
      </c>
      <c r="J23" s="1511">
        <f>I23/9</f>
        <v>0.66666666666666663</v>
      </c>
      <c r="K23" s="844"/>
    </row>
    <row r="24" spans="1:11" x14ac:dyDescent="0.2">
      <c r="A24" s="1514"/>
      <c r="B24" s="1259"/>
      <c r="C24" s="1368"/>
      <c r="D24" s="154" t="s">
        <v>236</v>
      </c>
      <c r="E24" s="638" t="s">
        <v>484</v>
      </c>
      <c r="F24" s="1062" t="s">
        <v>167</v>
      </c>
      <c r="G24" s="201">
        <v>1</v>
      </c>
      <c r="H24" s="149"/>
      <c r="I24" s="1509"/>
      <c r="J24" s="1512"/>
      <c r="K24" s="844"/>
    </row>
    <row r="25" spans="1:11" x14ac:dyDescent="0.2">
      <c r="A25" s="1514"/>
      <c r="B25" s="1259"/>
      <c r="C25" s="1368"/>
      <c r="D25" s="154" t="s">
        <v>238</v>
      </c>
      <c r="E25" s="638" t="s">
        <v>485</v>
      </c>
      <c r="F25" s="1062"/>
      <c r="G25" s="201">
        <v>1</v>
      </c>
      <c r="H25" s="149"/>
      <c r="I25" s="1509"/>
      <c r="J25" s="1512"/>
      <c r="K25" s="844"/>
    </row>
    <row r="26" spans="1:11" x14ac:dyDescent="0.2">
      <c r="A26" s="1514"/>
      <c r="B26" s="1259"/>
      <c r="C26" s="1368"/>
      <c r="D26" s="154" t="s">
        <v>240</v>
      </c>
      <c r="E26" s="638" t="s">
        <v>486</v>
      </c>
      <c r="F26" s="1062" t="s">
        <v>2785</v>
      </c>
      <c r="G26" s="201">
        <v>1</v>
      </c>
      <c r="H26" s="149"/>
      <c r="I26" s="1509"/>
      <c r="J26" s="1512"/>
      <c r="K26" s="844" t="s">
        <v>2844</v>
      </c>
    </row>
    <row r="27" spans="1:11" ht="16.5" customHeight="1" x14ac:dyDescent="0.2">
      <c r="A27" s="1514"/>
      <c r="B27" s="1259"/>
      <c r="C27" s="1368"/>
      <c r="D27" s="154" t="s">
        <v>167</v>
      </c>
      <c r="E27" s="638" t="s">
        <v>487</v>
      </c>
      <c r="F27" s="1062" t="s">
        <v>2785</v>
      </c>
      <c r="G27" s="201">
        <v>1</v>
      </c>
      <c r="H27" s="1352" t="s">
        <v>2025</v>
      </c>
      <c r="I27" s="1509"/>
      <c r="J27" s="1512"/>
      <c r="K27" s="844"/>
    </row>
    <row r="28" spans="1:11" x14ac:dyDescent="0.2">
      <c r="A28" s="1514"/>
      <c r="B28" s="1259"/>
      <c r="C28" s="1368"/>
      <c r="D28" s="154" t="s">
        <v>243</v>
      </c>
      <c r="E28" s="638" t="s">
        <v>488</v>
      </c>
      <c r="F28" s="1062"/>
      <c r="G28" s="201">
        <v>1</v>
      </c>
      <c r="H28" s="1352"/>
      <c r="I28" s="1509"/>
      <c r="J28" s="1512"/>
      <c r="K28" s="844"/>
    </row>
    <row r="29" spans="1:11" x14ac:dyDescent="0.2">
      <c r="A29" s="1514"/>
      <c r="B29" s="1259"/>
      <c r="C29" s="1368"/>
      <c r="D29" s="154" t="s">
        <v>245</v>
      </c>
      <c r="E29" s="638" t="s">
        <v>489</v>
      </c>
      <c r="F29" s="1062"/>
      <c r="G29" s="201">
        <v>1</v>
      </c>
      <c r="H29" s="149"/>
      <c r="I29" s="1509"/>
      <c r="J29" s="1512"/>
      <c r="K29" s="844"/>
    </row>
    <row r="30" spans="1:11" x14ac:dyDescent="0.2">
      <c r="A30" s="1514"/>
      <c r="B30" s="1259"/>
      <c r="C30" s="1368"/>
      <c r="D30" s="154" t="s">
        <v>246</v>
      </c>
      <c r="E30" s="638" t="s">
        <v>490</v>
      </c>
      <c r="F30" s="1062" t="s">
        <v>2785</v>
      </c>
      <c r="G30" s="201">
        <v>1</v>
      </c>
      <c r="H30" s="149"/>
      <c r="I30" s="1509"/>
      <c r="J30" s="1512"/>
      <c r="K30" s="844"/>
    </row>
    <row r="31" spans="1:11" x14ac:dyDescent="0.2">
      <c r="A31" s="1514"/>
      <c r="B31" s="1259"/>
      <c r="C31" s="1368"/>
      <c r="D31" s="154" t="s">
        <v>248</v>
      </c>
      <c r="E31" s="638" t="s">
        <v>491</v>
      </c>
      <c r="F31" s="1062" t="s">
        <v>2785</v>
      </c>
      <c r="G31" s="201">
        <v>1</v>
      </c>
      <c r="H31" s="149"/>
      <c r="I31" s="1509"/>
      <c r="J31" s="1512"/>
      <c r="K31" s="844"/>
    </row>
    <row r="32" spans="1:11" x14ac:dyDescent="0.2">
      <c r="A32" s="1514"/>
      <c r="B32" s="1259"/>
      <c r="C32" s="1368"/>
      <c r="D32" s="154" t="s">
        <v>250</v>
      </c>
      <c r="E32" s="638" t="s">
        <v>104</v>
      </c>
      <c r="F32" s="1062"/>
      <c r="G32" s="201">
        <v>0</v>
      </c>
      <c r="H32" s="149"/>
      <c r="I32" s="1509"/>
      <c r="J32" s="1512"/>
      <c r="K32" s="844"/>
    </row>
    <row r="33" spans="1:11" ht="12.75" thickBot="1" x14ac:dyDescent="0.25">
      <c r="A33" s="1514"/>
      <c r="B33" s="1259"/>
      <c r="C33" s="1369"/>
      <c r="D33" s="242" t="s">
        <v>252</v>
      </c>
      <c r="E33" s="637" t="s">
        <v>472</v>
      </c>
      <c r="F33" s="279"/>
      <c r="G33" s="280">
        <v>0</v>
      </c>
      <c r="H33" s="262"/>
      <c r="I33" s="1510"/>
      <c r="J33" s="1513"/>
      <c r="K33" s="844"/>
    </row>
    <row r="34" spans="1:11" ht="16.5" thickBot="1" x14ac:dyDescent="0.25">
      <c r="A34" s="1514"/>
      <c r="B34" s="1230"/>
      <c r="C34" s="1363" t="s">
        <v>2019</v>
      </c>
      <c r="D34" s="1363"/>
      <c r="E34" s="1363"/>
      <c r="F34" s="1363"/>
      <c r="G34" s="1363"/>
      <c r="H34" s="1363"/>
      <c r="I34" s="1363"/>
      <c r="J34" s="291">
        <f>(J4+J6+J14+J23)/4</f>
        <v>0.78720238095238093</v>
      </c>
      <c r="K34" s="1073"/>
    </row>
    <row r="35" spans="1:11" ht="12" customHeight="1" x14ac:dyDescent="0.2">
      <c r="A35" s="1514" t="s">
        <v>492</v>
      </c>
      <c r="B35" s="1438">
        <v>0.25</v>
      </c>
      <c r="C35" s="1518" t="s">
        <v>493</v>
      </c>
      <c r="D35" s="271" t="s">
        <v>82</v>
      </c>
      <c r="E35" s="640" t="s">
        <v>100</v>
      </c>
      <c r="F35" s="263" t="s">
        <v>2785</v>
      </c>
      <c r="G35" s="264">
        <v>1</v>
      </c>
      <c r="H35" s="265"/>
      <c r="I35" s="1502">
        <f>SUMIF(F35:F44,"x",G35:G44)</f>
        <v>5</v>
      </c>
      <c r="J35" s="1505">
        <f>I35/8</f>
        <v>0.625</v>
      </c>
      <c r="K35" s="844"/>
    </row>
    <row r="36" spans="1:11" x14ac:dyDescent="0.2">
      <c r="A36" s="1514"/>
      <c r="B36" s="1438"/>
      <c r="C36" s="1519"/>
      <c r="D36" s="273" t="s">
        <v>84</v>
      </c>
      <c r="E36" s="641" t="s">
        <v>494</v>
      </c>
      <c r="F36" s="134"/>
      <c r="G36" s="266">
        <v>1</v>
      </c>
      <c r="H36" s="145"/>
      <c r="I36" s="1503"/>
      <c r="J36" s="1506"/>
      <c r="K36" s="844"/>
    </row>
    <row r="37" spans="1:11" x14ac:dyDescent="0.2">
      <c r="A37" s="1514"/>
      <c r="B37" s="1438"/>
      <c r="C37" s="1519"/>
      <c r="D37" s="273" t="s">
        <v>86</v>
      </c>
      <c r="E37" s="641" t="s">
        <v>495</v>
      </c>
      <c r="F37" s="134" t="s">
        <v>2785</v>
      </c>
      <c r="G37" s="266">
        <v>1</v>
      </c>
      <c r="H37" s="145"/>
      <c r="I37" s="1503"/>
      <c r="J37" s="1506"/>
      <c r="K37" s="844"/>
    </row>
    <row r="38" spans="1:11" x14ac:dyDescent="0.2">
      <c r="A38" s="1514"/>
      <c r="B38" s="1438"/>
      <c r="C38" s="1519"/>
      <c r="D38" s="273" t="s">
        <v>87</v>
      </c>
      <c r="E38" s="641" t="s">
        <v>496</v>
      </c>
      <c r="F38" s="134" t="s">
        <v>2785</v>
      </c>
      <c r="G38" s="266">
        <v>1</v>
      </c>
      <c r="H38" s="145"/>
      <c r="I38" s="1503"/>
      <c r="J38" s="1506"/>
      <c r="K38" s="844"/>
    </row>
    <row r="39" spans="1:11" ht="15.75" customHeight="1" x14ac:dyDescent="0.2">
      <c r="A39" s="1514"/>
      <c r="B39" s="1438"/>
      <c r="C39" s="1519"/>
      <c r="D39" s="273" t="s">
        <v>95</v>
      </c>
      <c r="E39" s="641" t="s">
        <v>497</v>
      </c>
      <c r="F39" s="134" t="s">
        <v>2785</v>
      </c>
      <c r="G39" s="266">
        <v>1</v>
      </c>
      <c r="H39" s="1526" t="s">
        <v>2026</v>
      </c>
      <c r="I39" s="1503"/>
      <c r="J39" s="1506"/>
      <c r="K39" s="844"/>
    </row>
    <row r="40" spans="1:11" x14ac:dyDescent="0.2">
      <c r="A40" s="1514"/>
      <c r="B40" s="1438"/>
      <c r="C40" s="1519"/>
      <c r="D40" s="273" t="s">
        <v>97</v>
      </c>
      <c r="E40" s="641" t="s">
        <v>498</v>
      </c>
      <c r="F40" s="134"/>
      <c r="G40" s="266">
        <v>1</v>
      </c>
      <c r="H40" s="1526"/>
      <c r="I40" s="1503"/>
      <c r="J40" s="1506"/>
      <c r="K40" s="844"/>
    </row>
    <row r="41" spans="1:11" x14ac:dyDescent="0.2">
      <c r="A41" s="1514"/>
      <c r="B41" s="1438"/>
      <c r="C41" s="1519"/>
      <c r="D41" s="273" t="s">
        <v>99</v>
      </c>
      <c r="E41" s="641" t="s">
        <v>1920</v>
      </c>
      <c r="F41" s="134" t="s">
        <v>2785</v>
      </c>
      <c r="G41" s="266">
        <v>1</v>
      </c>
      <c r="H41" s="145"/>
      <c r="I41" s="1503"/>
      <c r="J41" s="1506"/>
      <c r="K41" s="844"/>
    </row>
    <row r="42" spans="1:11" x14ac:dyDescent="0.2">
      <c r="A42" s="1514"/>
      <c r="B42" s="1438"/>
      <c r="C42" s="1519"/>
      <c r="D42" s="273" t="s">
        <v>101</v>
      </c>
      <c r="E42" s="641" t="s">
        <v>499</v>
      </c>
      <c r="F42" s="134"/>
      <c r="G42" s="266">
        <v>1</v>
      </c>
      <c r="H42" s="145"/>
      <c r="I42" s="1503"/>
      <c r="J42" s="1506"/>
      <c r="K42" s="844"/>
    </row>
    <row r="43" spans="1:11" x14ac:dyDescent="0.2">
      <c r="A43" s="1514"/>
      <c r="B43" s="1438"/>
      <c r="C43" s="1519"/>
      <c r="D43" s="273" t="s">
        <v>103</v>
      </c>
      <c r="E43" s="641" t="s">
        <v>481</v>
      </c>
      <c r="F43" s="134"/>
      <c r="G43" s="266">
        <v>0</v>
      </c>
      <c r="H43" s="145"/>
      <c r="I43" s="1503"/>
      <c r="J43" s="1506"/>
      <c r="K43" s="844"/>
    </row>
    <row r="44" spans="1:11" ht="12.75" thickBot="1" x14ac:dyDescent="0.25">
      <c r="A44" s="1514"/>
      <c r="B44" s="1438"/>
      <c r="C44" s="1520"/>
      <c r="D44" s="275" t="s">
        <v>151</v>
      </c>
      <c r="E44" s="642" t="s">
        <v>472</v>
      </c>
      <c r="F44" s="267"/>
      <c r="G44" s="268">
        <v>0</v>
      </c>
      <c r="H44" s="269"/>
      <c r="I44" s="1504"/>
      <c r="J44" s="1507"/>
      <c r="K44" s="844"/>
    </row>
    <row r="45" spans="1:11" ht="12" customHeight="1" x14ac:dyDescent="0.2">
      <c r="A45" s="1514"/>
      <c r="B45" s="1438"/>
      <c r="C45" s="1367" t="s">
        <v>500</v>
      </c>
      <c r="D45" s="281" t="s">
        <v>152</v>
      </c>
      <c r="E45" s="643" t="s">
        <v>501</v>
      </c>
      <c r="F45" s="257" t="s">
        <v>167</v>
      </c>
      <c r="G45" s="258">
        <v>1</v>
      </c>
      <c r="H45" s="259"/>
      <c r="I45" s="1213">
        <f>SUMIF(F45:F51,"X",G45:G51)</f>
        <v>4</v>
      </c>
      <c r="J45" s="1499">
        <f>I45/5</f>
        <v>0.8</v>
      </c>
      <c r="K45" s="844"/>
    </row>
    <row r="46" spans="1:11" x14ac:dyDescent="0.2">
      <c r="A46" s="1514"/>
      <c r="B46" s="1438"/>
      <c r="C46" s="1368"/>
      <c r="D46" s="147" t="s">
        <v>218</v>
      </c>
      <c r="E46" s="627" t="s">
        <v>502</v>
      </c>
      <c r="F46" s="111"/>
      <c r="G46" s="197">
        <v>1</v>
      </c>
      <c r="H46" s="149"/>
      <c r="I46" s="1214"/>
      <c r="J46" s="1500"/>
      <c r="K46" s="1074"/>
    </row>
    <row r="47" spans="1:11" x14ac:dyDescent="0.2">
      <c r="A47" s="1514"/>
      <c r="B47" s="1438"/>
      <c r="C47" s="1368"/>
      <c r="D47" s="147" t="s">
        <v>220</v>
      </c>
      <c r="E47" s="627" t="s">
        <v>503</v>
      </c>
      <c r="F47" s="111" t="s">
        <v>167</v>
      </c>
      <c r="G47" s="197">
        <v>1</v>
      </c>
      <c r="H47" s="149"/>
      <c r="I47" s="1214"/>
      <c r="J47" s="1500"/>
      <c r="K47" s="1074"/>
    </row>
    <row r="48" spans="1:11" ht="24" x14ac:dyDescent="0.2">
      <c r="A48" s="1514"/>
      <c r="B48" s="1438"/>
      <c r="C48" s="1368"/>
      <c r="D48" s="147" t="s">
        <v>222</v>
      </c>
      <c r="E48" s="627" t="s">
        <v>504</v>
      </c>
      <c r="F48" s="111" t="s">
        <v>167</v>
      </c>
      <c r="G48" s="197">
        <v>1</v>
      </c>
      <c r="H48" s="200" t="s">
        <v>2027</v>
      </c>
      <c r="I48" s="1214"/>
      <c r="J48" s="1500"/>
      <c r="K48" s="1074" t="s">
        <v>2846</v>
      </c>
    </row>
    <row r="49" spans="1:11" x14ac:dyDescent="0.2">
      <c r="A49" s="1514"/>
      <c r="B49" s="1438"/>
      <c r="C49" s="1368"/>
      <c r="D49" s="147" t="s">
        <v>224</v>
      </c>
      <c r="E49" s="627" t="s">
        <v>505</v>
      </c>
      <c r="F49" s="111" t="s">
        <v>167</v>
      </c>
      <c r="G49" s="197">
        <v>1</v>
      </c>
      <c r="H49" s="149"/>
      <c r="I49" s="1214"/>
      <c r="J49" s="1500"/>
      <c r="K49" s="1074"/>
    </row>
    <row r="50" spans="1:11" x14ac:dyDescent="0.2">
      <c r="A50" s="1514"/>
      <c r="B50" s="1438"/>
      <c r="C50" s="1368"/>
      <c r="D50" s="147" t="s">
        <v>226</v>
      </c>
      <c r="E50" s="627" t="s">
        <v>104</v>
      </c>
      <c r="F50" s="111"/>
      <c r="G50" s="197">
        <v>0</v>
      </c>
      <c r="H50" s="149"/>
      <c r="I50" s="1214"/>
      <c r="J50" s="1500"/>
      <c r="K50" s="1074"/>
    </row>
    <row r="51" spans="1:11" ht="12.75" thickBot="1" x14ac:dyDescent="0.25">
      <c r="A51" s="1514"/>
      <c r="B51" s="1438"/>
      <c r="C51" s="1369"/>
      <c r="D51" s="282" t="s">
        <v>228</v>
      </c>
      <c r="E51" s="644" t="s">
        <v>472</v>
      </c>
      <c r="F51" s="260"/>
      <c r="G51" s="261">
        <v>0</v>
      </c>
      <c r="H51" s="262"/>
      <c r="I51" s="1498"/>
      <c r="J51" s="1501"/>
      <c r="K51" s="844"/>
    </row>
    <row r="52" spans="1:11" ht="72.75" customHeight="1" x14ac:dyDescent="0.2">
      <c r="A52" s="1514"/>
      <c r="B52" s="1439"/>
      <c r="C52" s="1524" t="s">
        <v>1941</v>
      </c>
      <c r="D52" s="283" t="s">
        <v>230</v>
      </c>
      <c r="E52" s="645" t="s">
        <v>1921</v>
      </c>
      <c r="F52" s="801">
        <v>15280</v>
      </c>
      <c r="G52" s="1208" t="s">
        <v>2411</v>
      </c>
      <c r="H52" s="1352" t="s">
        <v>508</v>
      </c>
      <c r="I52" s="1528">
        <f>J52</f>
        <v>1</v>
      </c>
      <c r="J52" s="1529">
        <f>IFERROR(IF((F52/F53)&gt;1,1,(F52/F53)),"0")</f>
        <v>1</v>
      </c>
      <c r="K52" s="122"/>
    </row>
    <row r="53" spans="1:11" ht="46.5" customHeight="1" x14ac:dyDescent="0.2">
      <c r="A53" s="1514"/>
      <c r="B53" s="1439"/>
      <c r="C53" s="1525"/>
      <c r="D53" s="188" t="s">
        <v>232</v>
      </c>
      <c r="E53" s="209" t="s">
        <v>507</v>
      </c>
      <c r="F53" s="111">
        <v>1198</v>
      </c>
      <c r="G53" s="1214"/>
      <c r="H53" s="1208"/>
      <c r="I53" s="1214"/>
      <c r="J53" s="1496"/>
      <c r="K53" s="122"/>
    </row>
    <row r="54" spans="1:11" ht="16.5" thickBot="1" x14ac:dyDescent="0.25">
      <c r="A54" s="1514"/>
      <c r="B54" s="1439"/>
      <c r="C54" s="1523" t="s">
        <v>2020</v>
      </c>
      <c r="D54" s="1523"/>
      <c r="E54" s="1523"/>
      <c r="F54" s="1523"/>
      <c r="G54" s="1523"/>
      <c r="H54" s="1523"/>
      <c r="I54" s="1523"/>
      <c r="J54" s="290">
        <f>(J35+J45+J52)/3</f>
        <v>0.80833333333333324</v>
      </c>
      <c r="K54" s="1073"/>
    </row>
    <row r="55" spans="1:11" ht="12" customHeight="1" x14ac:dyDescent="0.2">
      <c r="A55" s="1514" t="s">
        <v>509</v>
      </c>
      <c r="B55" s="1438">
        <v>0.25</v>
      </c>
      <c r="C55" s="1518" t="s">
        <v>510</v>
      </c>
      <c r="D55" s="271" t="s">
        <v>82</v>
      </c>
      <c r="E55" s="640" t="s">
        <v>100</v>
      </c>
      <c r="F55" s="257" t="s">
        <v>2785</v>
      </c>
      <c r="G55" s="258">
        <v>1</v>
      </c>
      <c r="H55" s="259"/>
      <c r="I55" s="1213">
        <f>SUMIF(F55:F65,"x",G55:G65)</f>
        <v>7</v>
      </c>
      <c r="J55" s="1499">
        <f>I55/10</f>
        <v>0.7</v>
      </c>
      <c r="K55" s="844"/>
    </row>
    <row r="56" spans="1:11" x14ac:dyDescent="0.2">
      <c r="A56" s="1514"/>
      <c r="B56" s="1438"/>
      <c r="C56" s="1519"/>
      <c r="D56" s="273" t="s">
        <v>84</v>
      </c>
      <c r="E56" s="641" t="s">
        <v>511</v>
      </c>
      <c r="F56" s="111"/>
      <c r="G56" s="197">
        <v>1</v>
      </c>
      <c r="H56" s="149"/>
      <c r="I56" s="1214"/>
      <c r="J56" s="1500"/>
      <c r="K56" s="844"/>
    </row>
    <row r="57" spans="1:11" x14ac:dyDescent="0.2">
      <c r="A57" s="1514"/>
      <c r="B57" s="1438"/>
      <c r="C57" s="1519"/>
      <c r="D57" s="273" t="s">
        <v>86</v>
      </c>
      <c r="E57" s="641" t="s">
        <v>512</v>
      </c>
      <c r="F57" s="111" t="s">
        <v>2785</v>
      </c>
      <c r="G57" s="197">
        <v>1</v>
      </c>
      <c r="H57" s="149"/>
      <c r="I57" s="1214"/>
      <c r="J57" s="1500"/>
      <c r="K57" s="844"/>
    </row>
    <row r="58" spans="1:11" x14ac:dyDescent="0.2">
      <c r="A58" s="1514"/>
      <c r="B58" s="1438"/>
      <c r="C58" s="1519"/>
      <c r="D58" s="273" t="s">
        <v>87</v>
      </c>
      <c r="E58" s="641" t="s">
        <v>496</v>
      </c>
      <c r="F58" s="111" t="s">
        <v>2785</v>
      </c>
      <c r="G58" s="197">
        <v>1</v>
      </c>
      <c r="H58" s="149"/>
      <c r="I58" s="1214"/>
      <c r="J58" s="1500"/>
      <c r="K58" s="844"/>
    </row>
    <row r="59" spans="1:11" x14ac:dyDescent="0.2">
      <c r="A59" s="1514"/>
      <c r="B59" s="1438"/>
      <c r="C59" s="1519"/>
      <c r="D59" s="273" t="s">
        <v>95</v>
      </c>
      <c r="E59" s="641" t="s">
        <v>497</v>
      </c>
      <c r="F59" s="111" t="s">
        <v>2785</v>
      </c>
      <c r="G59" s="197">
        <v>1</v>
      </c>
      <c r="H59" s="149"/>
      <c r="I59" s="1214"/>
      <c r="J59" s="1500"/>
      <c r="K59" s="844"/>
    </row>
    <row r="60" spans="1:11" ht="24" x14ac:dyDescent="0.2">
      <c r="A60" s="1514"/>
      <c r="B60" s="1438"/>
      <c r="C60" s="1519"/>
      <c r="D60" s="273" t="s">
        <v>97</v>
      </c>
      <c r="E60" s="641" t="s">
        <v>513</v>
      </c>
      <c r="F60" s="111"/>
      <c r="G60" s="197">
        <v>1</v>
      </c>
      <c r="H60" s="200" t="s">
        <v>2028</v>
      </c>
      <c r="I60" s="1214"/>
      <c r="J60" s="1500"/>
      <c r="K60" s="844"/>
    </row>
    <row r="61" spans="1:11" x14ac:dyDescent="0.2">
      <c r="A61" s="1514"/>
      <c r="B61" s="1438"/>
      <c r="C61" s="1519"/>
      <c r="D61" s="273" t="s">
        <v>99</v>
      </c>
      <c r="E61" s="641" t="s">
        <v>514</v>
      </c>
      <c r="F61" s="111" t="s">
        <v>2785</v>
      </c>
      <c r="G61" s="197">
        <v>1</v>
      </c>
      <c r="H61" s="149"/>
      <c r="I61" s="1214"/>
      <c r="J61" s="1500"/>
      <c r="K61" s="844"/>
    </row>
    <row r="62" spans="1:11" x14ac:dyDescent="0.2">
      <c r="A62" s="1514"/>
      <c r="B62" s="1438"/>
      <c r="C62" s="1519"/>
      <c r="D62" s="273" t="s">
        <v>101</v>
      </c>
      <c r="E62" s="641" t="s">
        <v>515</v>
      </c>
      <c r="F62" s="111"/>
      <c r="G62" s="197">
        <v>1</v>
      </c>
      <c r="H62" s="149"/>
      <c r="I62" s="1214"/>
      <c r="J62" s="1500"/>
      <c r="K62" s="844"/>
    </row>
    <row r="63" spans="1:11" x14ac:dyDescent="0.2">
      <c r="A63" s="1514"/>
      <c r="B63" s="1438"/>
      <c r="C63" s="1519"/>
      <c r="D63" s="273" t="s">
        <v>103</v>
      </c>
      <c r="E63" s="641" t="s">
        <v>516</v>
      </c>
      <c r="F63" s="111" t="s">
        <v>2785</v>
      </c>
      <c r="G63" s="197">
        <v>1</v>
      </c>
      <c r="H63" s="149"/>
      <c r="I63" s="1214"/>
      <c r="J63" s="1500"/>
      <c r="K63" s="844"/>
    </row>
    <row r="64" spans="1:11" ht="24" x14ac:dyDescent="0.2">
      <c r="A64" s="1514"/>
      <c r="B64" s="1438"/>
      <c r="C64" s="1519"/>
      <c r="D64" s="273" t="s">
        <v>151</v>
      </c>
      <c r="E64" s="641" t="s">
        <v>517</v>
      </c>
      <c r="F64" s="111" t="s">
        <v>2785</v>
      </c>
      <c r="G64" s="197">
        <v>1</v>
      </c>
      <c r="H64" s="149"/>
      <c r="I64" s="1214"/>
      <c r="J64" s="1500"/>
      <c r="K64" s="844"/>
    </row>
    <row r="65" spans="1:11" ht="12.75" thickBot="1" x14ac:dyDescent="0.25">
      <c r="A65" s="1514"/>
      <c r="B65" s="1438"/>
      <c r="C65" s="1520"/>
      <c r="D65" s="275" t="s">
        <v>152</v>
      </c>
      <c r="E65" s="642" t="s">
        <v>481</v>
      </c>
      <c r="F65" s="260"/>
      <c r="G65" s="261">
        <v>0</v>
      </c>
      <c r="H65" s="262"/>
      <c r="I65" s="1498"/>
      <c r="J65" s="1501"/>
      <c r="K65" s="844"/>
    </row>
    <row r="66" spans="1:11" ht="12" customHeight="1" x14ac:dyDescent="0.2">
      <c r="A66" s="1514"/>
      <c r="B66" s="1438"/>
      <c r="C66" s="1367" t="s">
        <v>518</v>
      </c>
      <c r="D66" s="281" t="s">
        <v>218</v>
      </c>
      <c r="E66" s="643" t="s">
        <v>100</v>
      </c>
      <c r="F66" s="257" t="s">
        <v>2785</v>
      </c>
      <c r="G66" s="258">
        <v>1</v>
      </c>
      <c r="H66" s="259"/>
      <c r="I66" s="1213">
        <f>SUMIF(F66:F75,"x",G66:G75)</f>
        <v>5</v>
      </c>
      <c r="J66" s="1499">
        <f>I66/8</f>
        <v>0.625</v>
      </c>
      <c r="K66" s="844"/>
    </row>
    <row r="67" spans="1:11" x14ac:dyDescent="0.2">
      <c r="A67" s="1514"/>
      <c r="B67" s="1438"/>
      <c r="C67" s="1368"/>
      <c r="D67" s="147" t="s">
        <v>220</v>
      </c>
      <c r="E67" s="627" t="s">
        <v>511</v>
      </c>
      <c r="F67" s="111"/>
      <c r="G67" s="197">
        <v>1</v>
      </c>
      <c r="H67" s="149"/>
      <c r="I67" s="1214"/>
      <c r="J67" s="1500"/>
      <c r="K67" s="844"/>
    </row>
    <row r="68" spans="1:11" x14ac:dyDescent="0.2">
      <c r="A68" s="1514"/>
      <c r="B68" s="1438"/>
      <c r="C68" s="1368"/>
      <c r="D68" s="147" t="s">
        <v>222</v>
      </c>
      <c r="E68" s="627" t="s">
        <v>495</v>
      </c>
      <c r="F68" s="111" t="s">
        <v>2785</v>
      </c>
      <c r="G68" s="197">
        <v>1</v>
      </c>
      <c r="H68" s="149"/>
      <c r="I68" s="1214"/>
      <c r="J68" s="1500"/>
      <c r="K68" s="844"/>
    </row>
    <row r="69" spans="1:11" x14ac:dyDescent="0.2">
      <c r="A69" s="1514"/>
      <c r="B69" s="1438"/>
      <c r="C69" s="1368"/>
      <c r="D69" s="147" t="s">
        <v>224</v>
      </c>
      <c r="E69" s="627" t="s">
        <v>519</v>
      </c>
      <c r="F69" s="111" t="s">
        <v>2785</v>
      </c>
      <c r="G69" s="197">
        <v>1</v>
      </c>
      <c r="H69" s="149"/>
      <c r="I69" s="1214"/>
      <c r="J69" s="1500"/>
      <c r="K69" s="844"/>
    </row>
    <row r="70" spans="1:11" x14ac:dyDescent="0.2">
      <c r="A70" s="1514"/>
      <c r="B70" s="1438"/>
      <c r="C70" s="1368"/>
      <c r="D70" s="147" t="s">
        <v>226</v>
      </c>
      <c r="E70" s="627" t="s">
        <v>497</v>
      </c>
      <c r="F70" s="111" t="s">
        <v>2785</v>
      </c>
      <c r="G70" s="197">
        <v>1</v>
      </c>
      <c r="H70" s="149"/>
      <c r="I70" s="1214"/>
      <c r="J70" s="1500"/>
      <c r="K70" s="844"/>
    </row>
    <row r="71" spans="1:11" ht="24" x14ac:dyDescent="0.2">
      <c r="A71" s="1514"/>
      <c r="B71" s="1438"/>
      <c r="C71" s="1368"/>
      <c r="D71" s="147" t="s">
        <v>228</v>
      </c>
      <c r="E71" s="627" t="s">
        <v>520</v>
      </c>
      <c r="F71" s="111"/>
      <c r="G71" s="197">
        <v>1</v>
      </c>
      <c r="H71" s="200" t="s">
        <v>2029</v>
      </c>
      <c r="I71" s="1214"/>
      <c r="J71" s="1500"/>
      <c r="K71" s="844"/>
    </row>
    <row r="72" spans="1:11" x14ac:dyDescent="0.2">
      <c r="A72" s="1514"/>
      <c r="B72" s="1438"/>
      <c r="C72" s="1368"/>
      <c r="D72" s="147" t="s">
        <v>230</v>
      </c>
      <c r="E72" s="627" t="s">
        <v>521</v>
      </c>
      <c r="F72" s="111" t="s">
        <v>2785</v>
      </c>
      <c r="G72" s="197">
        <v>1</v>
      </c>
      <c r="H72" s="149"/>
      <c r="I72" s="1214"/>
      <c r="J72" s="1500"/>
      <c r="K72" s="844"/>
    </row>
    <row r="73" spans="1:11" x14ac:dyDescent="0.2">
      <c r="A73" s="1514"/>
      <c r="B73" s="1438"/>
      <c r="C73" s="1368"/>
      <c r="D73" s="147" t="s">
        <v>232</v>
      </c>
      <c r="E73" s="627" t="s">
        <v>515</v>
      </c>
      <c r="F73" s="111"/>
      <c r="G73" s="197">
        <v>1</v>
      </c>
      <c r="H73" s="149"/>
      <c r="I73" s="1214"/>
      <c r="J73" s="1500"/>
      <c r="K73" s="844"/>
    </row>
    <row r="74" spans="1:11" x14ac:dyDescent="0.2">
      <c r="A74" s="1514"/>
      <c r="B74" s="1438"/>
      <c r="C74" s="1368"/>
      <c r="D74" s="147" t="s">
        <v>234</v>
      </c>
      <c r="E74" s="627" t="s">
        <v>104</v>
      </c>
      <c r="F74" s="111"/>
      <c r="G74" s="197">
        <v>0</v>
      </c>
      <c r="H74" s="149"/>
      <c r="I74" s="1214"/>
      <c r="J74" s="1500"/>
      <c r="K74" s="844"/>
    </row>
    <row r="75" spans="1:11" ht="12.75" thickBot="1" x14ac:dyDescent="0.25">
      <c r="A75" s="1514"/>
      <c r="B75" s="1438"/>
      <c r="C75" s="1369"/>
      <c r="D75" s="282" t="s">
        <v>236</v>
      </c>
      <c r="E75" s="644" t="s">
        <v>522</v>
      </c>
      <c r="F75" s="260"/>
      <c r="G75" s="261">
        <v>0</v>
      </c>
      <c r="H75" s="262"/>
      <c r="I75" s="1498"/>
      <c r="J75" s="1501"/>
      <c r="K75" s="844"/>
    </row>
    <row r="76" spans="1:11" x14ac:dyDescent="0.2">
      <c r="A76" s="1514"/>
      <c r="B76" s="1438"/>
      <c r="C76" s="1518" t="s">
        <v>523</v>
      </c>
      <c r="D76" s="271" t="s">
        <v>238</v>
      </c>
      <c r="E76" s="640" t="s">
        <v>524</v>
      </c>
      <c r="F76" s="257" t="s">
        <v>2785</v>
      </c>
      <c r="G76" s="258">
        <v>1</v>
      </c>
      <c r="H76" s="1213" t="s">
        <v>2030</v>
      </c>
      <c r="I76" s="1213">
        <f>SUMIF(F76:F84,"x",G76:G84)</f>
        <v>7</v>
      </c>
      <c r="J76" s="1499">
        <f>I76/7</f>
        <v>1</v>
      </c>
      <c r="K76" s="844"/>
    </row>
    <row r="77" spans="1:11" x14ac:dyDescent="0.2">
      <c r="A77" s="1514"/>
      <c r="B77" s="1438"/>
      <c r="C77" s="1519"/>
      <c r="D77" s="273" t="s">
        <v>240</v>
      </c>
      <c r="E77" s="641" t="s">
        <v>525</v>
      </c>
      <c r="F77" s="111" t="s">
        <v>2785</v>
      </c>
      <c r="G77" s="197">
        <v>1</v>
      </c>
      <c r="H77" s="1214"/>
      <c r="I77" s="1214"/>
      <c r="J77" s="1500"/>
      <c r="K77" s="844"/>
    </row>
    <row r="78" spans="1:11" x14ac:dyDescent="0.2">
      <c r="A78" s="1514"/>
      <c r="B78" s="1438"/>
      <c r="C78" s="1519"/>
      <c r="D78" s="273" t="s">
        <v>167</v>
      </c>
      <c r="E78" s="641" t="s">
        <v>526</v>
      </c>
      <c r="F78" s="111" t="s">
        <v>2785</v>
      </c>
      <c r="G78" s="197">
        <v>1</v>
      </c>
      <c r="H78" s="1214"/>
      <c r="I78" s="1214"/>
      <c r="J78" s="1500"/>
      <c r="K78" s="844"/>
    </row>
    <row r="79" spans="1:11" x14ac:dyDescent="0.2">
      <c r="A79" s="1514"/>
      <c r="B79" s="1438"/>
      <c r="C79" s="1519"/>
      <c r="D79" s="273" t="s">
        <v>243</v>
      </c>
      <c r="E79" s="641" t="s">
        <v>527</v>
      </c>
      <c r="F79" s="111" t="s">
        <v>2785</v>
      </c>
      <c r="G79" s="197">
        <v>1</v>
      </c>
      <c r="H79" s="1214"/>
      <c r="I79" s="1214"/>
      <c r="J79" s="1500"/>
      <c r="K79" s="844"/>
    </row>
    <row r="80" spans="1:11" x14ac:dyDescent="0.2">
      <c r="A80" s="1514"/>
      <c r="B80" s="1438"/>
      <c r="C80" s="1519"/>
      <c r="D80" s="273" t="s">
        <v>245</v>
      </c>
      <c r="E80" s="641" t="s">
        <v>528</v>
      </c>
      <c r="F80" s="111" t="s">
        <v>2785</v>
      </c>
      <c r="G80" s="197">
        <v>1</v>
      </c>
      <c r="H80" s="1214"/>
      <c r="I80" s="1214"/>
      <c r="J80" s="1500"/>
      <c r="K80" s="844"/>
    </row>
    <row r="81" spans="1:11" ht="12.75" customHeight="1" x14ac:dyDescent="0.2">
      <c r="A81" s="1514"/>
      <c r="B81" s="1438"/>
      <c r="C81" s="1519"/>
      <c r="D81" s="273" t="s">
        <v>246</v>
      </c>
      <c r="E81" s="641" t="s">
        <v>529</v>
      </c>
      <c r="F81" s="111" t="s">
        <v>2785</v>
      </c>
      <c r="G81" s="197">
        <v>1</v>
      </c>
      <c r="H81" s="1214"/>
      <c r="I81" s="1214"/>
      <c r="J81" s="1500"/>
      <c r="K81" s="844"/>
    </row>
    <row r="82" spans="1:11" x14ac:dyDescent="0.2">
      <c r="A82" s="1514"/>
      <c r="B82" s="1438"/>
      <c r="C82" s="1519"/>
      <c r="D82" s="272" t="s">
        <v>248</v>
      </c>
      <c r="E82" s="646" t="s">
        <v>530</v>
      </c>
      <c r="F82" s="111" t="s">
        <v>2785</v>
      </c>
      <c r="G82" s="111">
        <v>1</v>
      </c>
      <c r="H82" s="1214"/>
      <c r="I82" s="1214"/>
      <c r="J82" s="1500"/>
      <c r="K82" s="844"/>
    </row>
    <row r="83" spans="1:11" ht="12" customHeight="1" x14ac:dyDescent="0.2">
      <c r="A83" s="1514"/>
      <c r="B83" s="1438"/>
      <c r="C83" s="1519"/>
      <c r="D83" s="272" t="s">
        <v>250</v>
      </c>
      <c r="E83" s="646" t="s">
        <v>531</v>
      </c>
      <c r="F83" s="111"/>
      <c r="G83" s="111">
        <v>0</v>
      </c>
      <c r="H83" s="1214"/>
      <c r="I83" s="1214"/>
      <c r="J83" s="1500"/>
      <c r="K83" s="844"/>
    </row>
    <row r="84" spans="1:11" ht="12" customHeight="1" thickBot="1" x14ac:dyDescent="0.25">
      <c r="A84" s="1514"/>
      <c r="B84" s="1438"/>
      <c r="C84" s="1545"/>
      <c r="D84" s="284" t="s">
        <v>252</v>
      </c>
      <c r="E84" s="647" t="s">
        <v>472</v>
      </c>
      <c r="F84" s="1063"/>
      <c r="G84" s="199">
        <v>0</v>
      </c>
      <c r="H84" s="1517"/>
      <c r="I84" s="1517"/>
      <c r="J84" s="1527"/>
      <c r="K84" s="844"/>
    </row>
    <row r="85" spans="1:11" ht="28.5" customHeight="1" x14ac:dyDescent="0.2">
      <c r="A85" s="1514"/>
      <c r="B85" s="1438"/>
      <c r="C85" s="1442" t="s">
        <v>532</v>
      </c>
      <c r="D85" s="285" t="s">
        <v>254</v>
      </c>
      <c r="E85" s="648" t="s">
        <v>533</v>
      </c>
      <c r="F85" s="1384" t="s">
        <v>533</v>
      </c>
      <c r="G85" s="1539" t="s">
        <v>2408</v>
      </c>
      <c r="H85" s="286" t="s">
        <v>534</v>
      </c>
      <c r="I85" s="1532">
        <f>J85</f>
        <v>1</v>
      </c>
      <c r="J85" s="1530">
        <f>IF(F85="Más de 4 veces en el año",100%,IF(F85=" De 1 a 3 veces en el año",50%,0))</f>
        <v>1</v>
      </c>
      <c r="K85" s="844"/>
    </row>
    <row r="86" spans="1:11" ht="36" customHeight="1" thickBot="1" x14ac:dyDescent="0.25">
      <c r="A86" s="1514"/>
      <c r="B86" s="1438"/>
      <c r="C86" s="1443"/>
      <c r="D86" s="287" t="s">
        <v>255</v>
      </c>
      <c r="E86" s="649" t="s">
        <v>2410</v>
      </c>
      <c r="F86" s="1371"/>
      <c r="G86" s="1540"/>
      <c r="H86" s="288" t="s">
        <v>535</v>
      </c>
      <c r="I86" s="1533"/>
      <c r="J86" s="1531"/>
      <c r="K86" s="844"/>
    </row>
    <row r="87" spans="1:11" x14ac:dyDescent="0.2">
      <c r="A87" s="1514"/>
      <c r="B87" s="1438"/>
      <c r="C87" s="1367" t="s">
        <v>536</v>
      </c>
      <c r="D87" s="281" t="s">
        <v>257</v>
      </c>
      <c r="E87" s="643" t="s">
        <v>537</v>
      </c>
      <c r="F87" s="257"/>
      <c r="G87" s="258">
        <v>1</v>
      </c>
      <c r="H87" s="1213" t="s">
        <v>2031</v>
      </c>
      <c r="I87" s="1213">
        <f>SUMIF(F87:F91,"x",G87:G91)</f>
        <v>3</v>
      </c>
      <c r="J87" s="1499">
        <f>I87/4</f>
        <v>0.75</v>
      </c>
      <c r="K87" s="844"/>
    </row>
    <row r="88" spans="1:11" x14ac:dyDescent="0.2">
      <c r="A88" s="1514"/>
      <c r="B88" s="1438"/>
      <c r="C88" s="1368"/>
      <c r="D88" s="147" t="s">
        <v>259</v>
      </c>
      <c r="E88" s="627" t="s">
        <v>538</v>
      </c>
      <c r="F88" s="111" t="s">
        <v>2785</v>
      </c>
      <c r="G88" s="197">
        <v>1</v>
      </c>
      <c r="H88" s="1214"/>
      <c r="I88" s="1214"/>
      <c r="J88" s="1500"/>
      <c r="K88" s="844"/>
    </row>
    <row r="89" spans="1:11" x14ac:dyDescent="0.2">
      <c r="A89" s="1514"/>
      <c r="B89" s="1438"/>
      <c r="C89" s="1368"/>
      <c r="D89" s="147" t="s">
        <v>261</v>
      </c>
      <c r="E89" s="627" t="s">
        <v>539</v>
      </c>
      <c r="F89" s="111" t="s">
        <v>2785</v>
      </c>
      <c r="G89" s="197">
        <v>1</v>
      </c>
      <c r="H89" s="1214"/>
      <c r="I89" s="1214"/>
      <c r="J89" s="1500"/>
      <c r="K89" s="844"/>
    </row>
    <row r="90" spans="1:11" x14ac:dyDescent="0.2">
      <c r="A90" s="1514"/>
      <c r="B90" s="1438"/>
      <c r="C90" s="1368"/>
      <c r="D90" s="147" t="s">
        <v>262</v>
      </c>
      <c r="E90" s="627" t="s">
        <v>540</v>
      </c>
      <c r="F90" s="111" t="s">
        <v>2785</v>
      </c>
      <c r="G90" s="197">
        <v>1</v>
      </c>
      <c r="H90" s="1214"/>
      <c r="I90" s="1214"/>
      <c r="J90" s="1500"/>
      <c r="K90" s="844"/>
    </row>
    <row r="91" spans="1:11" ht="12.75" thickBot="1" x14ac:dyDescent="0.25">
      <c r="A91" s="1514"/>
      <c r="B91" s="1438"/>
      <c r="C91" s="1369"/>
      <c r="D91" s="282" t="s">
        <v>264</v>
      </c>
      <c r="E91" s="644" t="s">
        <v>541</v>
      </c>
      <c r="F91" s="260"/>
      <c r="G91" s="261">
        <v>0</v>
      </c>
      <c r="H91" s="1498"/>
      <c r="I91" s="1498"/>
      <c r="J91" s="1501"/>
      <c r="K91" s="844"/>
    </row>
    <row r="92" spans="1:11" ht="24" x14ac:dyDescent="0.2">
      <c r="A92" s="1514"/>
      <c r="B92" s="1438"/>
      <c r="C92" s="1518" t="s">
        <v>542</v>
      </c>
      <c r="D92" s="271" t="s">
        <v>266</v>
      </c>
      <c r="E92" s="640" t="s">
        <v>543</v>
      </c>
      <c r="F92" s="257" t="s">
        <v>167</v>
      </c>
      <c r="G92" s="258">
        <v>1</v>
      </c>
      <c r="H92" s="259"/>
      <c r="I92" s="1213">
        <f>SUMIF(F92:F99,"X",G92:G99)</f>
        <v>5</v>
      </c>
      <c r="J92" s="1499">
        <f>I92/6</f>
        <v>0.83333333333333337</v>
      </c>
      <c r="K92" s="844"/>
    </row>
    <row r="93" spans="1:11" ht="24" x14ac:dyDescent="0.2">
      <c r="A93" s="1514"/>
      <c r="B93" s="1438"/>
      <c r="C93" s="1519"/>
      <c r="D93" s="273" t="s">
        <v>268</v>
      </c>
      <c r="E93" s="641" t="s">
        <v>544</v>
      </c>
      <c r="F93" s="111"/>
      <c r="G93" s="197">
        <v>1</v>
      </c>
      <c r="H93" s="149"/>
      <c r="I93" s="1214"/>
      <c r="J93" s="1500"/>
      <c r="K93" s="844"/>
    </row>
    <row r="94" spans="1:11" x14ac:dyDescent="0.2">
      <c r="A94" s="1514"/>
      <c r="B94" s="1438"/>
      <c r="C94" s="1519"/>
      <c r="D94" s="273" t="s">
        <v>270</v>
      </c>
      <c r="E94" s="641" t="s">
        <v>545</v>
      </c>
      <c r="F94" s="111" t="s">
        <v>167</v>
      </c>
      <c r="G94" s="197">
        <v>1</v>
      </c>
      <c r="H94" s="149"/>
      <c r="I94" s="1214"/>
      <c r="J94" s="1500"/>
      <c r="K94" s="844"/>
    </row>
    <row r="95" spans="1:11" ht="24" x14ac:dyDescent="0.2">
      <c r="A95" s="1514"/>
      <c r="B95" s="1438"/>
      <c r="C95" s="1519"/>
      <c r="D95" s="273" t="s">
        <v>272</v>
      </c>
      <c r="E95" s="641" t="s">
        <v>547</v>
      </c>
      <c r="F95" s="111" t="s">
        <v>167</v>
      </c>
      <c r="G95" s="197">
        <v>1</v>
      </c>
      <c r="H95" s="149"/>
      <c r="I95" s="1214"/>
      <c r="J95" s="1500"/>
      <c r="K95" s="289"/>
    </row>
    <row r="96" spans="1:11" ht="24" x14ac:dyDescent="0.2">
      <c r="A96" s="1514"/>
      <c r="B96" s="1438"/>
      <c r="C96" s="1519"/>
      <c r="D96" s="273" t="s">
        <v>274</v>
      </c>
      <c r="E96" s="633" t="s">
        <v>548</v>
      </c>
      <c r="F96" s="111" t="s">
        <v>167</v>
      </c>
      <c r="G96" s="197">
        <v>1</v>
      </c>
      <c r="H96" s="200" t="s">
        <v>2447</v>
      </c>
      <c r="I96" s="1214"/>
      <c r="J96" s="1500"/>
      <c r="K96" s="289"/>
    </row>
    <row r="97" spans="1:11" ht="48" x14ac:dyDescent="0.2">
      <c r="A97" s="1514"/>
      <c r="B97" s="1438"/>
      <c r="C97" s="1519"/>
      <c r="D97" s="273" t="s">
        <v>276</v>
      </c>
      <c r="E97" s="641" t="s">
        <v>1942</v>
      </c>
      <c r="F97" s="111" t="s">
        <v>167</v>
      </c>
      <c r="G97" s="197">
        <v>1</v>
      </c>
      <c r="H97" s="149"/>
      <c r="I97" s="1214"/>
      <c r="J97" s="1500"/>
      <c r="K97" s="289"/>
    </row>
    <row r="98" spans="1:11" ht="48" x14ac:dyDescent="0.2">
      <c r="A98" s="1514"/>
      <c r="B98" s="1438"/>
      <c r="C98" s="1519"/>
      <c r="D98" s="273" t="s">
        <v>278</v>
      </c>
      <c r="E98" s="641" t="s">
        <v>546</v>
      </c>
      <c r="F98" s="111"/>
      <c r="G98" s="197">
        <v>0</v>
      </c>
      <c r="H98" s="149"/>
      <c r="I98" s="1214"/>
      <c r="J98" s="1500"/>
      <c r="K98" s="289"/>
    </row>
    <row r="99" spans="1:11" ht="24.75" thickBot="1" x14ac:dyDescent="0.25">
      <c r="A99" s="1514"/>
      <c r="B99" s="1438"/>
      <c r="C99" s="1520"/>
      <c r="D99" s="275" t="s">
        <v>280</v>
      </c>
      <c r="E99" s="642" t="s">
        <v>549</v>
      </c>
      <c r="F99" s="260"/>
      <c r="G99" s="261">
        <v>0</v>
      </c>
      <c r="H99" s="262"/>
      <c r="I99" s="1498"/>
      <c r="J99" s="1501"/>
      <c r="K99" s="844"/>
    </row>
    <row r="100" spans="1:11" ht="16.5" thickBot="1" x14ac:dyDescent="0.25">
      <c r="A100" s="1514"/>
      <c r="B100" s="1439"/>
      <c r="C100" s="1363" t="s">
        <v>2018</v>
      </c>
      <c r="D100" s="1363"/>
      <c r="E100" s="1363"/>
      <c r="F100" s="1363"/>
      <c r="G100" s="1363"/>
      <c r="H100" s="1363"/>
      <c r="I100" s="1363"/>
      <c r="J100" s="293">
        <f>(J55+J66+J76+J85+J87+J92)/6</f>
        <v>0.81805555555555554</v>
      </c>
      <c r="K100" s="121"/>
    </row>
    <row r="101" spans="1:11" ht="12" customHeight="1" x14ac:dyDescent="0.2">
      <c r="A101" s="1534" t="s">
        <v>550</v>
      </c>
      <c r="B101" s="1259">
        <v>0.25</v>
      </c>
      <c r="C101" s="1367" t="s">
        <v>551</v>
      </c>
      <c r="D101" s="281" t="s">
        <v>82</v>
      </c>
      <c r="E101" s="643" t="s">
        <v>501</v>
      </c>
      <c r="F101" s="257"/>
      <c r="G101" s="258">
        <v>1</v>
      </c>
      <c r="H101" s="259"/>
      <c r="I101" s="1213">
        <f>SUMIF(F101:F107,"X",G101:G107)</f>
        <v>3</v>
      </c>
      <c r="J101" s="1499">
        <f>I101/5</f>
        <v>0.6</v>
      </c>
      <c r="K101" s="844"/>
    </row>
    <row r="102" spans="1:11" x14ac:dyDescent="0.2">
      <c r="A102" s="1534"/>
      <c r="B102" s="1382"/>
      <c r="C102" s="1368"/>
      <c r="D102" s="147" t="s">
        <v>84</v>
      </c>
      <c r="E102" s="627" t="s">
        <v>502</v>
      </c>
      <c r="F102" s="111" t="s">
        <v>167</v>
      </c>
      <c r="G102" s="197">
        <v>1</v>
      </c>
      <c r="H102" s="149"/>
      <c r="I102" s="1214"/>
      <c r="J102" s="1500"/>
      <c r="K102" s="844"/>
    </row>
    <row r="103" spans="1:11" x14ac:dyDescent="0.2">
      <c r="A103" s="1534"/>
      <c r="B103" s="1382"/>
      <c r="C103" s="1368"/>
      <c r="D103" s="147" t="s">
        <v>86</v>
      </c>
      <c r="E103" s="627" t="s">
        <v>503</v>
      </c>
      <c r="F103" s="111"/>
      <c r="G103" s="197">
        <v>1</v>
      </c>
      <c r="H103" s="149"/>
      <c r="I103" s="1214"/>
      <c r="J103" s="1500"/>
      <c r="K103" s="844"/>
    </row>
    <row r="104" spans="1:11" ht="24" x14ac:dyDescent="0.2">
      <c r="A104" s="1534"/>
      <c r="B104" s="1382"/>
      <c r="C104" s="1368"/>
      <c r="D104" s="147" t="s">
        <v>87</v>
      </c>
      <c r="E104" s="627" t="s">
        <v>504</v>
      </c>
      <c r="F104" s="111" t="s">
        <v>167</v>
      </c>
      <c r="G104" s="197">
        <v>1</v>
      </c>
      <c r="H104" s="200" t="s">
        <v>2032</v>
      </c>
      <c r="I104" s="1214"/>
      <c r="J104" s="1500"/>
      <c r="K104" s="844"/>
    </row>
    <row r="105" spans="1:11" x14ac:dyDescent="0.2">
      <c r="A105" s="1534"/>
      <c r="B105" s="1382"/>
      <c r="C105" s="1368"/>
      <c r="D105" s="147" t="s">
        <v>95</v>
      </c>
      <c r="E105" s="627" t="s">
        <v>505</v>
      </c>
      <c r="F105" s="111" t="s">
        <v>167</v>
      </c>
      <c r="G105" s="197">
        <v>1</v>
      </c>
      <c r="H105" s="149"/>
      <c r="I105" s="1214"/>
      <c r="J105" s="1500"/>
      <c r="K105" s="844"/>
    </row>
    <row r="106" spans="1:11" x14ac:dyDescent="0.2">
      <c r="A106" s="1534"/>
      <c r="B106" s="1382"/>
      <c r="C106" s="1368"/>
      <c r="D106" s="147" t="s">
        <v>97</v>
      </c>
      <c r="E106" s="627" t="s">
        <v>481</v>
      </c>
      <c r="F106" s="111"/>
      <c r="G106" s="197">
        <v>0</v>
      </c>
      <c r="H106" s="149"/>
      <c r="I106" s="1214"/>
      <c r="J106" s="1500"/>
      <c r="K106" s="844"/>
    </row>
    <row r="107" spans="1:11" ht="12.75" thickBot="1" x14ac:dyDescent="0.25">
      <c r="A107" s="1534"/>
      <c r="B107" s="1382"/>
      <c r="C107" s="1369"/>
      <c r="D107" s="282" t="s">
        <v>99</v>
      </c>
      <c r="E107" s="644" t="s">
        <v>472</v>
      </c>
      <c r="F107" s="260"/>
      <c r="G107" s="261">
        <v>0</v>
      </c>
      <c r="H107" s="262"/>
      <c r="I107" s="1498"/>
      <c r="J107" s="1501"/>
      <c r="K107" s="844"/>
    </row>
    <row r="108" spans="1:11" ht="12" customHeight="1" x14ac:dyDescent="0.2">
      <c r="A108" s="1534"/>
      <c r="B108" s="1382"/>
      <c r="C108" s="1518" t="s">
        <v>552</v>
      </c>
      <c r="D108" s="271" t="s">
        <v>101</v>
      </c>
      <c r="E108" s="640" t="s">
        <v>501</v>
      </c>
      <c r="F108" s="257" t="s">
        <v>167</v>
      </c>
      <c r="G108" s="258">
        <v>1</v>
      </c>
      <c r="H108" s="259"/>
      <c r="I108" s="1213">
        <f>SUMIF(F108:F115,"X",G108:G115)</f>
        <v>6</v>
      </c>
      <c r="J108" s="1499">
        <f>I108/6</f>
        <v>1</v>
      </c>
      <c r="K108" s="844"/>
    </row>
    <row r="109" spans="1:11" x14ac:dyDescent="0.2">
      <c r="A109" s="1534"/>
      <c r="B109" s="1382"/>
      <c r="C109" s="1519"/>
      <c r="D109" s="273" t="s">
        <v>103</v>
      </c>
      <c r="E109" s="641" t="s">
        <v>502</v>
      </c>
      <c r="F109" s="111" t="s">
        <v>167</v>
      </c>
      <c r="G109" s="197">
        <v>1</v>
      </c>
      <c r="H109" s="149"/>
      <c r="I109" s="1214"/>
      <c r="J109" s="1500"/>
      <c r="K109" s="844"/>
    </row>
    <row r="110" spans="1:11" x14ac:dyDescent="0.2">
      <c r="A110" s="1534"/>
      <c r="B110" s="1382"/>
      <c r="C110" s="1519"/>
      <c r="D110" s="273" t="s">
        <v>151</v>
      </c>
      <c r="E110" s="641" t="s">
        <v>503</v>
      </c>
      <c r="F110" s="111" t="s">
        <v>167</v>
      </c>
      <c r="G110" s="197">
        <v>1</v>
      </c>
      <c r="H110" s="149"/>
      <c r="I110" s="1214"/>
      <c r="J110" s="1500"/>
      <c r="K110" s="844"/>
    </row>
    <row r="111" spans="1:11" ht="24" x14ac:dyDescent="0.2">
      <c r="A111" s="1534"/>
      <c r="B111" s="1382"/>
      <c r="C111" s="1519"/>
      <c r="D111" s="273" t="s">
        <v>152</v>
      </c>
      <c r="E111" s="641" t="s">
        <v>504</v>
      </c>
      <c r="F111" s="111" t="s">
        <v>167</v>
      </c>
      <c r="G111" s="197">
        <v>1</v>
      </c>
      <c r="H111" s="200" t="s">
        <v>2033</v>
      </c>
      <c r="I111" s="1214"/>
      <c r="J111" s="1500"/>
      <c r="K111" s="844"/>
    </row>
    <row r="112" spans="1:11" x14ac:dyDescent="0.2">
      <c r="A112" s="1534"/>
      <c r="B112" s="1382"/>
      <c r="C112" s="1519"/>
      <c r="D112" s="273" t="s">
        <v>218</v>
      </c>
      <c r="E112" s="641" t="s">
        <v>505</v>
      </c>
      <c r="F112" s="111" t="s">
        <v>167</v>
      </c>
      <c r="G112" s="197">
        <v>1</v>
      </c>
      <c r="H112" s="149"/>
      <c r="I112" s="1214"/>
      <c r="J112" s="1500"/>
      <c r="K112" s="844"/>
    </row>
    <row r="113" spans="1:11" x14ac:dyDescent="0.2">
      <c r="A113" s="1534"/>
      <c r="B113" s="1382"/>
      <c r="C113" s="1519"/>
      <c r="D113" s="273" t="s">
        <v>220</v>
      </c>
      <c r="E113" s="641" t="s">
        <v>1922</v>
      </c>
      <c r="F113" s="111" t="s">
        <v>167</v>
      </c>
      <c r="G113" s="197">
        <v>1</v>
      </c>
      <c r="H113" s="149"/>
      <c r="I113" s="1214"/>
      <c r="J113" s="1500"/>
      <c r="K113" s="844"/>
    </row>
    <row r="114" spans="1:11" x14ac:dyDescent="0.2">
      <c r="A114" s="1534"/>
      <c r="B114" s="1382"/>
      <c r="C114" s="1519"/>
      <c r="D114" s="273" t="s">
        <v>222</v>
      </c>
      <c r="E114" s="641" t="s">
        <v>104</v>
      </c>
      <c r="F114" s="111"/>
      <c r="G114" s="197">
        <v>0</v>
      </c>
      <c r="H114" s="149"/>
      <c r="I114" s="1214"/>
      <c r="J114" s="1500"/>
      <c r="K114" s="844"/>
    </row>
    <row r="115" spans="1:11" ht="12.75" thickBot="1" x14ac:dyDescent="0.25">
      <c r="A115" s="1534"/>
      <c r="B115" s="1382"/>
      <c r="C115" s="1520"/>
      <c r="D115" s="275" t="s">
        <v>224</v>
      </c>
      <c r="E115" s="642" t="s">
        <v>472</v>
      </c>
      <c r="F115" s="260"/>
      <c r="G115" s="261">
        <v>0</v>
      </c>
      <c r="H115" s="262"/>
      <c r="I115" s="1498"/>
      <c r="J115" s="1501"/>
      <c r="K115" s="844"/>
    </row>
    <row r="116" spans="1:11" ht="12" customHeight="1" x14ac:dyDescent="0.2">
      <c r="A116" s="1534"/>
      <c r="B116" s="1382"/>
      <c r="C116" s="1367" t="s">
        <v>553</v>
      </c>
      <c r="D116" s="281" t="s">
        <v>226</v>
      </c>
      <c r="E116" s="643" t="s">
        <v>501</v>
      </c>
      <c r="F116" s="257" t="s">
        <v>167</v>
      </c>
      <c r="G116" s="258">
        <v>1</v>
      </c>
      <c r="H116" s="259"/>
      <c r="I116" s="1213">
        <f>SUMIF(F116:F123,"X",G116:G123)</f>
        <v>6</v>
      </c>
      <c r="J116" s="1499">
        <f>I116/6</f>
        <v>1</v>
      </c>
      <c r="K116" s="844"/>
    </row>
    <row r="117" spans="1:11" x14ac:dyDescent="0.2">
      <c r="A117" s="1534"/>
      <c r="B117" s="1382"/>
      <c r="C117" s="1368"/>
      <c r="D117" s="147" t="s">
        <v>228</v>
      </c>
      <c r="E117" s="627" t="s">
        <v>502</v>
      </c>
      <c r="F117" s="111" t="s">
        <v>167</v>
      </c>
      <c r="G117" s="197">
        <v>1</v>
      </c>
      <c r="H117" s="149"/>
      <c r="I117" s="1214"/>
      <c r="J117" s="1500"/>
      <c r="K117" s="844"/>
    </row>
    <row r="118" spans="1:11" x14ac:dyDescent="0.2">
      <c r="A118" s="1534"/>
      <c r="B118" s="1382"/>
      <c r="C118" s="1368"/>
      <c r="D118" s="147" t="s">
        <v>230</v>
      </c>
      <c r="E118" s="627" t="s">
        <v>503</v>
      </c>
      <c r="F118" s="111" t="s">
        <v>167</v>
      </c>
      <c r="G118" s="197">
        <v>1</v>
      </c>
      <c r="H118" s="149"/>
      <c r="I118" s="1214"/>
      <c r="J118" s="1500"/>
      <c r="K118" s="844"/>
    </row>
    <row r="119" spans="1:11" ht="24" x14ac:dyDescent="0.2">
      <c r="A119" s="1534"/>
      <c r="B119" s="1382"/>
      <c r="C119" s="1368"/>
      <c r="D119" s="147" t="s">
        <v>232</v>
      </c>
      <c r="E119" s="627" t="s">
        <v>504</v>
      </c>
      <c r="F119" s="111" t="s">
        <v>167</v>
      </c>
      <c r="G119" s="197">
        <v>1</v>
      </c>
      <c r="H119" s="200" t="s">
        <v>2034</v>
      </c>
      <c r="I119" s="1214"/>
      <c r="J119" s="1500"/>
      <c r="K119" s="844"/>
    </row>
    <row r="120" spans="1:11" x14ac:dyDescent="0.2">
      <c r="A120" s="1534"/>
      <c r="B120" s="1382"/>
      <c r="C120" s="1368"/>
      <c r="D120" s="147" t="s">
        <v>234</v>
      </c>
      <c r="E120" s="627" t="s">
        <v>505</v>
      </c>
      <c r="F120" s="111" t="s">
        <v>167</v>
      </c>
      <c r="G120" s="197">
        <v>1</v>
      </c>
      <c r="H120" s="149"/>
      <c r="I120" s="1214"/>
      <c r="J120" s="1500"/>
      <c r="K120" s="844"/>
    </row>
    <row r="121" spans="1:11" x14ac:dyDescent="0.2">
      <c r="A121" s="1534"/>
      <c r="B121" s="1382"/>
      <c r="C121" s="1368"/>
      <c r="D121" s="147" t="s">
        <v>236</v>
      </c>
      <c r="E121" s="627" t="s">
        <v>1922</v>
      </c>
      <c r="F121" s="111" t="s">
        <v>167</v>
      </c>
      <c r="G121" s="197">
        <v>1</v>
      </c>
      <c r="H121" s="149"/>
      <c r="I121" s="1214"/>
      <c r="J121" s="1500"/>
      <c r="K121" s="844"/>
    </row>
    <row r="122" spans="1:11" x14ac:dyDescent="0.2">
      <c r="A122" s="1534"/>
      <c r="B122" s="1382"/>
      <c r="C122" s="1368"/>
      <c r="D122" s="147" t="s">
        <v>238</v>
      </c>
      <c r="E122" s="627" t="s">
        <v>104</v>
      </c>
      <c r="F122" s="111"/>
      <c r="G122" s="197">
        <v>0</v>
      </c>
      <c r="H122" s="149"/>
      <c r="I122" s="1214"/>
      <c r="J122" s="1500"/>
      <c r="K122" s="844"/>
    </row>
    <row r="123" spans="1:11" ht="12.75" thickBot="1" x14ac:dyDescent="0.25">
      <c r="A123" s="1534"/>
      <c r="B123" s="1382"/>
      <c r="C123" s="1369"/>
      <c r="D123" s="282" t="s">
        <v>240</v>
      </c>
      <c r="E123" s="644" t="s">
        <v>472</v>
      </c>
      <c r="F123" s="260"/>
      <c r="G123" s="261">
        <v>0</v>
      </c>
      <c r="H123" s="262"/>
      <c r="I123" s="1498"/>
      <c r="J123" s="1501"/>
      <c r="K123" s="844"/>
    </row>
    <row r="124" spans="1:11" ht="12" customHeight="1" x14ac:dyDescent="0.2">
      <c r="A124" s="1534"/>
      <c r="B124" s="1382"/>
      <c r="C124" s="1535" t="s">
        <v>554</v>
      </c>
      <c r="D124" s="271" t="s">
        <v>167</v>
      </c>
      <c r="E124" s="632" t="s">
        <v>100</v>
      </c>
      <c r="F124" s="257" t="s">
        <v>167</v>
      </c>
      <c r="G124" s="258">
        <v>1</v>
      </c>
      <c r="H124" s="259"/>
      <c r="I124" s="1213">
        <f>SUMIF(F124:F131,"X",G124:G131)</f>
        <v>4</v>
      </c>
      <c r="J124" s="1499">
        <f>I124/5</f>
        <v>0.8</v>
      </c>
      <c r="K124" s="844"/>
    </row>
    <row r="125" spans="1:11" x14ac:dyDescent="0.2">
      <c r="A125" s="1534"/>
      <c r="B125" s="1382"/>
      <c r="C125" s="1536"/>
      <c r="D125" s="273" t="s">
        <v>243</v>
      </c>
      <c r="E125" s="633" t="s">
        <v>494</v>
      </c>
      <c r="F125" s="111"/>
      <c r="G125" s="197">
        <v>1</v>
      </c>
      <c r="H125" s="149"/>
      <c r="I125" s="1214"/>
      <c r="J125" s="1500"/>
      <c r="K125" s="844"/>
    </row>
    <row r="126" spans="1:11" x14ac:dyDescent="0.2">
      <c r="A126" s="1534"/>
      <c r="B126" s="1382"/>
      <c r="C126" s="1536"/>
      <c r="D126" s="273" t="s">
        <v>245</v>
      </c>
      <c r="E126" s="633" t="s">
        <v>495</v>
      </c>
      <c r="F126" s="111" t="s">
        <v>167</v>
      </c>
      <c r="G126" s="197">
        <v>1</v>
      </c>
      <c r="H126" s="149"/>
      <c r="I126" s="1214"/>
      <c r="J126" s="1500"/>
      <c r="K126" s="844"/>
    </row>
    <row r="127" spans="1:11" ht="24" customHeight="1" x14ac:dyDescent="0.2">
      <c r="A127" s="1534"/>
      <c r="B127" s="1382"/>
      <c r="C127" s="1536"/>
      <c r="D127" s="273" t="s">
        <v>246</v>
      </c>
      <c r="E127" s="633" t="s">
        <v>496</v>
      </c>
      <c r="F127" s="111" t="s">
        <v>167</v>
      </c>
      <c r="G127" s="197">
        <v>1</v>
      </c>
      <c r="H127" s="1352" t="s">
        <v>2035</v>
      </c>
      <c r="I127" s="1214"/>
      <c r="J127" s="1500"/>
      <c r="K127" s="844"/>
    </row>
    <row r="128" spans="1:11" x14ac:dyDescent="0.2">
      <c r="A128" s="1534"/>
      <c r="B128" s="1382"/>
      <c r="C128" s="1536"/>
      <c r="D128" s="273" t="s">
        <v>248</v>
      </c>
      <c r="E128" s="633" t="s">
        <v>555</v>
      </c>
      <c r="F128" s="111" t="s">
        <v>167</v>
      </c>
      <c r="G128" s="197">
        <v>1</v>
      </c>
      <c r="H128" s="1352"/>
      <c r="I128" s="1214"/>
      <c r="J128" s="1500"/>
      <c r="K128" s="844"/>
    </row>
    <row r="129" spans="1:11" x14ac:dyDescent="0.2">
      <c r="A129" s="1534"/>
      <c r="B129" s="1382"/>
      <c r="C129" s="1536"/>
      <c r="D129" s="273" t="s">
        <v>250</v>
      </c>
      <c r="E129" s="633" t="s">
        <v>481</v>
      </c>
      <c r="F129" s="111"/>
      <c r="G129" s="197">
        <v>0</v>
      </c>
      <c r="H129" s="149"/>
      <c r="I129" s="1214"/>
      <c r="J129" s="1500"/>
      <c r="K129" s="844"/>
    </row>
    <row r="130" spans="1:11" ht="24" x14ac:dyDescent="0.2">
      <c r="A130" s="1534"/>
      <c r="B130" s="1382"/>
      <c r="C130" s="1536"/>
      <c r="D130" s="273" t="s">
        <v>252</v>
      </c>
      <c r="E130" s="633" t="s">
        <v>556</v>
      </c>
      <c r="F130" s="111" t="s">
        <v>167</v>
      </c>
      <c r="G130" s="197">
        <v>0</v>
      </c>
      <c r="H130" s="149"/>
      <c r="I130" s="1214"/>
      <c r="J130" s="1500"/>
      <c r="K130" s="844"/>
    </row>
    <row r="131" spans="1:11" ht="12.75" thickBot="1" x14ac:dyDescent="0.25">
      <c r="A131" s="1534"/>
      <c r="B131" s="1382"/>
      <c r="C131" s="1537"/>
      <c r="D131" s="275" t="s">
        <v>254</v>
      </c>
      <c r="E131" s="634" t="s">
        <v>557</v>
      </c>
      <c r="F131" s="260" t="s">
        <v>167</v>
      </c>
      <c r="G131" s="261">
        <v>0</v>
      </c>
      <c r="H131" s="262"/>
      <c r="I131" s="1498"/>
      <c r="J131" s="1501"/>
      <c r="K131" s="844"/>
    </row>
    <row r="132" spans="1:11" ht="15.75" x14ac:dyDescent="0.2">
      <c r="A132" s="1542" t="s">
        <v>2017</v>
      </c>
      <c r="B132" s="1543"/>
      <c r="C132" s="1544"/>
      <c r="D132" s="1544"/>
      <c r="E132" s="1544"/>
      <c r="F132" s="1544"/>
      <c r="G132" s="1544"/>
      <c r="H132" s="1544"/>
      <c r="I132" s="1544"/>
      <c r="J132" s="294">
        <f>(J101+J108+J116+J124)/4</f>
        <v>0.85000000000000009</v>
      </c>
      <c r="K132" s="121"/>
    </row>
    <row r="133" spans="1:11" ht="18.75" x14ac:dyDescent="0.2">
      <c r="A133" s="1375" t="s">
        <v>2021</v>
      </c>
      <c r="B133" s="1375"/>
      <c r="C133" s="1375"/>
      <c r="D133" s="1375"/>
      <c r="E133" s="1375"/>
      <c r="F133" s="1375"/>
      <c r="G133" s="1375"/>
      <c r="H133" s="1375" t="s">
        <v>558</v>
      </c>
      <c r="I133" s="1375"/>
      <c r="J133" s="292">
        <f>IF(((J34*0.25)+(J54*0.25)+(J100*0.25)+(J132*0.25))&gt;1,1,(J34*0.25)+(J54*0.25)+(J100*0.25)+(J132*0.25))</f>
        <v>0.81589781746031742</v>
      </c>
      <c r="K133" s="121"/>
    </row>
    <row r="134" spans="1:11" ht="15" x14ac:dyDescent="0.25">
      <c r="J134" s="182"/>
    </row>
    <row r="137" spans="1:11" x14ac:dyDescent="0.2">
      <c r="A137" s="1124" t="s">
        <v>1964</v>
      </c>
      <c r="B137" s="1245"/>
      <c r="C137" s="1245"/>
      <c r="D137" s="1245"/>
    </row>
    <row r="138" spans="1:11" x14ac:dyDescent="0.2">
      <c r="A138" s="179"/>
      <c r="B138" s="1376" t="s">
        <v>2010</v>
      </c>
      <c r="C138" s="1376"/>
      <c r="D138" s="1376"/>
    </row>
    <row r="139" spans="1:11" x14ac:dyDescent="0.2">
      <c r="A139" s="23"/>
      <c r="B139" s="1376" t="s">
        <v>2011</v>
      </c>
      <c r="C139" s="1376"/>
      <c r="D139" s="1376"/>
    </row>
    <row r="140" spans="1:11" x14ac:dyDescent="0.2">
      <c r="A140" s="180"/>
      <c r="B140" s="1376" t="s">
        <v>2012</v>
      </c>
      <c r="C140" s="1376"/>
      <c r="D140" s="1376"/>
    </row>
    <row r="141" spans="1:11" x14ac:dyDescent="0.2">
      <c r="A141" s="7"/>
      <c r="B141" s="1376" t="s">
        <v>2022</v>
      </c>
      <c r="C141" s="1376"/>
      <c r="D141" s="1376"/>
    </row>
    <row r="143" spans="1:11" ht="12.75" thickBot="1" x14ac:dyDescent="0.25"/>
    <row r="144" spans="1:11" ht="17.25" customHeight="1" thickBot="1" x14ac:dyDescent="0.25">
      <c r="A144" s="1181" t="s">
        <v>2227</v>
      </c>
      <c r="B144" s="1182"/>
      <c r="C144" s="1182"/>
      <c r="D144" s="1183"/>
    </row>
    <row r="145" spans="1:4" ht="12" customHeight="1" thickBot="1" x14ac:dyDescent="0.25">
      <c r="A145" s="94" t="s">
        <v>2228</v>
      </c>
      <c r="B145" s="119" t="s">
        <v>2229</v>
      </c>
      <c r="C145" s="95" t="s">
        <v>2230</v>
      </c>
      <c r="D145" s="95" t="s">
        <v>2231</v>
      </c>
    </row>
    <row r="146" spans="1:4" ht="12" customHeight="1" thickBot="1" x14ac:dyDescent="0.25">
      <c r="A146" s="96">
        <v>1</v>
      </c>
      <c r="B146" s="97" t="s">
        <v>2232</v>
      </c>
      <c r="C146" s="97" t="s">
        <v>2233</v>
      </c>
      <c r="D146" s="98"/>
    </row>
    <row r="147" spans="1:4" ht="18" customHeight="1" thickBot="1" x14ac:dyDescent="0.25">
      <c r="A147" s="96">
        <v>2</v>
      </c>
      <c r="B147" s="97" t="s">
        <v>2234</v>
      </c>
      <c r="C147" s="97" t="s">
        <v>2235</v>
      </c>
      <c r="D147" s="99"/>
    </row>
    <row r="148" spans="1:4" ht="16.5" customHeight="1" thickBot="1" x14ac:dyDescent="0.25">
      <c r="A148" s="96">
        <v>3</v>
      </c>
      <c r="B148" s="97" t="s">
        <v>2236</v>
      </c>
      <c r="C148" s="97" t="s">
        <v>2237</v>
      </c>
      <c r="D148" s="100"/>
    </row>
    <row r="149" spans="1:4" ht="12" customHeight="1" thickBot="1" x14ac:dyDescent="0.25">
      <c r="A149" s="96">
        <v>4</v>
      </c>
      <c r="B149" s="97" t="s">
        <v>2238</v>
      </c>
      <c r="C149" s="97" t="s">
        <v>2239</v>
      </c>
      <c r="D149" s="101"/>
    </row>
    <row r="150" spans="1:4" ht="18" customHeight="1" thickBot="1" x14ac:dyDescent="0.25">
      <c r="A150" s="96">
        <v>5</v>
      </c>
      <c r="B150" s="97" t="s">
        <v>2240</v>
      </c>
      <c r="C150" s="97" t="s">
        <v>2241</v>
      </c>
      <c r="D150" s="102"/>
    </row>
    <row r="151" spans="1:4" ht="15" x14ac:dyDescent="0.2">
      <c r="A151" s="183"/>
      <c r="B151" s="184"/>
      <c r="C151" s="184"/>
      <c r="D151" s="184"/>
    </row>
    <row r="152" spans="1:4" x14ac:dyDescent="0.2">
      <c r="A152" s="184"/>
      <c r="B152" s="184"/>
      <c r="C152" s="184"/>
      <c r="D152" s="184"/>
    </row>
    <row r="153" spans="1:4" x14ac:dyDescent="0.2">
      <c r="A153" s="184"/>
      <c r="B153" s="184"/>
      <c r="C153" s="184"/>
      <c r="D153" s="184"/>
    </row>
    <row r="154" spans="1:4" x14ac:dyDescent="0.2">
      <c r="A154" s="1124" t="s">
        <v>2288</v>
      </c>
      <c r="B154" s="1245"/>
      <c r="C154" s="1245"/>
      <c r="D154" s="1245"/>
    </row>
    <row r="155" spans="1:4" ht="33" customHeight="1" x14ac:dyDescent="0.2">
      <c r="A155" s="1393" t="s">
        <v>2056</v>
      </c>
      <c r="B155" s="1394"/>
      <c r="C155" s="1394"/>
      <c r="D155" s="1395"/>
    </row>
    <row r="156" spans="1:4" x14ac:dyDescent="0.2">
      <c r="A156" s="1493" t="s">
        <v>2036</v>
      </c>
      <c r="B156" s="1494"/>
      <c r="C156" s="1494"/>
      <c r="D156" s="1495"/>
    </row>
    <row r="157" spans="1:4" x14ac:dyDescent="0.2">
      <c r="A157" s="1493" t="s">
        <v>2057</v>
      </c>
      <c r="B157" s="1494"/>
      <c r="C157" s="1494"/>
      <c r="D157" s="1495"/>
    </row>
    <row r="158" spans="1:4" ht="43.5" customHeight="1" x14ac:dyDescent="0.2">
      <c r="A158" s="1393" t="s">
        <v>2058</v>
      </c>
      <c r="B158" s="1394"/>
      <c r="C158" s="1394"/>
      <c r="D158" s="1395"/>
    </row>
    <row r="159" spans="1:4" x14ac:dyDescent="0.2">
      <c r="A159" s="1490" t="s">
        <v>2059</v>
      </c>
      <c r="B159" s="1491"/>
      <c r="C159" s="1491"/>
      <c r="D159" s="1492"/>
    </row>
  </sheetData>
  <sheetProtection password="B860" sheet="1" objects="1" scenarios="1"/>
  <mergeCells count="92">
    <mergeCell ref="B140:D140"/>
    <mergeCell ref="A133:G133"/>
    <mergeCell ref="H133:I133"/>
    <mergeCell ref="C76:C84"/>
    <mergeCell ref="H76:H84"/>
    <mergeCell ref="I76:I84"/>
    <mergeCell ref="H39:H40"/>
    <mergeCell ref="F85:F86"/>
    <mergeCell ref="I116:I123"/>
    <mergeCell ref="A132:I132"/>
    <mergeCell ref="I45:I51"/>
    <mergeCell ref="A2:K2"/>
    <mergeCell ref="J124:J131"/>
    <mergeCell ref="B55:B100"/>
    <mergeCell ref="C55:C65"/>
    <mergeCell ref="I55:I65"/>
    <mergeCell ref="C87:C91"/>
    <mergeCell ref="H87:H91"/>
    <mergeCell ref="C100:I100"/>
    <mergeCell ref="I124:I131"/>
    <mergeCell ref="A55:A100"/>
    <mergeCell ref="C85:C86"/>
    <mergeCell ref="G85:G86"/>
    <mergeCell ref="J101:J107"/>
    <mergeCell ref="C108:C115"/>
    <mergeCell ref="I108:I115"/>
    <mergeCell ref="I4:I5"/>
    <mergeCell ref="J108:J115"/>
    <mergeCell ref="C116:C123"/>
    <mergeCell ref="A101:A131"/>
    <mergeCell ref="B101:B131"/>
    <mergeCell ref="C101:C107"/>
    <mergeCell ref="I101:I107"/>
    <mergeCell ref="C124:C131"/>
    <mergeCell ref="J116:J123"/>
    <mergeCell ref="H127:H128"/>
    <mergeCell ref="J85:J86"/>
    <mergeCell ref="I87:I91"/>
    <mergeCell ref="J87:J91"/>
    <mergeCell ref="C92:C99"/>
    <mergeCell ref="I92:I99"/>
    <mergeCell ref="J92:J99"/>
    <mergeCell ref="I85:I86"/>
    <mergeCell ref="J76:J84"/>
    <mergeCell ref="I52:I53"/>
    <mergeCell ref="J52:J53"/>
    <mergeCell ref="J55:J65"/>
    <mergeCell ref="C66:C75"/>
    <mergeCell ref="I66:I75"/>
    <mergeCell ref="J66:J75"/>
    <mergeCell ref="G52:G53"/>
    <mergeCell ref="H52:H53"/>
    <mergeCell ref="J45:J51"/>
    <mergeCell ref="A4:A34"/>
    <mergeCell ref="B4:B34"/>
    <mergeCell ref="C4:C5"/>
    <mergeCell ref="G4:G5"/>
    <mergeCell ref="C14:C22"/>
    <mergeCell ref="F4:F5"/>
    <mergeCell ref="A35:A54"/>
    <mergeCell ref="B35:B54"/>
    <mergeCell ref="C35:C44"/>
    <mergeCell ref="I35:I44"/>
    <mergeCell ref="C54:I54"/>
    <mergeCell ref="C52:C53"/>
    <mergeCell ref="H9:H10"/>
    <mergeCell ref="H17:H18"/>
    <mergeCell ref="H27:H28"/>
    <mergeCell ref="A1:K1"/>
    <mergeCell ref="A137:D137"/>
    <mergeCell ref="B138:D138"/>
    <mergeCell ref="B139:D139"/>
    <mergeCell ref="J4:J5"/>
    <mergeCell ref="C6:C13"/>
    <mergeCell ref="I6:I13"/>
    <mergeCell ref="J6:J13"/>
    <mergeCell ref="I14:I22"/>
    <mergeCell ref="J14:J22"/>
    <mergeCell ref="C23:C33"/>
    <mergeCell ref="I23:I33"/>
    <mergeCell ref="J23:J33"/>
    <mergeCell ref="C34:I34"/>
    <mergeCell ref="J35:J44"/>
    <mergeCell ref="C45:C51"/>
    <mergeCell ref="B141:D141"/>
    <mergeCell ref="A154:D154"/>
    <mergeCell ref="A158:D158"/>
    <mergeCell ref="A159:D159"/>
    <mergeCell ref="A155:D155"/>
    <mergeCell ref="A156:D156"/>
    <mergeCell ref="A157:D157"/>
    <mergeCell ref="A144:D144"/>
  </mergeCells>
  <conditionalFormatting sqref="J34 J54 J100 J132:J133">
    <cfRule type="cellIs" dxfId="79" priority="16" operator="between">
      <formula>0.8991</formula>
      <formula>1</formula>
    </cfRule>
    <cfRule type="cellIs" dxfId="78" priority="17" operator="between">
      <formula>0.75</formula>
      <formula>0.899</formula>
    </cfRule>
    <cfRule type="cellIs" dxfId="77" priority="18" operator="between">
      <formula>0.6</formula>
      <formula>0.749</formula>
    </cfRule>
    <cfRule type="cellIs" dxfId="76" priority="19" operator="between">
      <formula>0.41</formula>
      <formula>0.599</formula>
    </cfRule>
    <cfRule type="cellIs" dxfId="75" priority="20" operator="between">
      <formula>0</formula>
      <formula>0.4</formula>
    </cfRule>
  </conditionalFormatting>
  <dataValidations count="2">
    <dataValidation type="list" allowBlank="1" showInputMessage="1" showErrorMessage="1" sqref="F4:F5">
      <formula1>$E$4:$E$5</formula1>
    </dataValidation>
    <dataValidation type="list" allowBlank="1" showInputMessage="1" showErrorMessage="1" sqref="F85:F86">
      <formula1>$E$85:$E$86</formula1>
    </dataValidation>
  </dataValidations>
  <hyperlinks>
    <hyperlink ref="A156:D156" r:id="rId1" display="http://estrategia.gobiernoenlinea.gov.co/623/articles-8250_Guiainnovacion.pdf"/>
    <hyperlink ref="A157:D157" r:id="rId2" display="http://estrategia.gobiernoenlinea.gov.co/623/articles-8248_Guia_Apertura_Datos.pdf "/>
    <hyperlink ref="A159:D159" r:id="rId3" display="http://www.funcionpublica.gov.co/documents/418537/9865585/Instructivo_ingreso_y_diligenciamineto_FURAG.pdf/fb25ad16-ce84-49ca-97f0-558a7b72cdcc "/>
    <hyperlink ref="A157" r:id="rId4"/>
  </hyperlinks>
  <pageMargins left="0.7" right="0.7" top="0.75" bottom="0.75" header="0.3" footer="0.3"/>
  <pageSetup orientation="portrait"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9" tint="0.59999389629810485"/>
  </sheetPr>
  <dimension ref="A1:K172"/>
  <sheetViews>
    <sheetView showGridLines="0" zoomScale="90" zoomScaleNormal="90" workbookViewId="0">
      <selection activeCell="K139" sqref="K139"/>
    </sheetView>
  </sheetViews>
  <sheetFormatPr baseColWidth="10" defaultRowHeight="12" x14ac:dyDescent="0.2"/>
  <cols>
    <col min="1" max="1" width="27.42578125" style="10" customWidth="1"/>
    <col min="2" max="2" width="11.42578125" style="10"/>
    <col min="3" max="3" width="38.85546875" style="10" customWidth="1"/>
    <col min="4" max="4" width="11.42578125" style="10"/>
    <col min="5" max="5" width="49.5703125" style="10" customWidth="1"/>
    <col min="6" max="6" width="23.5703125" style="11" customWidth="1"/>
    <col min="7" max="7" width="13" style="10" customWidth="1"/>
    <col min="8" max="8" width="35.85546875" style="10" customWidth="1"/>
    <col min="9" max="9" width="12.28515625" style="11" customWidth="1"/>
    <col min="10" max="10" width="14" style="190" customWidth="1"/>
    <col min="11" max="11" width="66.42578125" style="10" customWidth="1"/>
    <col min="12" max="16384" width="11.42578125" style="10"/>
  </cols>
  <sheetData>
    <row r="1" spans="1:11" ht="17.25" customHeight="1" x14ac:dyDescent="0.2">
      <c r="A1" s="1570" t="s">
        <v>1995</v>
      </c>
      <c r="B1" s="1571"/>
      <c r="C1" s="1571"/>
      <c r="D1" s="1571"/>
      <c r="E1" s="1571"/>
      <c r="F1" s="1571"/>
      <c r="G1" s="1571"/>
      <c r="H1" s="1571"/>
      <c r="I1" s="1571"/>
      <c r="J1" s="1571"/>
      <c r="K1" s="1571"/>
    </row>
    <row r="2" spans="1:11" ht="17.25" customHeight="1" x14ac:dyDescent="0.2">
      <c r="A2" s="1589" t="s">
        <v>2037</v>
      </c>
      <c r="B2" s="1589"/>
      <c r="C2" s="1589"/>
      <c r="D2" s="1589"/>
      <c r="E2" s="1589"/>
      <c r="F2" s="1589"/>
      <c r="G2" s="1589"/>
      <c r="H2" s="1589"/>
      <c r="I2" s="1589"/>
      <c r="J2" s="1589"/>
      <c r="K2" s="1589"/>
    </row>
    <row r="3" spans="1:11" ht="48.75" thickBot="1" x14ac:dyDescent="0.25">
      <c r="A3" s="331" t="s">
        <v>170</v>
      </c>
      <c r="B3" s="28" t="s">
        <v>171</v>
      </c>
      <c r="C3" s="295" t="s">
        <v>172</v>
      </c>
      <c r="D3" s="295" t="s">
        <v>1998</v>
      </c>
      <c r="E3" s="295" t="s">
        <v>456</v>
      </c>
      <c r="F3" s="295" t="s">
        <v>2522</v>
      </c>
      <c r="G3" s="295" t="s">
        <v>458</v>
      </c>
      <c r="H3" s="295" t="s">
        <v>22</v>
      </c>
      <c r="I3" s="295" t="s">
        <v>459</v>
      </c>
      <c r="J3" s="296" t="s">
        <v>4</v>
      </c>
      <c r="K3" s="29" t="s">
        <v>1907</v>
      </c>
    </row>
    <row r="4" spans="1:11" ht="12" customHeight="1" x14ac:dyDescent="0.2">
      <c r="A4" s="1572" t="s">
        <v>559</v>
      </c>
      <c r="B4" s="1563">
        <v>0.2</v>
      </c>
      <c r="C4" s="1556" t="s">
        <v>560</v>
      </c>
      <c r="D4" s="297" t="s">
        <v>82</v>
      </c>
      <c r="E4" s="650" t="s">
        <v>561</v>
      </c>
      <c r="F4" s="298" t="s">
        <v>2785</v>
      </c>
      <c r="G4" s="299">
        <v>1</v>
      </c>
      <c r="H4" s="300"/>
      <c r="I4" s="1554">
        <f>SUMIF(F4:F15,"x",G4:G15)</f>
        <v>7</v>
      </c>
      <c r="J4" s="1549">
        <f>I4/10</f>
        <v>0.7</v>
      </c>
      <c r="K4" s="983"/>
    </row>
    <row r="5" spans="1:11" x14ac:dyDescent="0.2">
      <c r="A5" s="1573"/>
      <c r="B5" s="1563"/>
      <c r="C5" s="1557"/>
      <c r="D5" s="17" t="s">
        <v>84</v>
      </c>
      <c r="E5" s="651" t="s">
        <v>562</v>
      </c>
      <c r="F5" s="191" t="s">
        <v>167</v>
      </c>
      <c r="G5" s="204">
        <v>1</v>
      </c>
      <c r="H5" s="181"/>
      <c r="I5" s="1562"/>
      <c r="J5" s="1550"/>
      <c r="K5" s="983"/>
    </row>
    <row r="6" spans="1:11" x14ac:dyDescent="0.2">
      <c r="A6" s="1573"/>
      <c r="B6" s="1563"/>
      <c r="C6" s="1557"/>
      <c r="D6" s="17" t="s">
        <v>86</v>
      </c>
      <c r="E6" s="651" t="s">
        <v>563</v>
      </c>
      <c r="F6" s="191" t="s">
        <v>2785</v>
      </c>
      <c r="G6" s="204">
        <v>1</v>
      </c>
      <c r="H6" s="181"/>
      <c r="I6" s="1562"/>
      <c r="J6" s="1550"/>
      <c r="K6" s="983"/>
    </row>
    <row r="7" spans="1:11" x14ac:dyDescent="0.2">
      <c r="A7" s="1573"/>
      <c r="B7" s="1563"/>
      <c r="C7" s="1557"/>
      <c r="D7" s="17" t="s">
        <v>87</v>
      </c>
      <c r="E7" s="651" t="s">
        <v>484</v>
      </c>
      <c r="F7" s="191"/>
      <c r="G7" s="204">
        <v>1</v>
      </c>
      <c r="H7" s="181"/>
      <c r="I7" s="1562"/>
      <c r="J7" s="1550"/>
      <c r="K7" s="983"/>
    </row>
    <row r="8" spans="1:11" x14ac:dyDescent="0.2">
      <c r="A8" s="1573"/>
      <c r="B8" s="1563"/>
      <c r="C8" s="1557"/>
      <c r="D8" s="17" t="s">
        <v>95</v>
      </c>
      <c r="E8" s="651" t="s">
        <v>485</v>
      </c>
      <c r="F8" s="191"/>
      <c r="G8" s="204">
        <v>1</v>
      </c>
      <c r="H8" s="181"/>
      <c r="I8" s="1562"/>
      <c r="J8" s="1550"/>
      <c r="K8" s="983"/>
    </row>
    <row r="9" spans="1:11" ht="16.5" customHeight="1" x14ac:dyDescent="0.2">
      <c r="A9" s="1573"/>
      <c r="B9" s="1563"/>
      <c r="C9" s="1557"/>
      <c r="D9" s="17" t="s">
        <v>97</v>
      </c>
      <c r="E9" s="651" t="s">
        <v>486</v>
      </c>
      <c r="F9" s="191"/>
      <c r="G9" s="204">
        <v>1</v>
      </c>
      <c r="H9" s="1565" t="s">
        <v>2449</v>
      </c>
      <c r="I9" s="1562"/>
      <c r="J9" s="1550"/>
      <c r="K9" s="983"/>
    </row>
    <row r="10" spans="1:11" x14ac:dyDescent="0.2">
      <c r="A10" s="1573"/>
      <c r="B10" s="1563"/>
      <c r="C10" s="1557"/>
      <c r="D10" s="17" t="s">
        <v>99</v>
      </c>
      <c r="E10" s="651" t="s">
        <v>487</v>
      </c>
      <c r="F10" s="191" t="s">
        <v>2785</v>
      </c>
      <c r="G10" s="204">
        <v>1</v>
      </c>
      <c r="H10" s="1565"/>
      <c r="I10" s="1562"/>
      <c r="J10" s="1550"/>
      <c r="K10" s="983"/>
    </row>
    <row r="11" spans="1:11" x14ac:dyDescent="0.2">
      <c r="A11" s="1573"/>
      <c r="B11" s="1563"/>
      <c r="C11" s="1557"/>
      <c r="D11" s="17" t="s">
        <v>101</v>
      </c>
      <c r="E11" s="651" t="s">
        <v>564</v>
      </c>
      <c r="F11" s="191" t="s">
        <v>2785</v>
      </c>
      <c r="G11" s="204">
        <v>1</v>
      </c>
      <c r="H11" s="181"/>
      <c r="I11" s="1562"/>
      <c r="J11" s="1550"/>
      <c r="K11" s="983"/>
    </row>
    <row r="12" spans="1:11" x14ac:dyDescent="0.2">
      <c r="A12" s="1573"/>
      <c r="B12" s="1563"/>
      <c r="C12" s="1557"/>
      <c r="D12" s="17" t="s">
        <v>103</v>
      </c>
      <c r="E12" s="651" t="s">
        <v>565</v>
      </c>
      <c r="F12" s="191" t="s">
        <v>2785</v>
      </c>
      <c r="G12" s="204">
        <v>1</v>
      </c>
      <c r="H12" s="181"/>
      <c r="I12" s="1562"/>
      <c r="J12" s="1550"/>
      <c r="K12" s="983"/>
    </row>
    <row r="13" spans="1:11" x14ac:dyDescent="0.2">
      <c r="A13" s="1573"/>
      <c r="B13" s="1563"/>
      <c r="C13" s="1557"/>
      <c r="D13" s="17" t="s">
        <v>151</v>
      </c>
      <c r="E13" s="651" t="s">
        <v>566</v>
      </c>
      <c r="F13" s="191" t="s">
        <v>2785</v>
      </c>
      <c r="G13" s="204">
        <v>1</v>
      </c>
      <c r="H13" s="181"/>
      <c r="I13" s="1562"/>
      <c r="J13" s="1550"/>
      <c r="K13" s="983"/>
    </row>
    <row r="14" spans="1:11" x14ac:dyDescent="0.2">
      <c r="A14" s="1573"/>
      <c r="B14" s="1563"/>
      <c r="C14" s="1557"/>
      <c r="D14" s="17" t="s">
        <v>152</v>
      </c>
      <c r="E14" s="651" t="s">
        <v>481</v>
      </c>
      <c r="F14" s="139"/>
      <c r="G14" s="204">
        <v>0</v>
      </c>
      <c r="H14" s="181"/>
      <c r="I14" s="1562"/>
      <c r="J14" s="1550"/>
      <c r="K14" s="983"/>
    </row>
    <row r="15" spans="1:11" ht="12.75" thickBot="1" x14ac:dyDescent="0.25">
      <c r="A15" s="1573"/>
      <c r="B15" s="1563"/>
      <c r="C15" s="1558"/>
      <c r="D15" s="302" t="s">
        <v>218</v>
      </c>
      <c r="E15" s="652" t="s">
        <v>472</v>
      </c>
      <c r="F15" s="303"/>
      <c r="G15" s="304">
        <v>0</v>
      </c>
      <c r="H15" s="305"/>
      <c r="I15" s="1555"/>
      <c r="J15" s="1551"/>
      <c r="K15" s="983"/>
    </row>
    <row r="16" spans="1:11" ht="30.75" customHeight="1" x14ac:dyDescent="0.25">
      <c r="A16" s="1573"/>
      <c r="B16" s="1563"/>
      <c r="C16" s="1552" t="s">
        <v>567</v>
      </c>
      <c r="D16" s="307" t="s">
        <v>220</v>
      </c>
      <c r="E16" s="653" t="s">
        <v>388</v>
      </c>
      <c r="F16" s="1566" t="s">
        <v>388</v>
      </c>
      <c r="G16" s="1554" t="s">
        <v>2413</v>
      </c>
      <c r="H16" s="299" t="s">
        <v>568</v>
      </c>
      <c r="I16" s="1568"/>
      <c r="J16" s="1549">
        <f>IF(F16="Si",100%,IF(F16="No",0,0))</f>
        <v>1</v>
      </c>
      <c r="K16" s="1064" t="s">
        <v>2815</v>
      </c>
    </row>
    <row r="17" spans="1:11" ht="20.25" customHeight="1" thickBot="1" x14ac:dyDescent="0.25">
      <c r="A17" s="1573"/>
      <c r="B17" s="1563"/>
      <c r="C17" s="1553"/>
      <c r="D17" s="308" t="s">
        <v>222</v>
      </c>
      <c r="E17" s="654" t="s">
        <v>85</v>
      </c>
      <c r="F17" s="1567"/>
      <c r="G17" s="1555"/>
      <c r="H17" s="304" t="s">
        <v>569</v>
      </c>
      <c r="I17" s="1569"/>
      <c r="J17" s="1551"/>
      <c r="K17" s="983"/>
    </row>
    <row r="18" spans="1:11" x14ac:dyDescent="0.2">
      <c r="A18" s="1573"/>
      <c r="B18" s="1563"/>
      <c r="C18" s="1556" t="s">
        <v>570</v>
      </c>
      <c r="D18" s="297" t="s">
        <v>224</v>
      </c>
      <c r="E18" s="650" t="s">
        <v>571</v>
      </c>
      <c r="F18" s="298" t="s">
        <v>2785</v>
      </c>
      <c r="G18" s="299">
        <v>1</v>
      </c>
      <c r="H18" s="1559" t="s">
        <v>2450</v>
      </c>
      <c r="I18" s="1554">
        <f>SUMIF(F18:F21,"x",G18:G21)</f>
        <v>2</v>
      </c>
      <c r="J18" s="1549">
        <f>I18/3</f>
        <v>0.66666666666666663</v>
      </c>
      <c r="K18" s="983"/>
    </row>
    <row r="19" spans="1:11" x14ac:dyDescent="0.2">
      <c r="A19" s="1573"/>
      <c r="B19" s="1563"/>
      <c r="C19" s="1557"/>
      <c r="D19" s="17" t="s">
        <v>226</v>
      </c>
      <c r="E19" s="651" t="s">
        <v>572</v>
      </c>
      <c r="F19" s="191"/>
      <c r="G19" s="204">
        <v>1</v>
      </c>
      <c r="H19" s="1560"/>
      <c r="I19" s="1562"/>
      <c r="J19" s="1550"/>
      <c r="K19" s="983"/>
    </row>
    <row r="20" spans="1:11" x14ac:dyDescent="0.2">
      <c r="A20" s="1573"/>
      <c r="B20" s="1563"/>
      <c r="C20" s="1557"/>
      <c r="D20" s="17" t="s">
        <v>228</v>
      </c>
      <c r="E20" s="651" t="s">
        <v>573</v>
      </c>
      <c r="F20" s="191" t="s">
        <v>2785</v>
      </c>
      <c r="G20" s="204">
        <v>1</v>
      </c>
      <c r="H20" s="1560"/>
      <c r="I20" s="1562"/>
      <c r="J20" s="1550"/>
      <c r="K20" s="983"/>
    </row>
    <row r="21" spans="1:11" ht="12.75" thickBot="1" x14ac:dyDescent="0.25">
      <c r="A21" s="1573"/>
      <c r="B21" s="1563"/>
      <c r="C21" s="1558"/>
      <c r="D21" s="302" t="s">
        <v>230</v>
      </c>
      <c r="E21" s="652" t="s">
        <v>541</v>
      </c>
      <c r="F21" s="279"/>
      <c r="G21" s="304">
        <v>0</v>
      </c>
      <c r="H21" s="1561"/>
      <c r="I21" s="1555"/>
      <c r="J21" s="1551"/>
      <c r="K21" s="983"/>
    </row>
    <row r="22" spans="1:11" ht="16.5" thickBot="1" x14ac:dyDescent="0.25">
      <c r="A22" s="1574"/>
      <c r="B22" s="1564"/>
      <c r="C22" s="1577" t="s">
        <v>2038</v>
      </c>
      <c r="D22" s="1577"/>
      <c r="E22" s="1577"/>
      <c r="F22" s="1577"/>
      <c r="G22" s="1577"/>
      <c r="H22" s="1577"/>
      <c r="I22" s="1577"/>
      <c r="J22" s="330">
        <f>(J4+J16+J18)/3</f>
        <v>0.78888888888888886</v>
      </c>
      <c r="K22" s="984"/>
    </row>
    <row r="23" spans="1:11" ht="12" customHeight="1" x14ac:dyDescent="0.2">
      <c r="A23" s="1574" t="s">
        <v>574</v>
      </c>
      <c r="B23" s="1583">
        <v>0.2</v>
      </c>
      <c r="C23" s="1578" t="s">
        <v>575</v>
      </c>
      <c r="D23" s="312" t="s">
        <v>82</v>
      </c>
      <c r="E23" s="655" t="s">
        <v>576</v>
      </c>
      <c r="F23" s="298" t="s">
        <v>167</v>
      </c>
      <c r="G23" s="299">
        <v>1</v>
      </c>
      <c r="H23" s="300"/>
      <c r="I23" s="1554">
        <f>SUMIF(F23:F36,"x",G23:G36)</f>
        <v>9</v>
      </c>
      <c r="J23" s="1549">
        <f>I23/12</f>
        <v>0.75</v>
      </c>
      <c r="K23" s="983"/>
    </row>
    <row r="24" spans="1:11" x14ac:dyDescent="0.2">
      <c r="A24" s="1581"/>
      <c r="B24" s="1583"/>
      <c r="C24" s="1579"/>
      <c r="D24" s="311" t="s">
        <v>84</v>
      </c>
      <c r="E24" s="656" t="s">
        <v>564</v>
      </c>
      <c r="F24" s="191" t="s">
        <v>167</v>
      </c>
      <c r="G24" s="204">
        <v>1</v>
      </c>
      <c r="H24" s="181"/>
      <c r="I24" s="1562"/>
      <c r="J24" s="1550"/>
      <c r="K24" s="983"/>
    </row>
    <row r="25" spans="1:11" x14ac:dyDescent="0.2">
      <c r="A25" s="1581"/>
      <c r="B25" s="1583"/>
      <c r="C25" s="1579"/>
      <c r="D25" s="311" t="s">
        <v>86</v>
      </c>
      <c r="E25" s="656" t="s">
        <v>577</v>
      </c>
      <c r="F25" s="191" t="s">
        <v>2785</v>
      </c>
      <c r="G25" s="204">
        <v>1</v>
      </c>
      <c r="H25" s="181"/>
      <c r="I25" s="1562"/>
      <c r="J25" s="1550"/>
      <c r="K25" s="983"/>
    </row>
    <row r="26" spans="1:11" x14ac:dyDescent="0.2">
      <c r="A26" s="1581"/>
      <c r="B26" s="1583"/>
      <c r="C26" s="1579"/>
      <c r="D26" s="311" t="s">
        <v>87</v>
      </c>
      <c r="E26" s="656" t="s">
        <v>578</v>
      </c>
      <c r="F26" s="191"/>
      <c r="G26" s="204">
        <v>1</v>
      </c>
      <c r="H26" s="181"/>
      <c r="I26" s="1562"/>
      <c r="J26" s="1550"/>
      <c r="K26" s="983"/>
    </row>
    <row r="27" spans="1:11" x14ac:dyDescent="0.2">
      <c r="A27" s="1581"/>
      <c r="B27" s="1583"/>
      <c r="C27" s="1579"/>
      <c r="D27" s="311" t="s">
        <v>95</v>
      </c>
      <c r="E27" s="656" t="s">
        <v>579</v>
      </c>
      <c r="F27" s="191" t="s">
        <v>2785</v>
      </c>
      <c r="G27" s="204">
        <v>1</v>
      </c>
      <c r="H27" s="181"/>
      <c r="I27" s="1562"/>
      <c r="J27" s="1550"/>
      <c r="K27" s="983"/>
    </row>
    <row r="28" spans="1:11" x14ac:dyDescent="0.2">
      <c r="A28" s="1581"/>
      <c r="B28" s="1583"/>
      <c r="C28" s="1579"/>
      <c r="D28" s="311" t="s">
        <v>97</v>
      </c>
      <c r="E28" s="656" t="s">
        <v>580</v>
      </c>
      <c r="F28" s="191" t="s">
        <v>2785</v>
      </c>
      <c r="G28" s="204">
        <v>1</v>
      </c>
      <c r="H28" s="181"/>
      <c r="I28" s="1562"/>
      <c r="J28" s="1550"/>
      <c r="K28" s="983"/>
    </row>
    <row r="29" spans="1:11" ht="13.5" customHeight="1" x14ac:dyDescent="0.2">
      <c r="A29" s="1581"/>
      <c r="B29" s="1583"/>
      <c r="C29" s="1579"/>
      <c r="D29" s="311" t="s">
        <v>99</v>
      </c>
      <c r="E29" s="656" t="s">
        <v>581</v>
      </c>
      <c r="F29" s="191" t="s">
        <v>2785</v>
      </c>
      <c r="G29" s="204">
        <v>1</v>
      </c>
      <c r="H29" s="1565" t="s">
        <v>2448</v>
      </c>
      <c r="I29" s="1562"/>
      <c r="J29" s="1550"/>
      <c r="K29" s="983"/>
    </row>
    <row r="30" spans="1:11" x14ac:dyDescent="0.2">
      <c r="A30" s="1581"/>
      <c r="B30" s="1583"/>
      <c r="C30" s="1579"/>
      <c r="D30" s="311" t="s">
        <v>101</v>
      </c>
      <c r="E30" s="656" t="s">
        <v>582</v>
      </c>
      <c r="F30" s="191"/>
      <c r="G30" s="204">
        <v>1</v>
      </c>
      <c r="H30" s="1565"/>
      <c r="I30" s="1562"/>
      <c r="J30" s="1550"/>
      <c r="K30" s="983"/>
    </row>
    <row r="31" spans="1:11" x14ac:dyDescent="0.2">
      <c r="A31" s="1581"/>
      <c r="B31" s="1583"/>
      <c r="C31" s="1579"/>
      <c r="D31" s="311" t="s">
        <v>103</v>
      </c>
      <c r="E31" s="656" t="s">
        <v>583</v>
      </c>
      <c r="F31" s="191" t="s">
        <v>167</v>
      </c>
      <c r="G31" s="204">
        <v>1</v>
      </c>
      <c r="H31" s="181"/>
      <c r="I31" s="1562"/>
      <c r="J31" s="1550"/>
      <c r="K31" s="983"/>
    </row>
    <row r="32" spans="1:11" x14ac:dyDescent="0.2">
      <c r="A32" s="1581"/>
      <c r="B32" s="1583"/>
      <c r="C32" s="1579"/>
      <c r="D32" s="311" t="s">
        <v>151</v>
      </c>
      <c r="E32" s="656" t="s">
        <v>584</v>
      </c>
      <c r="F32" s="191" t="s">
        <v>2785</v>
      </c>
      <c r="G32" s="204">
        <v>1</v>
      </c>
      <c r="H32" s="181"/>
      <c r="I32" s="1562"/>
      <c r="J32" s="1550"/>
      <c r="K32" s="983"/>
    </row>
    <row r="33" spans="1:11" x14ac:dyDescent="0.2">
      <c r="A33" s="1581"/>
      <c r="B33" s="1583"/>
      <c r="C33" s="1579"/>
      <c r="D33" s="311" t="s">
        <v>152</v>
      </c>
      <c r="E33" s="656" t="s">
        <v>585</v>
      </c>
      <c r="F33" s="191" t="s">
        <v>167</v>
      </c>
      <c r="G33" s="204">
        <v>1</v>
      </c>
      <c r="H33" s="181"/>
      <c r="I33" s="1562"/>
      <c r="J33" s="1550"/>
      <c r="K33" s="983"/>
    </row>
    <row r="34" spans="1:11" x14ac:dyDescent="0.2">
      <c r="A34" s="1581"/>
      <c r="B34" s="1583"/>
      <c r="C34" s="1579"/>
      <c r="D34" s="311" t="s">
        <v>218</v>
      </c>
      <c r="E34" s="656" t="s">
        <v>586</v>
      </c>
      <c r="F34" s="191"/>
      <c r="G34" s="204">
        <v>1</v>
      </c>
      <c r="H34" s="181"/>
      <c r="I34" s="1562"/>
      <c r="J34" s="1550"/>
      <c r="K34" s="983"/>
    </row>
    <row r="35" spans="1:11" x14ac:dyDescent="0.2">
      <c r="A35" s="1581"/>
      <c r="B35" s="1583"/>
      <c r="C35" s="1579"/>
      <c r="D35" s="311" t="s">
        <v>220</v>
      </c>
      <c r="E35" s="656" t="s">
        <v>104</v>
      </c>
      <c r="F35" s="1062"/>
      <c r="G35" s="204">
        <v>0</v>
      </c>
      <c r="H35" s="181"/>
      <c r="I35" s="1562"/>
      <c r="J35" s="1550"/>
      <c r="K35" s="983"/>
    </row>
    <row r="36" spans="1:11" ht="12.75" thickBot="1" x14ac:dyDescent="0.25">
      <c r="A36" s="1581"/>
      <c r="B36" s="1583"/>
      <c r="C36" s="1580"/>
      <c r="D36" s="313" t="s">
        <v>222</v>
      </c>
      <c r="E36" s="657" t="s">
        <v>472</v>
      </c>
      <c r="F36" s="279"/>
      <c r="G36" s="304">
        <v>0</v>
      </c>
      <c r="H36" s="305"/>
      <c r="I36" s="1555"/>
      <c r="J36" s="1551"/>
      <c r="K36" s="983"/>
    </row>
    <row r="37" spans="1:11" ht="12" customHeight="1" x14ac:dyDescent="0.2">
      <c r="A37" s="1581"/>
      <c r="B37" s="1583"/>
      <c r="C37" s="1556" t="s">
        <v>587</v>
      </c>
      <c r="D37" s="297" t="s">
        <v>224</v>
      </c>
      <c r="E37" s="658" t="s">
        <v>588</v>
      </c>
      <c r="F37" s="298" t="s">
        <v>2785</v>
      </c>
      <c r="G37" s="299">
        <v>1</v>
      </c>
      <c r="H37" s="300"/>
      <c r="I37" s="1554">
        <f>SUMIF(F37:F47,"x",G37:G47)</f>
        <v>9</v>
      </c>
      <c r="J37" s="1549">
        <f>I37/9</f>
        <v>1</v>
      </c>
      <c r="K37" s="983"/>
    </row>
    <row r="38" spans="1:11" x14ac:dyDescent="0.2">
      <c r="A38" s="1581"/>
      <c r="B38" s="1583"/>
      <c r="C38" s="1557"/>
      <c r="D38" s="17" t="s">
        <v>226</v>
      </c>
      <c r="E38" s="659" t="s">
        <v>589</v>
      </c>
      <c r="F38" s="191" t="s">
        <v>2785</v>
      </c>
      <c r="G38" s="204">
        <v>1</v>
      </c>
      <c r="H38" s="181"/>
      <c r="I38" s="1562"/>
      <c r="J38" s="1550"/>
      <c r="K38" s="983"/>
    </row>
    <row r="39" spans="1:11" x14ac:dyDescent="0.2">
      <c r="A39" s="1581"/>
      <c r="B39" s="1583"/>
      <c r="C39" s="1557"/>
      <c r="D39" s="17" t="s">
        <v>228</v>
      </c>
      <c r="E39" s="659" t="s">
        <v>590</v>
      </c>
      <c r="F39" s="191" t="s">
        <v>167</v>
      </c>
      <c r="G39" s="204">
        <v>1</v>
      </c>
      <c r="H39" s="181"/>
      <c r="I39" s="1562"/>
      <c r="J39" s="1550"/>
      <c r="K39" s="983"/>
    </row>
    <row r="40" spans="1:11" x14ac:dyDescent="0.2">
      <c r="A40" s="1581"/>
      <c r="B40" s="1583"/>
      <c r="C40" s="1557"/>
      <c r="D40" s="17" t="s">
        <v>230</v>
      </c>
      <c r="E40" s="659" t="s">
        <v>591</v>
      </c>
      <c r="F40" s="191" t="s">
        <v>167</v>
      </c>
      <c r="G40" s="204">
        <v>1</v>
      </c>
      <c r="H40" s="181"/>
      <c r="I40" s="1562"/>
      <c r="J40" s="1550"/>
      <c r="K40" s="983"/>
    </row>
    <row r="41" spans="1:11" ht="15.75" customHeight="1" x14ac:dyDescent="0.2">
      <c r="A41" s="1581"/>
      <c r="B41" s="1583"/>
      <c r="C41" s="1557"/>
      <c r="D41" s="17" t="s">
        <v>232</v>
      </c>
      <c r="E41" s="659" t="s">
        <v>592</v>
      </c>
      <c r="F41" s="191" t="s">
        <v>167</v>
      </c>
      <c r="G41" s="204">
        <v>1</v>
      </c>
      <c r="H41" s="1565" t="s">
        <v>2452</v>
      </c>
      <c r="I41" s="1562"/>
      <c r="J41" s="1550"/>
      <c r="K41" s="983"/>
    </row>
    <row r="42" spans="1:11" x14ac:dyDescent="0.2">
      <c r="A42" s="1581"/>
      <c r="B42" s="1583"/>
      <c r="C42" s="1557"/>
      <c r="D42" s="17" t="s">
        <v>234</v>
      </c>
      <c r="E42" s="659" t="s">
        <v>593</v>
      </c>
      <c r="F42" s="191" t="s">
        <v>167</v>
      </c>
      <c r="G42" s="204">
        <v>1</v>
      </c>
      <c r="H42" s="1565"/>
      <c r="I42" s="1562"/>
      <c r="J42" s="1550"/>
      <c r="K42" s="983"/>
    </row>
    <row r="43" spans="1:11" x14ac:dyDescent="0.2">
      <c r="A43" s="1581"/>
      <c r="B43" s="1583"/>
      <c r="C43" s="1557"/>
      <c r="D43" s="17" t="s">
        <v>236</v>
      </c>
      <c r="E43" s="659" t="s">
        <v>594</v>
      </c>
      <c r="F43" s="191" t="s">
        <v>167</v>
      </c>
      <c r="G43" s="204">
        <v>1</v>
      </c>
      <c r="H43" s="181"/>
      <c r="I43" s="1562"/>
      <c r="J43" s="1550"/>
      <c r="K43" s="983"/>
    </row>
    <row r="44" spans="1:11" x14ac:dyDescent="0.2">
      <c r="A44" s="1581"/>
      <c r="B44" s="1583"/>
      <c r="C44" s="1557"/>
      <c r="D44" s="17" t="s">
        <v>238</v>
      </c>
      <c r="E44" s="659" t="s">
        <v>595</v>
      </c>
      <c r="F44" s="191" t="s">
        <v>2785</v>
      </c>
      <c r="G44" s="204">
        <v>1</v>
      </c>
      <c r="H44" s="181"/>
      <c r="I44" s="1562"/>
      <c r="J44" s="1550"/>
      <c r="K44" s="983"/>
    </row>
    <row r="45" spans="1:11" x14ac:dyDescent="0.2">
      <c r="A45" s="1581"/>
      <c r="B45" s="1583"/>
      <c r="C45" s="1557"/>
      <c r="D45" s="17" t="s">
        <v>240</v>
      </c>
      <c r="E45" s="659" t="s">
        <v>596</v>
      </c>
      <c r="F45" s="191" t="s">
        <v>2785</v>
      </c>
      <c r="G45" s="204">
        <v>1</v>
      </c>
      <c r="H45" s="181"/>
      <c r="I45" s="1562"/>
      <c r="J45" s="1550"/>
      <c r="K45" s="983"/>
    </row>
    <row r="46" spans="1:11" x14ac:dyDescent="0.2">
      <c r="A46" s="1581"/>
      <c r="B46" s="1583"/>
      <c r="C46" s="1557"/>
      <c r="D46" s="17" t="s">
        <v>167</v>
      </c>
      <c r="E46" s="659" t="s">
        <v>481</v>
      </c>
      <c r="F46" s="1062"/>
      <c r="G46" s="204">
        <v>0</v>
      </c>
      <c r="H46" s="181"/>
      <c r="I46" s="1562"/>
      <c r="J46" s="1550"/>
      <c r="K46" s="983"/>
    </row>
    <row r="47" spans="1:11" ht="12.75" thickBot="1" x14ac:dyDescent="0.25">
      <c r="A47" s="1581"/>
      <c r="B47" s="1583"/>
      <c r="C47" s="1558"/>
      <c r="D47" s="302" t="s">
        <v>243</v>
      </c>
      <c r="E47" s="660" t="s">
        <v>472</v>
      </c>
      <c r="F47" s="279"/>
      <c r="G47" s="304">
        <v>0</v>
      </c>
      <c r="H47" s="305"/>
      <c r="I47" s="1555"/>
      <c r="J47" s="1551"/>
      <c r="K47" s="983"/>
    </row>
    <row r="48" spans="1:11" ht="33" customHeight="1" x14ac:dyDescent="0.2">
      <c r="A48" s="1581"/>
      <c r="B48" s="1583"/>
      <c r="C48" s="1552" t="s">
        <v>337</v>
      </c>
      <c r="D48" s="316" t="s">
        <v>245</v>
      </c>
      <c r="E48" s="661" t="s">
        <v>388</v>
      </c>
      <c r="F48" s="1566" t="s">
        <v>388</v>
      </c>
      <c r="G48" s="1575" t="s">
        <v>2413</v>
      </c>
      <c r="H48" s="299" t="s">
        <v>597</v>
      </c>
      <c r="I48" s="1575">
        <f>J48</f>
        <v>1</v>
      </c>
      <c r="J48" s="1549">
        <f>IF(F48="Si",100%,IF(F48="No",0,0))</f>
        <v>1</v>
      </c>
      <c r="K48" s="983"/>
    </row>
    <row r="49" spans="1:11" ht="28.5" customHeight="1" thickBot="1" x14ac:dyDescent="0.25">
      <c r="A49" s="1581"/>
      <c r="B49" s="1583"/>
      <c r="C49" s="1553"/>
      <c r="D49" s="317" t="s">
        <v>246</v>
      </c>
      <c r="E49" s="654" t="s">
        <v>85</v>
      </c>
      <c r="F49" s="1567"/>
      <c r="G49" s="1576"/>
      <c r="H49" s="304" t="s">
        <v>598</v>
      </c>
      <c r="I49" s="1569"/>
      <c r="J49" s="1551"/>
      <c r="K49" s="983"/>
    </row>
    <row r="50" spans="1:11" ht="16.5" thickBot="1" x14ac:dyDescent="0.25">
      <c r="A50" s="1581"/>
      <c r="B50" s="1584"/>
      <c r="C50" s="1582" t="s">
        <v>2039</v>
      </c>
      <c r="D50" s="1582"/>
      <c r="E50" s="1582"/>
      <c r="F50" s="1582"/>
      <c r="G50" s="1582"/>
      <c r="H50" s="1582"/>
      <c r="I50" s="1582"/>
      <c r="J50" s="330">
        <f>(J23+J37+J48)/3</f>
        <v>0.91666666666666663</v>
      </c>
      <c r="K50" s="984"/>
    </row>
    <row r="51" spans="1:11" ht="12" customHeight="1" x14ac:dyDescent="0.2">
      <c r="A51" s="1581" t="s">
        <v>599</v>
      </c>
      <c r="B51" s="1583">
        <v>0.2</v>
      </c>
      <c r="C51" s="1556" t="s">
        <v>600</v>
      </c>
      <c r="D51" s="297" t="s">
        <v>82</v>
      </c>
      <c r="E51" s="314" t="s">
        <v>601</v>
      </c>
      <c r="F51" s="298" t="s">
        <v>167</v>
      </c>
      <c r="G51" s="299">
        <v>1</v>
      </c>
      <c r="H51" s="300"/>
      <c r="I51" s="1554">
        <f>SUMIF(F51:F62,"x",G51:G62)</f>
        <v>9</v>
      </c>
      <c r="J51" s="1549">
        <f>I51/10</f>
        <v>0.9</v>
      </c>
      <c r="K51" s="983"/>
    </row>
    <row r="52" spans="1:11" x14ac:dyDescent="0.2">
      <c r="A52" s="1581"/>
      <c r="B52" s="1583"/>
      <c r="C52" s="1557"/>
      <c r="D52" s="17" t="s">
        <v>84</v>
      </c>
      <c r="E52" s="30" t="s">
        <v>579</v>
      </c>
      <c r="F52" s="191" t="s">
        <v>167</v>
      </c>
      <c r="G52" s="204">
        <v>1</v>
      </c>
      <c r="H52" s="181"/>
      <c r="I52" s="1562"/>
      <c r="J52" s="1550"/>
      <c r="K52" s="983"/>
    </row>
    <row r="53" spans="1:11" x14ac:dyDescent="0.2">
      <c r="A53" s="1581"/>
      <c r="B53" s="1583"/>
      <c r="C53" s="1557"/>
      <c r="D53" s="17" t="s">
        <v>86</v>
      </c>
      <c r="E53" s="30" t="s">
        <v>580</v>
      </c>
      <c r="F53" s="191" t="s">
        <v>167</v>
      </c>
      <c r="G53" s="204">
        <v>1</v>
      </c>
      <c r="H53" s="181"/>
      <c r="I53" s="1562"/>
      <c r="J53" s="1550"/>
      <c r="K53" s="983"/>
    </row>
    <row r="54" spans="1:11" x14ac:dyDescent="0.2">
      <c r="A54" s="1581"/>
      <c r="B54" s="1583"/>
      <c r="C54" s="1557"/>
      <c r="D54" s="17" t="s">
        <v>87</v>
      </c>
      <c r="E54" s="30" t="s">
        <v>581</v>
      </c>
      <c r="F54" s="191" t="s">
        <v>167</v>
      </c>
      <c r="G54" s="204">
        <v>1</v>
      </c>
      <c r="H54" s="181"/>
      <c r="I54" s="1562"/>
      <c r="J54" s="1550"/>
      <c r="K54" s="983"/>
    </row>
    <row r="55" spans="1:11" x14ac:dyDescent="0.2">
      <c r="A55" s="1581"/>
      <c r="B55" s="1583"/>
      <c r="C55" s="1557"/>
      <c r="D55" s="17" t="s">
        <v>95</v>
      </c>
      <c r="E55" s="30" t="s">
        <v>602</v>
      </c>
      <c r="F55" s="191" t="s">
        <v>167</v>
      </c>
      <c r="G55" s="204">
        <v>1</v>
      </c>
      <c r="H55" s="181"/>
      <c r="I55" s="1562"/>
      <c r="J55" s="1550"/>
      <c r="K55" s="983"/>
    </row>
    <row r="56" spans="1:11" ht="14.25" customHeight="1" x14ac:dyDescent="0.2">
      <c r="A56" s="1581"/>
      <c r="B56" s="1583"/>
      <c r="C56" s="1557"/>
      <c r="D56" s="17" t="s">
        <v>97</v>
      </c>
      <c r="E56" s="30" t="s">
        <v>603</v>
      </c>
      <c r="F56" s="191" t="s">
        <v>167</v>
      </c>
      <c r="G56" s="204">
        <v>1</v>
      </c>
      <c r="H56" s="1565" t="s">
        <v>2451</v>
      </c>
      <c r="I56" s="1562"/>
      <c r="J56" s="1550"/>
      <c r="K56" s="983"/>
    </row>
    <row r="57" spans="1:11" x14ac:dyDescent="0.2">
      <c r="A57" s="1581"/>
      <c r="B57" s="1583"/>
      <c r="C57" s="1557"/>
      <c r="D57" s="17" t="s">
        <v>99</v>
      </c>
      <c r="E57" s="30" t="s">
        <v>564</v>
      </c>
      <c r="F57" s="191" t="s">
        <v>167</v>
      </c>
      <c r="G57" s="204">
        <v>1</v>
      </c>
      <c r="H57" s="1565"/>
      <c r="I57" s="1562"/>
      <c r="J57" s="1550"/>
      <c r="K57" s="983"/>
    </row>
    <row r="58" spans="1:11" x14ac:dyDescent="0.2">
      <c r="A58" s="1581"/>
      <c r="B58" s="1583"/>
      <c r="C58" s="1557"/>
      <c r="D58" s="17" t="s">
        <v>101</v>
      </c>
      <c r="E58" s="30" t="s">
        <v>578</v>
      </c>
      <c r="F58" s="191"/>
      <c r="G58" s="204">
        <v>1</v>
      </c>
      <c r="H58" s="181"/>
      <c r="I58" s="1562"/>
      <c r="J58" s="1550"/>
      <c r="K58" s="983"/>
    </row>
    <row r="59" spans="1:11" x14ac:dyDescent="0.2">
      <c r="A59" s="1581"/>
      <c r="B59" s="1583"/>
      <c r="C59" s="1557"/>
      <c r="D59" s="17" t="s">
        <v>103</v>
      </c>
      <c r="E59" s="30" t="s">
        <v>604</v>
      </c>
      <c r="F59" s="191" t="s">
        <v>167</v>
      </c>
      <c r="G59" s="204">
        <v>1</v>
      </c>
      <c r="H59" s="181"/>
      <c r="I59" s="1562"/>
      <c r="J59" s="1550"/>
      <c r="K59" s="983"/>
    </row>
    <row r="60" spans="1:11" x14ac:dyDescent="0.2">
      <c r="A60" s="1581"/>
      <c r="B60" s="1583"/>
      <c r="C60" s="1557"/>
      <c r="D60" s="17" t="s">
        <v>151</v>
      </c>
      <c r="E60" s="30" t="s">
        <v>605</v>
      </c>
      <c r="F60" s="191" t="s">
        <v>167</v>
      </c>
      <c r="G60" s="204">
        <v>1</v>
      </c>
      <c r="H60" s="181"/>
      <c r="I60" s="1562"/>
      <c r="J60" s="1550"/>
      <c r="K60" s="983"/>
    </row>
    <row r="61" spans="1:11" x14ac:dyDescent="0.2">
      <c r="A61" s="1581"/>
      <c r="B61" s="1583"/>
      <c r="C61" s="1557"/>
      <c r="D61" s="17" t="s">
        <v>152</v>
      </c>
      <c r="E61" s="30" t="s">
        <v>481</v>
      </c>
      <c r="F61" s="1062"/>
      <c r="G61" s="204">
        <v>0</v>
      </c>
      <c r="H61" s="181"/>
      <c r="I61" s="1562"/>
      <c r="J61" s="1550"/>
      <c r="K61" s="983"/>
    </row>
    <row r="62" spans="1:11" ht="12.75" thickBot="1" x14ac:dyDescent="0.25">
      <c r="A62" s="1581"/>
      <c r="B62" s="1583"/>
      <c r="C62" s="1558"/>
      <c r="D62" s="302" t="s">
        <v>218</v>
      </c>
      <c r="E62" s="315" t="s">
        <v>472</v>
      </c>
      <c r="F62" s="279"/>
      <c r="G62" s="304">
        <v>0</v>
      </c>
      <c r="H62" s="305"/>
      <c r="I62" s="1555"/>
      <c r="J62" s="1551"/>
      <c r="K62" s="983"/>
    </row>
    <row r="63" spans="1:11" ht="24.75" customHeight="1" x14ac:dyDescent="0.2">
      <c r="A63" s="1581"/>
      <c r="B63" s="1583"/>
      <c r="C63" s="1578" t="s">
        <v>606</v>
      </c>
      <c r="D63" s="312" t="s">
        <v>220</v>
      </c>
      <c r="E63" s="662" t="s">
        <v>607</v>
      </c>
      <c r="F63" s="298" t="s">
        <v>167</v>
      </c>
      <c r="G63" s="299">
        <v>1</v>
      </c>
      <c r="H63" s="300"/>
      <c r="I63" s="1554">
        <f>SUMIF(F63:F77,"X",G63:G77)</f>
        <v>4</v>
      </c>
      <c r="J63" s="1549">
        <f>I63/13</f>
        <v>0.30769230769230771</v>
      </c>
      <c r="K63" s="983"/>
    </row>
    <row r="64" spans="1:11" ht="16.5" customHeight="1" x14ac:dyDescent="0.2">
      <c r="A64" s="1581"/>
      <c r="B64" s="1583"/>
      <c r="C64" s="1579"/>
      <c r="D64" s="311" t="s">
        <v>222</v>
      </c>
      <c r="E64" s="663" t="s">
        <v>486</v>
      </c>
      <c r="F64" s="191"/>
      <c r="G64" s="204">
        <v>1</v>
      </c>
      <c r="H64" s="181"/>
      <c r="I64" s="1562"/>
      <c r="J64" s="1550"/>
      <c r="K64" s="1075"/>
    </row>
    <row r="65" spans="1:11" x14ac:dyDescent="0.2">
      <c r="A65" s="1581"/>
      <c r="B65" s="1583"/>
      <c r="C65" s="1579"/>
      <c r="D65" s="311" t="s">
        <v>224</v>
      </c>
      <c r="E65" s="663" t="s">
        <v>608</v>
      </c>
      <c r="F65" s="191"/>
      <c r="G65" s="204">
        <v>1</v>
      </c>
      <c r="H65" s="181"/>
      <c r="I65" s="1562"/>
      <c r="J65" s="1550"/>
      <c r="K65" s="1075"/>
    </row>
    <row r="66" spans="1:11" x14ac:dyDescent="0.2">
      <c r="A66" s="1581"/>
      <c r="B66" s="1583"/>
      <c r="C66" s="1579"/>
      <c r="D66" s="311" t="s">
        <v>226</v>
      </c>
      <c r="E66" s="663" t="s">
        <v>609</v>
      </c>
      <c r="F66" s="191" t="s">
        <v>167</v>
      </c>
      <c r="G66" s="204">
        <v>1</v>
      </c>
      <c r="H66" s="181"/>
      <c r="I66" s="1562"/>
      <c r="J66" s="1550"/>
      <c r="K66" s="983"/>
    </row>
    <row r="67" spans="1:11" x14ac:dyDescent="0.2">
      <c r="A67" s="1581"/>
      <c r="B67" s="1583"/>
      <c r="C67" s="1579"/>
      <c r="D67" s="311" t="s">
        <v>228</v>
      </c>
      <c r="E67" s="663" t="s">
        <v>610</v>
      </c>
      <c r="F67" s="191"/>
      <c r="G67" s="204">
        <v>1</v>
      </c>
      <c r="H67" s="181"/>
      <c r="I67" s="1562"/>
      <c r="J67" s="1550"/>
      <c r="K67" s="1075"/>
    </row>
    <row r="68" spans="1:11" x14ac:dyDescent="0.2">
      <c r="A68" s="1581"/>
      <c r="B68" s="1583"/>
      <c r="C68" s="1579"/>
      <c r="D68" s="311" t="s">
        <v>230</v>
      </c>
      <c r="E68" s="663" t="s">
        <v>611</v>
      </c>
      <c r="F68" s="191"/>
      <c r="G68" s="204">
        <v>1</v>
      </c>
      <c r="H68" s="181"/>
      <c r="I68" s="1562"/>
      <c r="J68" s="1550"/>
      <c r="K68" s="1075"/>
    </row>
    <row r="69" spans="1:11" x14ac:dyDescent="0.2">
      <c r="A69" s="1581"/>
      <c r="B69" s="1583"/>
      <c r="C69" s="1579"/>
      <c r="D69" s="311" t="s">
        <v>232</v>
      </c>
      <c r="E69" s="663" t="s">
        <v>612</v>
      </c>
      <c r="F69" s="191"/>
      <c r="G69" s="204">
        <v>1</v>
      </c>
      <c r="H69" s="181"/>
      <c r="I69" s="1562"/>
      <c r="J69" s="1550"/>
      <c r="K69" s="1075"/>
    </row>
    <row r="70" spans="1:11" ht="16.5" customHeight="1" x14ac:dyDescent="0.2">
      <c r="A70" s="1581"/>
      <c r="B70" s="1583"/>
      <c r="C70" s="1579"/>
      <c r="D70" s="311" t="s">
        <v>234</v>
      </c>
      <c r="E70" s="663" t="s">
        <v>613</v>
      </c>
      <c r="F70" s="191" t="s">
        <v>167</v>
      </c>
      <c r="G70" s="204">
        <v>1</v>
      </c>
      <c r="H70" s="1565" t="s">
        <v>2456</v>
      </c>
      <c r="I70" s="1562"/>
      <c r="J70" s="1550"/>
      <c r="K70" s="983"/>
    </row>
    <row r="71" spans="1:11" x14ac:dyDescent="0.2">
      <c r="A71" s="1581"/>
      <c r="B71" s="1583"/>
      <c r="C71" s="1579"/>
      <c r="D71" s="311" t="s">
        <v>236</v>
      </c>
      <c r="E71" s="663" t="s">
        <v>614</v>
      </c>
      <c r="F71" s="191"/>
      <c r="G71" s="204">
        <v>1</v>
      </c>
      <c r="H71" s="1565"/>
      <c r="I71" s="1562"/>
      <c r="J71" s="1550"/>
      <c r="K71" s="1075"/>
    </row>
    <row r="72" spans="1:11" x14ac:dyDescent="0.2">
      <c r="A72" s="1581"/>
      <c r="B72" s="1583"/>
      <c r="C72" s="1579"/>
      <c r="D72" s="311" t="s">
        <v>238</v>
      </c>
      <c r="E72" s="663" t="s">
        <v>615</v>
      </c>
      <c r="F72" s="191"/>
      <c r="G72" s="204">
        <v>1</v>
      </c>
      <c r="H72" s="181"/>
      <c r="I72" s="1562"/>
      <c r="J72" s="1550"/>
      <c r="K72" s="1075"/>
    </row>
    <row r="73" spans="1:11" x14ac:dyDescent="0.2">
      <c r="A73" s="1581"/>
      <c r="B73" s="1583"/>
      <c r="C73" s="1579"/>
      <c r="D73" s="311" t="s">
        <v>240</v>
      </c>
      <c r="E73" s="663" t="s">
        <v>484</v>
      </c>
      <c r="F73" s="191"/>
      <c r="G73" s="204">
        <v>1</v>
      </c>
      <c r="H73" s="181"/>
      <c r="I73" s="1562"/>
      <c r="J73" s="1550"/>
      <c r="K73" s="1075"/>
    </row>
    <row r="74" spans="1:11" x14ac:dyDescent="0.2">
      <c r="A74" s="1581"/>
      <c r="B74" s="1583"/>
      <c r="C74" s="1579"/>
      <c r="D74" s="311" t="s">
        <v>167</v>
      </c>
      <c r="E74" s="663" t="s">
        <v>616</v>
      </c>
      <c r="F74" s="191"/>
      <c r="G74" s="204">
        <v>1</v>
      </c>
      <c r="H74" s="181"/>
      <c r="I74" s="1562"/>
      <c r="J74" s="1550"/>
      <c r="K74" s="1075"/>
    </row>
    <row r="75" spans="1:11" x14ac:dyDescent="0.2">
      <c r="A75" s="1581"/>
      <c r="B75" s="1583"/>
      <c r="C75" s="1579"/>
      <c r="D75" s="311" t="s">
        <v>243</v>
      </c>
      <c r="E75" s="663" t="s">
        <v>564</v>
      </c>
      <c r="F75" s="191" t="s">
        <v>167</v>
      </c>
      <c r="G75" s="204">
        <v>1</v>
      </c>
      <c r="H75" s="181"/>
      <c r="I75" s="1562"/>
      <c r="J75" s="1550"/>
      <c r="K75" s="983"/>
    </row>
    <row r="76" spans="1:11" x14ac:dyDescent="0.2">
      <c r="A76" s="1581"/>
      <c r="B76" s="1583"/>
      <c r="C76" s="1579"/>
      <c r="D76" s="311" t="s">
        <v>245</v>
      </c>
      <c r="E76" s="663" t="s">
        <v>481</v>
      </c>
      <c r="F76" s="1062"/>
      <c r="G76" s="204">
        <v>0</v>
      </c>
      <c r="H76" s="181"/>
      <c r="I76" s="1562"/>
      <c r="J76" s="1550"/>
      <c r="K76" s="983"/>
    </row>
    <row r="77" spans="1:11" ht="12.75" thickBot="1" x14ac:dyDescent="0.25">
      <c r="A77" s="1581"/>
      <c r="B77" s="1583"/>
      <c r="C77" s="1580"/>
      <c r="D77" s="313" t="s">
        <v>246</v>
      </c>
      <c r="E77" s="664" t="s">
        <v>541</v>
      </c>
      <c r="F77" s="279"/>
      <c r="G77" s="304">
        <v>0</v>
      </c>
      <c r="H77" s="305"/>
      <c r="I77" s="1555"/>
      <c r="J77" s="1551"/>
      <c r="K77" s="983"/>
    </row>
    <row r="78" spans="1:11" x14ac:dyDescent="0.2">
      <c r="A78" s="1581"/>
      <c r="B78" s="1583"/>
      <c r="C78" s="1556" t="s">
        <v>617</v>
      </c>
      <c r="D78" s="297" t="s">
        <v>248</v>
      </c>
      <c r="E78" s="658" t="s">
        <v>618</v>
      </c>
      <c r="F78" s="318" t="s">
        <v>167</v>
      </c>
      <c r="G78" s="299">
        <v>1</v>
      </c>
      <c r="H78" s="1559" t="s">
        <v>2453</v>
      </c>
      <c r="I78" s="1554">
        <f>SUMIF(F78:F83,"X",G78:G83)</f>
        <v>2</v>
      </c>
      <c r="J78" s="1549">
        <f>I78/4</f>
        <v>0.5</v>
      </c>
      <c r="K78" s="983"/>
    </row>
    <row r="79" spans="1:11" x14ac:dyDescent="0.2">
      <c r="A79" s="1581"/>
      <c r="B79" s="1583"/>
      <c r="C79" s="1557"/>
      <c r="D79" s="17" t="s">
        <v>250</v>
      </c>
      <c r="E79" s="659" t="s">
        <v>619</v>
      </c>
      <c r="F79" s="139"/>
      <c r="G79" s="204">
        <v>1</v>
      </c>
      <c r="H79" s="1560"/>
      <c r="I79" s="1562"/>
      <c r="J79" s="1550"/>
      <c r="K79" s="983"/>
    </row>
    <row r="80" spans="1:11" x14ac:dyDescent="0.2">
      <c r="A80" s="1581"/>
      <c r="B80" s="1583"/>
      <c r="C80" s="1557"/>
      <c r="D80" s="17" t="s">
        <v>252</v>
      </c>
      <c r="E80" s="659" t="s">
        <v>620</v>
      </c>
      <c r="F80" s="139" t="s">
        <v>167</v>
      </c>
      <c r="G80" s="204">
        <v>1</v>
      </c>
      <c r="H80" s="1560"/>
      <c r="I80" s="1562"/>
      <c r="J80" s="1550"/>
      <c r="K80" s="983"/>
    </row>
    <row r="81" spans="1:11" x14ac:dyDescent="0.2">
      <c r="A81" s="1581"/>
      <c r="B81" s="1583"/>
      <c r="C81" s="1557"/>
      <c r="D81" s="17" t="s">
        <v>254</v>
      </c>
      <c r="E81" s="659" t="s">
        <v>621</v>
      </c>
      <c r="F81" s="139"/>
      <c r="G81" s="204">
        <v>1</v>
      </c>
      <c r="H81" s="1560"/>
      <c r="I81" s="1562"/>
      <c r="J81" s="1550"/>
      <c r="K81" s="983"/>
    </row>
    <row r="82" spans="1:11" x14ac:dyDescent="0.2">
      <c r="A82" s="1581"/>
      <c r="B82" s="1583"/>
      <c r="C82" s="1557"/>
      <c r="D82" s="17" t="s">
        <v>255</v>
      </c>
      <c r="E82" s="659" t="s">
        <v>481</v>
      </c>
      <c r="F82" s="1062"/>
      <c r="G82" s="204">
        <v>0</v>
      </c>
      <c r="H82" s="1560"/>
      <c r="I82" s="1562"/>
      <c r="J82" s="1550"/>
      <c r="K82" s="983"/>
    </row>
    <row r="83" spans="1:11" ht="12.75" thickBot="1" x14ac:dyDescent="0.25">
      <c r="A83" s="1581"/>
      <c r="B83" s="1583"/>
      <c r="C83" s="1558"/>
      <c r="D83" s="302" t="s">
        <v>257</v>
      </c>
      <c r="E83" s="660" t="s">
        <v>622</v>
      </c>
      <c r="F83" s="279"/>
      <c r="G83" s="304">
        <v>0</v>
      </c>
      <c r="H83" s="1561"/>
      <c r="I83" s="1555"/>
      <c r="J83" s="1551"/>
      <c r="K83" s="983"/>
    </row>
    <row r="84" spans="1:11" x14ac:dyDescent="0.2">
      <c r="A84" s="1581"/>
      <c r="B84" s="1583"/>
      <c r="C84" s="1578" t="s">
        <v>623</v>
      </c>
      <c r="D84" s="312" t="s">
        <v>259</v>
      </c>
      <c r="E84" s="662" t="s">
        <v>524</v>
      </c>
      <c r="F84" s="298" t="s">
        <v>167</v>
      </c>
      <c r="G84" s="299">
        <v>1</v>
      </c>
      <c r="H84" s="1559" t="s">
        <v>2457</v>
      </c>
      <c r="I84" s="1554">
        <f>SUMIF(F84:F91,"x",G84:G91)</f>
        <v>6</v>
      </c>
      <c r="J84" s="1549">
        <f>I84/6</f>
        <v>1</v>
      </c>
      <c r="K84" s="983"/>
    </row>
    <row r="85" spans="1:11" x14ac:dyDescent="0.2">
      <c r="A85" s="1581"/>
      <c r="B85" s="1583"/>
      <c r="C85" s="1579"/>
      <c r="D85" s="311" t="s">
        <v>261</v>
      </c>
      <c r="E85" s="663" t="s">
        <v>525</v>
      </c>
      <c r="F85" s="191" t="s">
        <v>167</v>
      </c>
      <c r="G85" s="204">
        <v>1</v>
      </c>
      <c r="H85" s="1560"/>
      <c r="I85" s="1562"/>
      <c r="J85" s="1550"/>
      <c r="K85" s="983"/>
    </row>
    <row r="86" spans="1:11" x14ac:dyDescent="0.2">
      <c r="A86" s="1581"/>
      <c r="B86" s="1583"/>
      <c r="C86" s="1579"/>
      <c r="D86" s="311" t="s">
        <v>262</v>
      </c>
      <c r="E86" s="663" t="s">
        <v>529</v>
      </c>
      <c r="F86" s="191" t="s">
        <v>167</v>
      </c>
      <c r="G86" s="204">
        <v>1</v>
      </c>
      <c r="H86" s="1560"/>
      <c r="I86" s="1562"/>
      <c r="J86" s="1550"/>
      <c r="K86" s="983"/>
    </row>
    <row r="87" spans="1:11" x14ac:dyDescent="0.2">
      <c r="A87" s="1581"/>
      <c r="B87" s="1583"/>
      <c r="C87" s="1579"/>
      <c r="D87" s="311" t="s">
        <v>264</v>
      </c>
      <c r="E87" s="663" t="s">
        <v>624</v>
      </c>
      <c r="F87" s="191" t="s">
        <v>167</v>
      </c>
      <c r="G87" s="204">
        <v>1</v>
      </c>
      <c r="H87" s="1560"/>
      <c r="I87" s="1562"/>
      <c r="J87" s="1550"/>
      <c r="K87" s="983"/>
    </row>
    <row r="88" spans="1:11" x14ac:dyDescent="0.2">
      <c r="A88" s="1581"/>
      <c r="B88" s="1583"/>
      <c r="C88" s="1579"/>
      <c r="D88" s="311" t="s">
        <v>266</v>
      </c>
      <c r="E88" s="663" t="s">
        <v>625</v>
      </c>
      <c r="F88" s="191" t="s">
        <v>167</v>
      </c>
      <c r="G88" s="204">
        <v>1</v>
      </c>
      <c r="H88" s="1560"/>
      <c r="I88" s="1562"/>
      <c r="J88" s="1550"/>
      <c r="K88" s="983"/>
    </row>
    <row r="89" spans="1:11" ht="24" x14ac:dyDescent="0.2">
      <c r="A89" s="1581"/>
      <c r="B89" s="1583"/>
      <c r="C89" s="1579"/>
      <c r="D89" s="311" t="s">
        <v>268</v>
      </c>
      <c r="E89" s="663" t="s">
        <v>626</v>
      </c>
      <c r="F89" s="191" t="s">
        <v>167</v>
      </c>
      <c r="G89" s="204">
        <v>1</v>
      </c>
      <c r="H89" s="1560"/>
      <c r="I89" s="1562"/>
      <c r="J89" s="1550"/>
      <c r="K89" s="983"/>
    </row>
    <row r="90" spans="1:11" x14ac:dyDescent="0.2">
      <c r="A90" s="1581"/>
      <c r="B90" s="1583"/>
      <c r="C90" s="1579"/>
      <c r="D90" s="311" t="s">
        <v>270</v>
      </c>
      <c r="E90" s="663" t="s">
        <v>481</v>
      </c>
      <c r="F90" s="1062"/>
      <c r="G90" s="204">
        <v>0</v>
      </c>
      <c r="H90" s="1560"/>
      <c r="I90" s="1562"/>
      <c r="J90" s="1550"/>
      <c r="K90" s="983"/>
    </row>
    <row r="91" spans="1:11" ht="12.75" thickBot="1" x14ac:dyDescent="0.25">
      <c r="A91" s="1581"/>
      <c r="B91" s="1583"/>
      <c r="C91" s="1580"/>
      <c r="D91" s="313" t="s">
        <v>272</v>
      </c>
      <c r="E91" s="664" t="s">
        <v>472</v>
      </c>
      <c r="F91" s="279"/>
      <c r="G91" s="304">
        <v>0</v>
      </c>
      <c r="H91" s="1561"/>
      <c r="I91" s="1555"/>
      <c r="J91" s="1551"/>
      <c r="K91" s="983"/>
    </row>
    <row r="92" spans="1:11" x14ac:dyDescent="0.2">
      <c r="A92" s="1581"/>
      <c r="B92" s="1583"/>
      <c r="C92" s="1556" t="s">
        <v>627</v>
      </c>
      <c r="D92" s="297" t="s">
        <v>274</v>
      </c>
      <c r="E92" s="650" t="s">
        <v>628</v>
      </c>
      <c r="F92" s="298" t="s">
        <v>167</v>
      </c>
      <c r="G92" s="299">
        <v>1</v>
      </c>
      <c r="H92" s="1559" t="s">
        <v>2458</v>
      </c>
      <c r="I92" s="1554">
        <f>SUMIF(F92:F98,"x",G92:G98)</f>
        <v>4</v>
      </c>
      <c r="J92" s="1549">
        <f>I92/5</f>
        <v>0.8</v>
      </c>
      <c r="K92" s="983"/>
    </row>
    <row r="93" spans="1:11" x14ac:dyDescent="0.2">
      <c r="A93" s="1581"/>
      <c r="B93" s="1583"/>
      <c r="C93" s="1557"/>
      <c r="D93" s="17" t="s">
        <v>276</v>
      </c>
      <c r="E93" s="651" t="s">
        <v>487</v>
      </c>
      <c r="F93" s="191" t="s">
        <v>167</v>
      </c>
      <c r="G93" s="204">
        <v>1</v>
      </c>
      <c r="H93" s="1562"/>
      <c r="I93" s="1562"/>
      <c r="J93" s="1550"/>
      <c r="K93" s="983"/>
    </row>
    <row r="94" spans="1:11" x14ac:dyDescent="0.2">
      <c r="A94" s="1581"/>
      <c r="B94" s="1583"/>
      <c r="C94" s="1557"/>
      <c r="D94" s="17" t="s">
        <v>278</v>
      </c>
      <c r="E94" s="651" t="s">
        <v>564</v>
      </c>
      <c r="F94" s="191" t="s">
        <v>167</v>
      </c>
      <c r="G94" s="204">
        <v>1</v>
      </c>
      <c r="H94" s="1562"/>
      <c r="I94" s="1562"/>
      <c r="J94" s="1550"/>
      <c r="K94" s="983"/>
    </row>
    <row r="95" spans="1:11" x14ac:dyDescent="0.2">
      <c r="A95" s="1581"/>
      <c r="B95" s="1583"/>
      <c r="C95" s="1557"/>
      <c r="D95" s="17" t="s">
        <v>280</v>
      </c>
      <c r="E95" s="651" t="s">
        <v>629</v>
      </c>
      <c r="F95" s="191" t="s">
        <v>167</v>
      </c>
      <c r="G95" s="204">
        <v>1</v>
      </c>
      <c r="H95" s="1562"/>
      <c r="I95" s="1562"/>
      <c r="J95" s="1550"/>
      <c r="K95" s="983"/>
    </row>
    <row r="96" spans="1:11" x14ac:dyDescent="0.2">
      <c r="A96" s="1581"/>
      <c r="B96" s="1583"/>
      <c r="C96" s="1557"/>
      <c r="D96" s="17" t="s">
        <v>282</v>
      </c>
      <c r="E96" s="651" t="s">
        <v>630</v>
      </c>
      <c r="F96" s="191"/>
      <c r="G96" s="204">
        <v>1</v>
      </c>
      <c r="H96" s="1562"/>
      <c r="I96" s="1562"/>
      <c r="J96" s="1550"/>
      <c r="K96" s="983"/>
    </row>
    <row r="97" spans="1:11" x14ac:dyDescent="0.2">
      <c r="A97" s="1581"/>
      <c r="B97" s="1583"/>
      <c r="C97" s="1557"/>
      <c r="D97" s="17" t="s">
        <v>284</v>
      </c>
      <c r="E97" s="651" t="s">
        <v>481</v>
      </c>
      <c r="F97" s="1062"/>
      <c r="G97" s="204">
        <v>0</v>
      </c>
      <c r="H97" s="1562"/>
      <c r="I97" s="1562"/>
      <c r="J97" s="1550"/>
      <c r="K97" s="983"/>
    </row>
    <row r="98" spans="1:11" ht="12.75" thickBot="1" x14ac:dyDescent="0.25">
      <c r="A98" s="1581"/>
      <c r="B98" s="1583"/>
      <c r="C98" s="1558"/>
      <c r="D98" s="302" t="s">
        <v>286</v>
      </c>
      <c r="E98" s="652" t="s">
        <v>472</v>
      </c>
      <c r="F98" s="279"/>
      <c r="G98" s="304">
        <v>0</v>
      </c>
      <c r="H98" s="1555"/>
      <c r="I98" s="1555"/>
      <c r="J98" s="1551"/>
      <c r="K98" s="983"/>
    </row>
    <row r="99" spans="1:11" ht="16.5" thickBot="1" x14ac:dyDescent="0.25">
      <c r="A99" s="1581"/>
      <c r="B99" s="1584"/>
      <c r="C99" s="1577" t="s">
        <v>2040</v>
      </c>
      <c r="D99" s="1577"/>
      <c r="E99" s="1577"/>
      <c r="F99" s="1577"/>
      <c r="G99" s="1577"/>
      <c r="H99" s="1577"/>
      <c r="I99" s="1577"/>
      <c r="J99" s="330">
        <f>(J51+J63+J78+J84+J92)/5</f>
        <v>0.70153846153846156</v>
      </c>
      <c r="K99" s="984"/>
    </row>
    <row r="100" spans="1:11" x14ac:dyDescent="0.2">
      <c r="A100" s="1581" t="s">
        <v>631</v>
      </c>
      <c r="B100" s="1583">
        <v>0.2</v>
      </c>
      <c r="C100" s="1578" t="s">
        <v>632</v>
      </c>
      <c r="D100" s="312" t="s">
        <v>82</v>
      </c>
      <c r="E100" s="665" t="s">
        <v>633</v>
      </c>
      <c r="F100" s="298"/>
      <c r="G100" s="299">
        <v>1</v>
      </c>
      <c r="H100" s="1559" t="s">
        <v>2414</v>
      </c>
      <c r="I100" s="1554">
        <f>SUMIF(F100:F105,"X",G100:G105)</f>
        <v>1</v>
      </c>
      <c r="J100" s="1549">
        <f>I100/4</f>
        <v>0.25</v>
      </c>
      <c r="K100" s="983"/>
    </row>
    <row r="101" spans="1:11" x14ac:dyDescent="0.2">
      <c r="A101" s="1581"/>
      <c r="B101" s="1583"/>
      <c r="C101" s="1579"/>
      <c r="D101" s="311" t="s">
        <v>84</v>
      </c>
      <c r="E101" s="666" t="s">
        <v>634</v>
      </c>
      <c r="F101" s="191" t="s">
        <v>167</v>
      </c>
      <c r="G101" s="204">
        <v>1</v>
      </c>
      <c r="H101" s="1560"/>
      <c r="I101" s="1562"/>
      <c r="J101" s="1550"/>
      <c r="K101" s="983"/>
    </row>
    <row r="102" spans="1:11" x14ac:dyDescent="0.2">
      <c r="A102" s="1581"/>
      <c r="B102" s="1583"/>
      <c r="C102" s="1579"/>
      <c r="D102" s="311" t="s">
        <v>86</v>
      </c>
      <c r="E102" s="666" t="s">
        <v>635</v>
      </c>
      <c r="F102" s="191"/>
      <c r="G102" s="204">
        <v>1</v>
      </c>
      <c r="H102" s="1560"/>
      <c r="I102" s="1562"/>
      <c r="J102" s="1550"/>
      <c r="K102" s="1075"/>
    </row>
    <row r="103" spans="1:11" x14ac:dyDescent="0.2">
      <c r="A103" s="1581"/>
      <c r="B103" s="1583"/>
      <c r="C103" s="1579"/>
      <c r="D103" s="311" t="s">
        <v>87</v>
      </c>
      <c r="E103" s="666" t="s">
        <v>636</v>
      </c>
      <c r="F103" s="191"/>
      <c r="G103" s="204">
        <v>1</v>
      </c>
      <c r="H103" s="1560"/>
      <c r="I103" s="1562"/>
      <c r="J103" s="1550"/>
      <c r="K103" s="1075"/>
    </row>
    <row r="104" spans="1:11" x14ac:dyDescent="0.2">
      <c r="A104" s="1581"/>
      <c r="B104" s="1583"/>
      <c r="C104" s="1579"/>
      <c r="D104" s="311" t="s">
        <v>95</v>
      </c>
      <c r="E104" s="666" t="s">
        <v>481</v>
      </c>
      <c r="F104" s="1062"/>
      <c r="G104" s="204">
        <v>0</v>
      </c>
      <c r="H104" s="1560"/>
      <c r="I104" s="1562"/>
      <c r="J104" s="1550"/>
      <c r="K104" s="1075"/>
    </row>
    <row r="105" spans="1:11" ht="12.75" thickBot="1" x14ac:dyDescent="0.25">
      <c r="A105" s="1581"/>
      <c r="B105" s="1583"/>
      <c r="C105" s="1580"/>
      <c r="D105" s="313" t="s">
        <v>97</v>
      </c>
      <c r="E105" s="667" t="s">
        <v>472</v>
      </c>
      <c r="F105" s="279"/>
      <c r="G105" s="304">
        <v>0</v>
      </c>
      <c r="H105" s="1561"/>
      <c r="I105" s="1555"/>
      <c r="J105" s="1551"/>
      <c r="K105" s="983"/>
    </row>
    <row r="106" spans="1:11" ht="24" x14ac:dyDescent="0.2">
      <c r="A106" s="1581"/>
      <c r="B106" s="1583"/>
      <c r="C106" s="1556" t="s">
        <v>637</v>
      </c>
      <c r="D106" s="297" t="s">
        <v>99</v>
      </c>
      <c r="E106" s="668" t="s">
        <v>638</v>
      </c>
      <c r="F106" s="318" t="s">
        <v>167</v>
      </c>
      <c r="G106" s="299">
        <v>1</v>
      </c>
      <c r="H106" s="1559" t="s">
        <v>2454</v>
      </c>
      <c r="I106" s="1554">
        <f>SUMIF(F106:F111,"x",G106:G111)</f>
        <v>4</v>
      </c>
      <c r="J106" s="1549">
        <f>I106/5</f>
        <v>0.8</v>
      </c>
      <c r="K106" s="983"/>
    </row>
    <row r="107" spans="1:11" x14ac:dyDescent="0.2">
      <c r="A107" s="1581"/>
      <c r="B107" s="1583"/>
      <c r="C107" s="1557"/>
      <c r="D107" s="17" t="s">
        <v>101</v>
      </c>
      <c r="E107" s="669" t="s">
        <v>639</v>
      </c>
      <c r="F107" s="139" t="s">
        <v>167</v>
      </c>
      <c r="G107" s="204">
        <v>1</v>
      </c>
      <c r="H107" s="1560"/>
      <c r="I107" s="1562"/>
      <c r="J107" s="1550"/>
      <c r="K107" s="983"/>
    </row>
    <row r="108" spans="1:11" x14ac:dyDescent="0.2">
      <c r="A108" s="1581"/>
      <c r="B108" s="1583"/>
      <c r="C108" s="1557"/>
      <c r="D108" s="17" t="s">
        <v>103</v>
      </c>
      <c r="E108" s="669" t="s">
        <v>640</v>
      </c>
      <c r="F108" s="139" t="s">
        <v>167</v>
      </c>
      <c r="G108" s="204">
        <v>1</v>
      </c>
      <c r="H108" s="1560"/>
      <c r="I108" s="1562"/>
      <c r="J108" s="1550"/>
      <c r="K108" s="983"/>
    </row>
    <row r="109" spans="1:11" ht="24" x14ac:dyDescent="0.2">
      <c r="A109" s="1581"/>
      <c r="B109" s="1583"/>
      <c r="C109" s="1557"/>
      <c r="D109" s="17" t="s">
        <v>151</v>
      </c>
      <c r="E109" s="669" t="s">
        <v>641</v>
      </c>
      <c r="F109" s="139"/>
      <c r="G109" s="204">
        <v>1</v>
      </c>
      <c r="H109" s="1560"/>
      <c r="I109" s="1562"/>
      <c r="J109" s="1550"/>
      <c r="K109" s="983"/>
    </row>
    <row r="110" spans="1:11" x14ac:dyDescent="0.2">
      <c r="A110" s="1581"/>
      <c r="B110" s="1583"/>
      <c r="C110" s="1557"/>
      <c r="D110" s="17" t="s">
        <v>152</v>
      </c>
      <c r="E110" s="669" t="s">
        <v>642</v>
      </c>
      <c r="F110" s="139" t="s">
        <v>167</v>
      </c>
      <c r="G110" s="204">
        <v>1</v>
      </c>
      <c r="H110" s="1560"/>
      <c r="I110" s="1562"/>
      <c r="J110" s="1550"/>
      <c r="K110" s="983"/>
    </row>
    <row r="111" spans="1:11" ht="12.75" thickBot="1" x14ac:dyDescent="0.25">
      <c r="A111" s="1581"/>
      <c r="B111" s="1583"/>
      <c r="C111" s="1558"/>
      <c r="D111" s="302" t="s">
        <v>218</v>
      </c>
      <c r="E111" s="670" t="s">
        <v>643</v>
      </c>
      <c r="F111" s="279"/>
      <c r="G111" s="304">
        <v>0</v>
      </c>
      <c r="H111" s="1561"/>
      <c r="I111" s="1555"/>
      <c r="J111" s="1551"/>
      <c r="K111" s="983"/>
    </row>
    <row r="112" spans="1:11" ht="16.5" thickBot="1" x14ac:dyDescent="0.25">
      <c r="A112" s="1581"/>
      <c r="B112" s="1584"/>
      <c r="C112" s="1577" t="s">
        <v>2041</v>
      </c>
      <c r="D112" s="1577"/>
      <c r="E112" s="1577"/>
      <c r="F112" s="1577"/>
      <c r="G112" s="1577"/>
      <c r="H112" s="1577"/>
      <c r="I112" s="1577"/>
      <c r="J112" s="330">
        <f>(J100+J106)/2</f>
        <v>0.52500000000000002</v>
      </c>
      <c r="K112" s="984"/>
    </row>
    <row r="113" spans="1:11" ht="15" customHeight="1" x14ac:dyDescent="0.2">
      <c r="A113" s="1593" t="s">
        <v>644</v>
      </c>
      <c r="B113" s="1594">
        <v>0.2</v>
      </c>
      <c r="C113" s="1585" t="s">
        <v>645</v>
      </c>
      <c r="D113" s="319" t="s">
        <v>82</v>
      </c>
      <c r="E113" s="671" t="s">
        <v>2417</v>
      </c>
      <c r="F113" s="1424" t="s">
        <v>2417</v>
      </c>
      <c r="G113" s="1554" t="s">
        <v>2413</v>
      </c>
      <c r="H113" s="299" t="s">
        <v>646</v>
      </c>
      <c r="I113" s="1575">
        <f>J113</f>
        <v>1</v>
      </c>
      <c r="J113" s="1549">
        <f>IF(F113="Siempre",100%,IF(F113="Casi siempre",75%,IF(F113="A veces",50%,IF(F113="Casi nunca",25%,0))))</f>
        <v>1</v>
      </c>
      <c r="K113" s="983"/>
    </row>
    <row r="114" spans="1:11" x14ac:dyDescent="0.2">
      <c r="A114" s="1593"/>
      <c r="B114" s="1595"/>
      <c r="C114" s="1586"/>
      <c r="D114" s="33" t="s">
        <v>84</v>
      </c>
      <c r="E114" s="672" t="s">
        <v>2415</v>
      </c>
      <c r="F114" s="1425"/>
      <c r="G114" s="1562"/>
      <c r="H114" s="204" t="s">
        <v>647</v>
      </c>
      <c r="I114" s="1588"/>
      <c r="J114" s="1550"/>
      <c r="K114" s="983"/>
    </row>
    <row r="115" spans="1:11" x14ac:dyDescent="0.2">
      <c r="A115" s="1593"/>
      <c r="B115" s="1595"/>
      <c r="C115" s="1586"/>
      <c r="D115" s="33" t="s">
        <v>86</v>
      </c>
      <c r="E115" s="672" t="s">
        <v>2422</v>
      </c>
      <c r="F115" s="1425"/>
      <c r="G115" s="1562"/>
      <c r="H115" s="204" t="s">
        <v>648</v>
      </c>
      <c r="I115" s="1588"/>
      <c r="J115" s="1550"/>
      <c r="K115" s="983"/>
    </row>
    <row r="116" spans="1:11" x14ac:dyDescent="0.2">
      <c r="A116" s="1593"/>
      <c r="B116" s="1595"/>
      <c r="C116" s="1586"/>
      <c r="D116" s="33" t="s">
        <v>87</v>
      </c>
      <c r="E116" s="672" t="s">
        <v>2421</v>
      </c>
      <c r="F116" s="1425"/>
      <c r="G116" s="1562"/>
      <c r="H116" s="204" t="s">
        <v>649</v>
      </c>
      <c r="I116" s="1588"/>
      <c r="J116" s="1550"/>
      <c r="K116" s="983"/>
    </row>
    <row r="117" spans="1:11" ht="12.75" thickBot="1" x14ac:dyDescent="0.25">
      <c r="A117" s="1593"/>
      <c r="B117" s="1595"/>
      <c r="C117" s="1587"/>
      <c r="D117" s="320" t="s">
        <v>95</v>
      </c>
      <c r="E117" s="673" t="s">
        <v>2416</v>
      </c>
      <c r="F117" s="1426"/>
      <c r="G117" s="1555"/>
      <c r="H117" s="304" t="s">
        <v>650</v>
      </c>
      <c r="I117" s="1569"/>
      <c r="J117" s="1551"/>
      <c r="K117" s="983"/>
    </row>
    <row r="118" spans="1:11" ht="12" customHeight="1" x14ac:dyDescent="0.2">
      <c r="A118" s="1593"/>
      <c r="B118" s="1595"/>
      <c r="C118" s="1556" t="s">
        <v>651</v>
      </c>
      <c r="D118" s="321" t="s">
        <v>97</v>
      </c>
      <c r="E118" s="658" t="s">
        <v>652</v>
      </c>
      <c r="F118" s="322" t="s">
        <v>167</v>
      </c>
      <c r="G118" s="299">
        <v>1</v>
      </c>
      <c r="H118" s="300"/>
      <c r="I118" s="1554">
        <f>SUMIF(F118:F130,"x",G118:G130)</f>
        <v>9</v>
      </c>
      <c r="J118" s="1549">
        <f>I118/12</f>
        <v>0.75</v>
      </c>
      <c r="K118" s="983"/>
    </row>
    <row r="119" spans="1:11" x14ac:dyDescent="0.2">
      <c r="A119" s="1593"/>
      <c r="B119" s="1595"/>
      <c r="C119" s="1557"/>
      <c r="D119" s="32" t="s">
        <v>99</v>
      </c>
      <c r="E119" s="659" t="s">
        <v>653</v>
      </c>
      <c r="F119" s="192" t="s">
        <v>167</v>
      </c>
      <c r="G119" s="204">
        <v>1</v>
      </c>
      <c r="H119" s="181"/>
      <c r="I119" s="1562"/>
      <c r="J119" s="1550"/>
      <c r="K119" s="983"/>
    </row>
    <row r="120" spans="1:11" x14ac:dyDescent="0.2">
      <c r="A120" s="1593"/>
      <c r="B120" s="1595"/>
      <c r="C120" s="1557"/>
      <c r="D120" s="32" t="s">
        <v>101</v>
      </c>
      <c r="E120" s="659" t="s">
        <v>654</v>
      </c>
      <c r="F120" s="192" t="s">
        <v>167</v>
      </c>
      <c r="G120" s="204">
        <v>1</v>
      </c>
      <c r="H120" s="181"/>
      <c r="I120" s="1562"/>
      <c r="J120" s="1550"/>
      <c r="K120" s="983"/>
    </row>
    <row r="121" spans="1:11" x14ac:dyDescent="0.2">
      <c r="A121" s="1593"/>
      <c r="B121" s="1595"/>
      <c r="C121" s="1557"/>
      <c r="D121" s="32" t="s">
        <v>103</v>
      </c>
      <c r="E121" s="659" t="s">
        <v>655</v>
      </c>
      <c r="F121" s="192" t="s">
        <v>167</v>
      </c>
      <c r="G121" s="204">
        <v>1</v>
      </c>
      <c r="H121" s="181"/>
      <c r="I121" s="1562"/>
      <c r="J121" s="1550"/>
      <c r="K121" s="983"/>
    </row>
    <row r="122" spans="1:11" ht="24" x14ac:dyDescent="0.2">
      <c r="A122" s="1593"/>
      <c r="B122" s="1595"/>
      <c r="C122" s="1557"/>
      <c r="D122" s="32" t="s">
        <v>151</v>
      </c>
      <c r="E122" s="659" t="s">
        <v>656</v>
      </c>
      <c r="F122" s="192"/>
      <c r="G122" s="204">
        <v>1</v>
      </c>
      <c r="H122" s="181"/>
      <c r="I122" s="1562"/>
      <c r="J122" s="1550"/>
      <c r="K122" s="983"/>
    </row>
    <row r="123" spans="1:11" x14ac:dyDescent="0.2">
      <c r="A123" s="1593"/>
      <c r="B123" s="1595"/>
      <c r="C123" s="1557"/>
      <c r="D123" s="32" t="s">
        <v>152</v>
      </c>
      <c r="E123" s="659" t="s">
        <v>657</v>
      </c>
      <c r="F123" s="192" t="s">
        <v>167</v>
      </c>
      <c r="G123" s="204">
        <v>1</v>
      </c>
      <c r="H123" s="181"/>
      <c r="I123" s="1562"/>
      <c r="J123" s="1550"/>
      <c r="K123" s="983"/>
    </row>
    <row r="124" spans="1:11" x14ac:dyDescent="0.2">
      <c r="A124" s="1593"/>
      <c r="B124" s="1595"/>
      <c r="C124" s="1557"/>
      <c r="D124" s="32" t="s">
        <v>218</v>
      </c>
      <c r="E124" s="659" t="s">
        <v>658</v>
      </c>
      <c r="F124" s="192" t="s">
        <v>167</v>
      </c>
      <c r="G124" s="204">
        <v>1</v>
      </c>
      <c r="H124" s="181"/>
      <c r="I124" s="1562"/>
      <c r="J124" s="1550"/>
      <c r="K124" s="983"/>
    </row>
    <row r="125" spans="1:11" ht="17.25" customHeight="1" x14ac:dyDescent="0.2">
      <c r="A125" s="1593"/>
      <c r="B125" s="1595"/>
      <c r="C125" s="1557"/>
      <c r="D125" s="32" t="s">
        <v>220</v>
      </c>
      <c r="E125" s="659" t="s">
        <v>659</v>
      </c>
      <c r="F125" s="192" t="s">
        <v>167</v>
      </c>
      <c r="G125" s="204">
        <v>1</v>
      </c>
      <c r="H125" s="1565" t="s">
        <v>2423</v>
      </c>
      <c r="I125" s="1562"/>
      <c r="J125" s="1550"/>
      <c r="K125" s="983"/>
    </row>
    <row r="126" spans="1:11" x14ac:dyDescent="0.2">
      <c r="A126" s="1593"/>
      <c r="B126" s="1595"/>
      <c r="C126" s="1557"/>
      <c r="D126" s="32" t="s">
        <v>222</v>
      </c>
      <c r="E126" s="659" t="s">
        <v>660</v>
      </c>
      <c r="F126" s="192"/>
      <c r="G126" s="204">
        <v>1</v>
      </c>
      <c r="H126" s="1565"/>
      <c r="I126" s="1562"/>
      <c r="J126" s="1550"/>
      <c r="K126" s="983"/>
    </row>
    <row r="127" spans="1:11" x14ac:dyDescent="0.2">
      <c r="A127" s="1593"/>
      <c r="B127" s="1595"/>
      <c r="C127" s="1557"/>
      <c r="D127" s="32" t="s">
        <v>224</v>
      </c>
      <c r="E127" s="659" t="s">
        <v>661</v>
      </c>
      <c r="F127" s="192"/>
      <c r="G127" s="204">
        <v>1</v>
      </c>
      <c r="H127" s="181"/>
      <c r="I127" s="1562"/>
      <c r="J127" s="1550"/>
      <c r="K127" s="983"/>
    </row>
    <row r="128" spans="1:11" ht="24" x14ac:dyDescent="0.2">
      <c r="A128" s="1593"/>
      <c r="B128" s="1595"/>
      <c r="C128" s="1557"/>
      <c r="D128" s="32" t="s">
        <v>226</v>
      </c>
      <c r="E128" s="659" t="s">
        <v>662</v>
      </c>
      <c r="F128" s="192" t="s">
        <v>167</v>
      </c>
      <c r="G128" s="204">
        <v>1</v>
      </c>
      <c r="H128" s="181"/>
      <c r="I128" s="1562"/>
      <c r="J128" s="1550"/>
      <c r="K128" s="983"/>
    </row>
    <row r="129" spans="1:11" ht="24" x14ac:dyDescent="0.2">
      <c r="A129" s="1593"/>
      <c r="B129" s="1595"/>
      <c r="C129" s="1557"/>
      <c r="D129" s="32" t="s">
        <v>228</v>
      </c>
      <c r="E129" s="659" t="s">
        <v>663</v>
      </c>
      <c r="F129" s="192" t="s">
        <v>167</v>
      </c>
      <c r="G129" s="204">
        <v>1</v>
      </c>
      <c r="H129" s="181"/>
      <c r="I129" s="1562"/>
      <c r="J129" s="1550"/>
      <c r="K129" s="983"/>
    </row>
    <row r="130" spans="1:11" ht="24.75" thickBot="1" x14ac:dyDescent="0.25">
      <c r="A130" s="1593"/>
      <c r="B130" s="1595"/>
      <c r="C130" s="1558"/>
      <c r="D130" s="323" t="s">
        <v>230</v>
      </c>
      <c r="E130" s="660" t="s">
        <v>664</v>
      </c>
      <c r="F130" s="260"/>
      <c r="G130" s="304">
        <v>0</v>
      </c>
      <c r="H130" s="305"/>
      <c r="I130" s="1555"/>
      <c r="J130" s="1551"/>
      <c r="K130" s="983"/>
    </row>
    <row r="131" spans="1:11" ht="21.75" customHeight="1" x14ac:dyDescent="0.2">
      <c r="A131" s="1593"/>
      <c r="B131" s="1595"/>
      <c r="C131" s="1578" t="s">
        <v>665</v>
      </c>
      <c r="D131" s="324" t="s">
        <v>232</v>
      </c>
      <c r="E131" s="665" t="s">
        <v>666</v>
      </c>
      <c r="F131" s="322" t="s">
        <v>167</v>
      </c>
      <c r="G131" s="299">
        <v>1</v>
      </c>
      <c r="H131" s="300"/>
      <c r="I131" s="1554">
        <f>SUMIF(F131:F136,"x",G131:G136)</f>
        <v>5</v>
      </c>
      <c r="J131" s="1549">
        <f>I131/5</f>
        <v>1</v>
      </c>
      <c r="K131" s="983"/>
    </row>
    <row r="132" spans="1:11" ht="23.25" customHeight="1" x14ac:dyDescent="0.2">
      <c r="A132" s="1593"/>
      <c r="B132" s="1595"/>
      <c r="C132" s="1579"/>
      <c r="D132" s="325" t="s">
        <v>234</v>
      </c>
      <c r="E132" s="666" t="s">
        <v>668</v>
      </c>
      <c r="F132" s="192" t="s">
        <v>167</v>
      </c>
      <c r="G132" s="204">
        <v>1</v>
      </c>
      <c r="H132" s="181"/>
      <c r="I132" s="1562"/>
      <c r="J132" s="1550"/>
      <c r="K132" s="983"/>
    </row>
    <row r="133" spans="1:11" ht="24" x14ac:dyDescent="0.2">
      <c r="A133" s="1593"/>
      <c r="B133" s="1595"/>
      <c r="C133" s="1579"/>
      <c r="D133" s="325" t="s">
        <v>236</v>
      </c>
      <c r="E133" s="666" t="s">
        <v>669</v>
      </c>
      <c r="F133" s="192" t="s">
        <v>167</v>
      </c>
      <c r="G133" s="204">
        <v>1</v>
      </c>
      <c r="H133" s="181"/>
      <c r="I133" s="1562"/>
      <c r="J133" s="1550"/>
      <c r="K133" s="983"/>
    </row>
    <row r="134" spans="1:11" ht="27" customHeight="1" x14ac:dyDescent="0.2">
      <c r="A134" s="1593"/>
      <c r="B134" s="1595"/>
      <c r="C134" s="1579"/>
      <c r="D134" s="325" t="s">
        <v>238</v>
      </c>
      <c r="E134" s="666" t="s">
        <v>670</v>
      </c>
      <c r="F134" s="192" t="s">
        <v>167</v>
      </c>
      <c r="G134" s="204">
        <v>1</v>
      </c>
      <c r="H134" s="203" t="s">
        <v>667</v>
      </c>
      <c r="I134" s="1562"/>
      <c r="J134" s="1550"/>
      <c r="K134" s="983"/>
    </row>
    <row r="135" spans="1:11" ht="36" x14ac:dyDescent="0.2">
      <c r="A135" s="1593"/>
      <c r="B135" s="1595"/>
      <c r="C135" s="1579"/>
      <c r="D135" s="325" t="s">
        <v>240</v>
      </c>
      <c r="E135" s="666" t="s">
        <v>671</v>
      </c>
      <c r="F135" s="192" t="s">
        <v>167</v>
      </c>
      <c r="G135" s="204">
        <v>1</v>
      </c>
      <c r="H135" s="181"/>
      <c r="I135" s="1562"/>
      <c r="J135" s="1550"/>
      <c r="K135" s="983"/>
    </row>
    <row r="136" spans="1:11" ht="21" customHeight="1" thickBot="1" x14ac:dyDescent="0.25">
      <c r="A136" s="1593"/>
      <c r="B136" s="1595"/>
      <c r="C136" s="1580"/>
      <c r="D136" s="326" t="s">
        <v>167</v>
      </c>
      <c r="E136" s="667" t="s">
        <v>672</v>
      </c>
      <c r="F136" s="260"/>
      <c r="G136" s="304">
        <v>0</v>
      </c>
      <c r="H136" s="305"/>
      <c r="I136" s="1555"/>
      <c r="J136" s="1551"/>
      <c r="K136" s="983"/>
    </row>
    <row r="137" spans="1:11" ht="15" customHeight="1" x14ac:dyDescent="0.2">
      <c r="A137" s="1593"/>
      <c r="B137" s="1595"/>
      <c r="C137" s="1585" t="s">
        <v>673</v>
      </c>
      <c r="D137" s="319" t="s">
        <v>243</v>
      </c>
      <c r="E137" s="671" t="s">
        <v>674</v>
      </c>
      <c r="F137" s="1424" t="s">
        <v>2418</v>
      </c>
      <c r="G137" s="1554" t="s">
        <v>2413</v>
      </c>
      <c r="H137" s="299" t="s">
        <v>675</v>
      </c>
      <c r="I137" s="1575">
        <f>J137</f>
        <v>0.75</v>
      </c>
      <c r="J137" s="1549">
        <f>IF(F137="Muy alta",100%,IF(F137="Alta",75%,IF(F137="Media",50%,IF(F137="Baja",25%,0))))</f>
        <v>0.75</v>
      </c>
      <c r="K137" s="983"/>
    </row>
    <row r="138" spans="1:11" x14ac:dyDescent="0.2">
      <c r="A138" s="1593"/>
      <c r="B138" s="1595"/>
      <c r="C138" s="1586"/>
      <c r="D138" s="33" t="s">
        <v>245</v>
      </c>
      <c r="E138" s="672" t="s">
        <v>2418</v>
      </c>
      <c r="F138" s="1425"/>
      <c r="G138" s="1562"/>
      <c r="H138" s="204" t="s">
        <v>676</v>
      </c>
      <c r="I138" s="1588"/>
      <c r="J138" s="1550"/>
      <c r="K138" s="983"/>
    </row>
    <row r="139" spans="1:11" x14ac:dyDescent="0.2">
      <c r="A139" s="1593"/>
      <c r="B139" s="1595"/>
      <c r="C139" s="1586"/>
      <c r="D139" s="33" t="s">
        <v>246</v>
      </c>
      <c r="E139" s="672" t="s">
        <v>2419</v>
      </c>
      <c r="F139" s="1425"/>
      <c r="G139" s="1562"/>
      <c r="H139" s="204" t="s">
        <v>677</v>
      </c>
      <c r="I139" s="1588"/>
      <c r="J139" s="1550"/>
      <c r="K139" s="983"/>
    </row>
    <row r="140" spans="1:11" x14ac:dyDescent="0.2">
      <c r="A140" s="1593"/>
      <c r="B140" s="1595"/>
      <c r="C140" s="1586"/>
      <c r="D140" s="33" t="s">
        <v>248</v>
      </c>
      <c r="E140" s="672" t="s">
        <v>2420</v>
      </c>
      <c r="F140" s="1425"/>
      <c r="G140" s="1562"/>
      <c r="H140" s="204" t="s">
        <v>678</v>
      </c>
      <c r="I140" s="1588"/>
      <c r="J140" s="1550"/>
      <c r="K140" s="983"/>
    </row>
    <row r="141" spans="1:11" ht="12.75" thickBot="1" x14ac:dyDescent="0.25">
      <c r="A141" s="1593"/>
      <c r="B141" s="1595"/>
      <c r="C141" s="1587"/>
      <c r="D141" s="320" t="s">
        <v>250</v>
      </c>
      <c r="E141" s="673" t="s">
        <v>679</v>
      </c>
      <c r="F141" s="1426"/>
      <c r="G141" s="1555"/>
      <c r="H141" s="304" t="s">
        <v>680</v>
      </c>
      <c r="I141" s="1569"/>
      <c r="J141" s="1551"/>
      <c r="K141" s="983"/>
    </row>
    <row r="142" spans="1:11" x14ac:dyDescent="0.2">
      <c r="A142" s="1593"/>
      <c r="B142" s="1595"/>
      <c r="C142" s="1556" t="s">
        <v>681</v>
      </c>
      <c r="D142" s="321" t="s">
        <v>252</v>
      </c>
      <c r="E142" s="658" t="s">
        <v>682</v>
      </c>
      <c r="F142" s="327" t="s">
        <v>167</v>
      </c>
      <c r="G142" s="299">
        <v>1</v>
      </c>
      <c r="H142" s="1559" t="s">
        <v>2455</v>
      </c>
      <c r="I142" s="1554">
        <f>SUMIF(F142:F147,"x",G142:G147)</f>
        <v>1</v>
      </c>
      <c r="J142" s="1549">
        <f>I142/4</f>
        <v>0.25</v>
      </c>
      <c r="K142" s="983"/>
    </row>
    <row r="143" spans="1:11" x14ac:dyDescent="0.2">
      <c r="A143" s="1593"/>
      <c r="B143" s="1595"/>
      <c r="C143" s="1557"/>
      <c r="D143" s="32" t="s">
        <v>254</v>
      </c>
      <c r="E143" s="659" t="s">
        <v>581</v>
      </c>
      <c r="F143" s="193"/>
      <c r="G143" s="204">
        <v>1</v>
      </c>
      <c r="H143" s="1560"/>
      <c r="I143" s="1562"/>
      <c r="J143" s="1550"/>
      <c r="K143" s="1075"/>
    </row>
    <row r="144" spans="1:11" x14ac:dyDescent="0.2">
      <c r="A144" s="1593"/>
      <c r="B144" s="1595"/>
      <c r="C144" s="1557"/>
      <c r="D144" s="32" t="s">
        <v>255</v>
      </c>
      <c r="E144" s="659" t="s">
        <v>683</v>
      </c>
      <c r="F144" s="193"/>
      <c r="G144" s="204">
        <v>1</v>
      </c>
      <c r="H144" s="1560"/>
      <c r="I144" s="1562"/>
      <c r="J144" s="1550"/>
      <c r="K144" s="1075"/>
    </row>
    <row r="145" spans="1:11" x14ac:dyDescent="0.2">
      <c r="A145" s="1593"/>
      <c r="B145" s="1595"/>
      <c r="C145" s="1557"/>
      <c r="D145" s="32" t="s">
        <v>257</v>
      </c>
      <c r="E145" s="659" t="s">
        <v>684</v>
      </c>
      <c r="F145" s="193"/>
      <c r="G145" s="204">
        <v>1</v>
      </c>
      <c r="H145" s="1560"/>
      <c r="I145" s="1562"/>
      <c r="J145" s="1550"/>
      <c r="K145" s="1075"/>
    </row>
    <row r="146" spans="1:11" x14ac:dyDescent="0.2">
      <c r="A146" s="1593"/>
      <c r="B146" s="1595"/>
      <c r="C146" s="1557"/>
      <c r="D146" s="32" t="s">
        <v>259</v>
      </c>
      <c r="E146" s="659" t="s">
        <v>481</v>
      </c>
      <c r="F146" s="111"/>
      <c r="G146" s="204">
        <v>0</v>
      </c>
      <c r="H146" s="1560"/>
      <c r="I146" s="1562"/>
      <c r="J146" s="1550"/>
      <c r="K146" s="983"/>
    </row>
    <row r="147" spans="1:11" ht="12.75" thickBot="1" x14ac:dyDescent="0.25">
      <c r="A147" s="1593"/>
      <c r="B147" s="1595"/>
      <c r="C147" s="1558"/>
      <c r="D147" s="323" t="s">
        <v>261</v>
      </c>
      <c r="E147" s="660" t="s">
        <v>472</v>
      </c>
      <c r="F147" s="260"/>
      <c r="G147" s="304">
        <v>0</v>
      </c>
      <c r="H147" s="1561"/>
      <c r="I147" s="1555"/>
      <c r="J147" s="1551"/>
      <c r="K147" s="983"/>
    </row>
    <row r="148" spans="1:11" ht="15.75" x14ac:dyDescent="0.2">
      <c r="A148" s="1581" t="s">
        <v>2042</v>
      </c>
      <c r="B148" s="1590"/>
      <c r="C148" s="1591"/>
      <c r="D148" s="1591"/>
      <c r="E148" s="1591"/>
      <c r="F148" s="1591"/>
      <c r="G148" s="1591"/>
      <c r="H148" s="1591"/>
      <c r="I148" s="1591"/>
      <c r="J148" s="329">
        <f>(J113+J118+J131+J137+J142)/5</f>
        <v>0.75</v>
      </c>
      <c r="K148" s="984"/>
    </row>
    <row r="149" spans="1:11" ht="18.75" x14ac:dyDescent="0.2">
      <c r="A149" s="1592" t="s">
        <v>2045</v>
      </c>
      <c r="B149" s="1592"/>
      <c r="C149" s="1592"/>
      <c r="D149" s="1592"/>
      <c r="E149" s="1592"/>
      <c r="F149" s="1592"/>
      <c r="G149" s="1592"/>
      <c r="H149" s="1592" t="s">
        <v>2043</v>
      </c>
      <c r="I149" s="1592"/>
      <c r="J149" s="328">
        <f>IF(((J22*0.2)+(J50*0.2)+(J99*0.2)+(J112*0.2)+(J148*0.2))&gt;1,1,(J22*0.2)+(J50*0.2)+(J99*0.2)+(J112*0.2)+(J148*0.2))</f>
        <v>0.7364188034188035</v>
      </c>
      <c r="K149" s="984"/>
    </row>
    <row r="150" spans="1:11" ht="15" x14ac:dyDescent="0.2">
      <c r="J150" s="189"/>
    </row>
    <row r="152" spans="1:11" x14ac:dyDescent="0.2">
      <c r="A152" s="1547" t="s">
        <v>1964</v>
      </c>
      <c r="B152" s="1548"/>
      <c r="C152" s="1548"/>
      <c r="D152" s="1548"/>
    </row>
    <row r="153" spans="1:11" x14ac:dyDescent="0.2">
      <c r="A153" s="19"/>
      <c r="B153" s="1546" t="s">
        <v>2010</v>
      </c>
      <c r="C153" s="1546"/>
      <c r="D153" s="1546"/>
    </row>
    <row r="154" spans="1:11" x14ac:dyDescent="0.2">
      <c r="A154" s="20"/>
      <c r="B154" s="1546" t="s">
        <v>2011</v>
      </c>
      <c r="C154" s="1546"/>
      <c r="D154" s="1546"/>
    </row>
    <row r="155" spans="1:11" x14ac:dyDescent="0.2">
      <c r="A155" s="12"/>
      <c r="B155" s="1546" t="s">
        <v>2012</v>
      </c>
      <c r="C155" s="1546"/>
      <c r="D155" s="1546"/>
    </row>
    <row r="156" spans="1:11" x14ac:dyDescent="0.2">
      <c r="A156" s="4"/>
      <c r="B156" s="1546" t="s">
        <v>2044</v>
      </c>
      <c r="C156" s="1546"/>
      <c r="D156" s="1546"/>
    </row>
    <row r="158" spans="1:11" ht="12.75" thickBot="1" x14ac:dyDescent="0.25"/>
    <row r="159" spans="1:11" ht="15" customHeight="1" thickBot="1" x14ac:dyDescent="0.25">
      <c r="A159" s="1181" t="s">
        <v>2227</v>
      </c>
      <c r="B159" s="1182"/>
      <c r="C159" s="1182"/>
      <c r="D159" s="1183"/>
    </row>
    <row r="160" spans="1:11" ht="12" customHeight="1" thickBot="1" x14ac:dyDescent="0.25">
      <c r="A160" s="94" t="s">
        <v>2228</v>
      </c>
      <c r="B160" s="119" t="s">
        <v>2229</v>
      </c>
      <c r="C160" s="95" t="s">
        <v>2230</v>
      </c>
      <c r="D160" s="95" t="s">
        <v>2231</v>
      </c>
    </row>
    <row r="161" spans="1:4" ht="12" customHeight="1" thickBot="1" x14ac:dyDescent="0.25">
      <c r="A161" s="96">
        <v>1</v>
      </c>
      <c r="B161" s="97" t="s">
        <v>2232</v>
      </c>
      <c r="C161" s="97" t="s">
        <v>2233</v>
      </c>
      <c r="D161" s="98"/>
    </row>
    <row r="162" spans="1:4" ht="17.25" customHeight="1" thickBot="1" x14ac:dyDescent="0.25">
      <c r="A162" s="96">
        <v>2</v>
      </c>
      <c r="B162" s="97" t="s">
        <v>2234</v>
      </c>
      <c r="C162" s="97" t="s">
        <v>2235</v>
      </c>
      <c r="D162" s="99"/>
    </row>
    <row r="163" spans="1:4" ht="15.75" customHeight="1" thickBot="1" x14ac:dyDescent="0.25">
      <c r="A163" s="96">
        <v>3</v>
      </c>
      <c r="B163" s="97" t="s">
        <v>2236</v>
      </c>
      <c r="C163" s="97" t="s">
        <v>2237</v>
      </c>
      <c r="D163" s="100"/>
    </row>
    <row r="164" spans="1:4" ht="12.75" thickBot="1" x14ac:dyDescent="0.25">
      <c r="A164" s="96">
        <v>4</v>
      </c>
      <c r="B164" s="97" t="s">
        <v>2238</v>
      </c>
      <c r="C164" s="97" t="s">
        <v>2239</v>
      </c>
      <c r="D164" s="101"/>
    </row>
    <row r="165" spans="1:4" ht="13.5" customHeight="1" thickBot="1" x14ac:dyDescent="0.25">
      <c r="A165" s="96">
        <v>5</v>
      </c>
      <c r="B165" s="97" t="s">
        <v>2240</v>
      </c>
      <c r="C165" s="97" t="s">
        <v>2241</v>
      </c>
      <c r="D165" s="102"/>
    </row>
    <row r="167" spans="1:4" x14ac:dyDescent="0.2">
      <c r="A167" s="1547" t="s">
        <v>2288</v>
      </c>
      <c r="B167" s="1548"/>
      <c r="C167" s="1548"/>
      <c r="D167" s="1548"/>
    </row>
    <row r="168" spans="1:4" ht="38.25" customHeight="1" x14ac:dyDescent="0.2">
      <c r="A168" s="1393" t="s">
        <v>2056</v>
      </c>
      <c r="B168" s="1394"/>
      <c r="C168" s="1394"/>
      <c r="D168" s="1395"/>
    </row>
    <row r="169" spans="1:4" x14ac:dyDescent="0.2">
      <c r="A169" s="1430" t="s">
        <v>2036</v>
      </c>
      <c r="B169" s="1431"/>
      <c r="C169" s="1431"/>
      <c r="D169" s="1432"/>
    </row>
    <row r="170" spans="1:4" x14ac:dyDescent="0.2">
      <c r="A170" s="1430" t="s">
        <v>2057</v>
      </c>
      <c r="B170" s="1431"/>
      <c r="C170" s="1431"/>
      <c r="D170" s="1432"/>
    </row>
    <row r="171" spans="1:4" ht="45" customHeight="1" x14ac:dyDescent="0.2">
      <c r="A171" s="1393" t="s">
        <v>2058</v>
      </c>
      <c r="B171" s="1394"/>
      <c r="C171" s="1394"/>
      <c r="D171" s="1395"/>
    </row>
    <row r="172" spans="1:4" x14ac:dyDescent="0.2">
      <c r="A172" s="1427" t="s">
        <v>2059</v>
      </c>
      <c r="B172" s="1428"/>
      <c r="C172" s="1428"/>
      <c r="D172" s="1429"/>
    </row>
  </sheetData>
  <sheetProtection password="B860" sheet="1" objects="1" scenarios="1"/>
  <mergeCells count="106">
    <mergeCell ref="A159:D159"/>
    <mergeCell ref="A2:K2"/>
    <mergeCell ref="H142:H147"/>
    <mergeCell ref="I142:I147"/>
    <mergeCell ref="J131:J136"/>
    <mergeCell ref="C137:C141"/>
    <mergeCell ref="G137:G141"/>
    <mergeCell ref="J137:J141"/>
    <mergeCell ref="J142:J147"/>
    <mergeCell ref="J113:J117"/>
    <mergeCell ref="J118:J130"/>
    <mergeCell ref="C106:C111"/>
    <mergeCell ref="H106:H111"/>
    <mergeCell ref="I106:I111"/>
    <mergeCell ref="J106:J111"/>
    <mergeCell ref="A100:A112"/>
    <mergeCell ref="B100:B112"/>
    <mergeCell ref="A148:I148"/>
    <mergeCell ref="A149:G149"/>
    <mergeCell ref="H149:I149"/>
    <mergeCell ref="C131:C136"/>
    <mergeCell ref="I131:I136"/>
    <mergeCell ref="A113:A147"/>
    <mergeCell ref="B113:B147"/>
    <mergeCell ref="C142:C147"/>
    <mergeCell ref="C113:C117"/>
    <mergeCell ref="G113:G117"/>
    <mergeCell ref="C118:C130"/>
    <mergeCell ref="I118:I130"/>
    <mergeCell ref="F113:F117"/>
    <mergeCell ref="I113:I117"/>
    <mergeCell ref="F137:F141"/>
    <mergeCell ref="I137:I141"/>
    <mergeCell ref="H125:H126"/>
    <mergeCell ref="C112:I112"/>
    <mergeCell ref="J84:J91"/>
    <mergeCell ref="C92:C98"/>
    <mergeCell ref="H92:H98"/>
    <mergeCell ref="I92:I98"/>
    <mergeCell ref="J92:J98"/>
    <mergeCell ref="J100:J105"/>
    <mergeCell ref="C99:I99"/>
    <mergeCell ref="C100:C105"/>
    <mergeCell ref="H100:H105"/>
    <mergeCell ref="I100:I105"/>
    <mergeCell ref="A23:A50"/>
    <mergeCell ref="B23:B50"/>
    <mergeCell ref="C78:C83"/>
    <mergeCell ref="H78:H83"/>
    <mergeCell ref="I23:I36"/>
    <mergeCell ref="B51:B99"/>
    <mergeCell ref="I37:I47"/>
    <mergeCell ref="J51:J62"/>
    <mergeCell ref="J63:J77"/>
    <mergeCell ref="C23:C36"/>
    <mergeCell ref="C48:C49"/>
    <mergeCell ref="C37:C47"/>
    <mergeCell ref="J48:J49"/>
    <mergeCell ref="A1:K1"/>
    <mergeCell ref="A152:D152"/>
    <mergeCell ref="B153:D153"/>
    <mergeCell ref="B154:D154"/>
    <mergeCell ref="A4:A22"/>
    <mergeCell ref="H29:H30"/>
    <mergeCell ref="H41:H42"/>
    <mergeCell ref="G48:G49"/>
    <mergeCell ref="I48:I49"/>
    <mergeCell ref="F48:F49"/>
    <mergeCell ref="H56:H57"/>
    <mergeCell ref="H70:H71"/>
    <mergeCell ref="I4:I15"/>
    <mergeCell ref="C22:I22"/>
    <mergeCell ref="I78:I83"/>
    <mergeCell ref="J78:J83"/>
    <mergeCell ref="C84:C91"/>
    <mergeCell ref="H84:H91"/>
    <mergeCell ref="I84:I91"/>
    <mergeCell ref="A51:A99"/>
    <mergeCell ref="C63:C77"/>
    <mergeCell ref="I63:I77"/>
    <mergeCell ref="C50:I50"/>
    <mergeCell ref="C51:C62"/>
    <mergeCell ref="B156:D156"/>
    <mergeCell ref="A167:D167"/>
    <mergeCell ref="A171:D171"/>
    <mergeCell ref="A172:D172"/>
    <mergeCell ref="A168:D168"/>
    <mergeCell ref="A169:D169"/>
    <mergeCell ref="A170:D170"/>
    <mergeCell ref="B155:D155"/>
    <mergeCell ref="J4:J15"/>
    <mergeCell ref="C16:C17"/>
    <mergeCell ref="G16:G17"/>
    <mergeCell ref="J16:J17"/>
    <mergeCell ref="C18:C21"/>
    <mergeCell ref="H18:H21"/>
    <mergeCell ref="I18:I21"/>
    <mergeCell ref="J18:J21"/>
    <mergeCell ref="B4:B22"/>
    <mergeCell ref="C4:C15"/>
    <mergeCell ref="J23:J36"/>
    <mergeCell ref="J37:J47"/>
    <mergeCell ref="H9:H10"/>
    <mergeCell ref="F16:F17"/>
    <mergeCell ref="I16:I17"/>
    <mergeCell ref="I51:I62"/>
  </mergeCells>
  <conditionalFormatting sqref="J22 J50 J99 J112 J148:J149">
    <cfRule type="cellIs" dxfId="74" priority="21" operator="between">
      <formula>0.9</formula>
      <formula>1</formula>
    </cfRule>
    <cfRule type="cellIs" dxfId="73" priority="22" operator="between">
      <formula>0.75</formula>
      <formula>0.899</formula>
    </cfRule>
    <cfRule type="cellIs" dxfId="72" priority="23" operator="between">
      <formula>0.6</formula>
      <formula>0.749</formula>
    </cfRule>
    <cfRule type="cellIs" dxfId="71" priority="24" operator="between">
      <formula>0.41</formula>
      <formula>0.599</formula>
    </cfRule>
    <cfRule type="cellIs" dxfId="70" priority="25" operator="between">
      <formula>0</formula>
      <formula>0.4</formula>
    </cfRule>
  </conditionalFormatting>
  <dataValidations count="3">
    <dataValidation type="list" allowBlank="1" showInputMessage="1" showErrorMessage="1" sqref="F16:F17 F48:F49">
      <formula1>$E$16:$E$17</formula1>
    </dataValidation>
    <dataValidation type="list" allowBlank="1" showInputMessage="1" showErrorMessage="1" sqref="F113:F117">
      <formula1>$E$113:$E$117</formula1>
    </dataValidation>
    <dataValidation type="list" allowBlank="1" showInputMessage="1" showErrorMessage="1" sqref="F137:F141">
      <formula1>$E$137:$E$141</formula1>
    </dataValidation>
  </dataValidations>
  <hyperlinks>
    <hyperlink ref="A169:D169" r:id="rId1" display="http://estrategia.gobiernoenlinea.gov.co/623/articles-8250_Guiainnovacion.pdf"/>
    <hyperlink ref="A170:D170" r:id="rId2" display="http://estrategia.gobiernoenlinea.gov.co/623/articles-8248_Guia_Apertura_Datos.pdf "/>
    <hyperlink ref="A172:D172" r:id="rId3" display="http://www.funcionpublica.gov.co/documents/418537/9865585/Instructivo_ingreso_y_diligenciamineto_FURAG.pdf/fb25ad16-ce84-49ca-97f0-558a7b72cdcc "/>
    <hyperlink ref="K16" r:id="rId4"/>
  </hyperlinks>
  <pageMargins left="0.7" right="0.7" top="0.75" bottom="0.75" header="0.3" footer="0.3"/>
  <pageSetup orientation="portrait" r:id="rId5"/>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9" tint="0.59999389629810485"/>
  </sheetPr>
  <dimension ref="A1:K123"/>
  <sheetViews>
    <sheetView showGridLines="0" zoomScaleNormal="100" workbookViewId="0">
      <selection activeCell="J93" sqref="J93"/>
    </sheetView>
  </sheetViews>
  <sheetFormatPr baseColWidth="10" defaultRowHeight="12" x14ac:dyDescent="0.2"/>
  <cols>
    <col min="1" max="1" width="27.42578125" style="10" customWidth="1"/>
    <col min="2" max="2" width="14.42578125" style="10" customWidth="1"/>
    <col min="3" max="3" width="38.85546875" style="10" customWidth="1"/>
    <col min="4" max="4" width="11.42578125" style="10"/>
    <col min="5" max="5" width="32.42578125" style="10" customWidth="1"/>
    <col min="6" max="6" width="16.140625" style="10" bestFit="1" customWidth="1"/>
    <col min="7" max="7" width="18" style="10" customWidth="1"/>
    <col min="8" max="8" width="21.140625" style="10" customWidth="1"/>
    <col min="9" max="9" width="14.42578125" style="41" customWidth="1"/>
    <col min="10" max="10" width="51.5703125" style="10" customWidth="1"/>
    <col min="11" max="16384" width="11.42578125" style="10"/>
  </cols>
  <sheetData>
    <row r="1" spans="1:10" ht="18" customHeight="1" x14ac:dyDescent="0.2">
      <c r="A1" s="1570" t="s">
        <v>1995</v>
      </c>
      <c r="B1" s="1570"/>
      <c r="C1" s="1570"/>
      <c r="D1" s="1570"/>
      <c r="E1" s="1570"/>
      <c r="F1" s="1570"/>
      <c r="G1" s="1570"/>
      <c r="H1" s="1570"/>
      <c r="I1" s="1570"/>
      <c r="J1" s="1570"/>
    </row>
    <row r="2" spans="1:10" ht="24" customHeight="1" x14ac:dyDescent="0.2">
      <c r="A2" s="1617" t="s">
        <v>2053</v>
      </c>
      <c r="B2" s="1617"/>
      <c r="C2" s="1617"/>
      <c r="D2" s="1617"/>
      <c r="E2" s="1617"/>
      <c r="F2" s="1617"/>
      <c r="G2" s="1617"/>
      <c r="H2" s="1617"/>
      <c r="I2" s="1617"/>
      <c r="J2" s="1617"/>
    </row>
    <row r="3" spans="1:10" ht="102" customHeight="1" thickBot="1" x14ac:dyDescent="0.25">
      <c r="A3" s="28" t="s">
        <v>685</v>
      </c>
      <c r="B3" s="28" t="s">
        <v>686</v>
      </c>
      <c r="C3" s="295" t="s">
        <v>172</v>
      </c>
      <c r="D3" s="295" t="s">
        <v>1998</v>
      </c>
      <c r="E3" s="331" t="s">
        <v>687</v>
      </c>
      <c r="F3" s="295" t="s">
        <v>173</v>
      </c>
      <c r="G3" s="295" t="s">
        <v>78</v>
      </c>
      <c r="H3" s="295" t="s">
        <v>688</v>
      </c>
      <c r="I3" s="296" t="s">
        <v>4</v>
      </c>
      <c r="J3" s="295" t="s">
        <v>1907</v>
      </c>
    </row>
    <row r="4" spans="1:10" ht="25.5" customHeight="1" x14ac:dyDescent="0.2">
      <c r="A4" s="1596" t="s">
        <v>689</v>
      </c>
      <c r="B4" s="1605">
        <v>0.15</v>
      </c>
      <c r="C4" s="1552" t="s">
        <v>690</v>
      </c>
      <c r="D4" s="316" t="s">
        <v>82</v>
      </c>
      <c r="E4" s="653" t="s">
        <v>388</v>
      </c>
      <c r="F4" s="332">
        <v>0.125</v>
      </c>
      <c r="G4" s="1620" t="s">
        <v>388</v>
      </c>
      <c r="H4" s="343"/>
      <c r="I4" s="1618">
        <f>IF(G4="Si",12.5%,IF(G4="No",0,0))</f>
        <v>0.125</v>
      </c>
      <c r="J4" s="999"/>
    </row>
    <row r="5" spans="1:10" ht="25.5" customHeight="1" thickBot="1" x14ac:dyDescent="0.25">
      <c r="A5" s="1597"/>
      <c r="B5" s="1606"/>
      <c r="C5" s="1553"/>
      <c r="D5" s="317" t="s">
        <v>84</v>
      </c>
      <c r="E5" s="654" t="s">
        <v>693</v>
      </c>
      <c r="F5" s="333">
        <v>0</v>
      </c>
      <c r="G5" s="1621"/>
      <c r="H5" s="344"/>
      <c r="I5" s="1619"/>
      <c r="J5" s="999"/>
    </row>
    <row r="6" spans="1:10" ht="39.75" customHeight="1" x14ac:dyDescent="0.2">
      <c r="A6" s="1597"/>
      <c r="B6" s="1606"/>
      <c r="C6" s="1600" t="s">
        <v>694</v>
      </c>
      <c r="D6" s="335" t="s">
        <v>82</v>
      </c>
      <c r="E6" s="674" t="s">
        <v>691</v>
      </c>
      <c r="F6" s="332">
        <v>0.125</v>
      </c>
      <c r="G6" s="1620" t="s">
        <v>388</v>
      </c>
      <c r="H6" s="344"/>
      <c r="I6" s="1618">
        <f t="shared" ref="I6" si="0">IF(G6="Si",12.5%,IF(G6="No",0,0))</f>
        <v>0.125</v>
      </c>
      <c r="J6" s="1000"/>
    </row>
    <row r="7" spans="1:10" ht="39.75" customHeight="1" thickBot="1" x14ac:dyDescent="0.25">
      <c r="A7" s="1597"/>
      <c r="B7" s="1606"/>
      <c r="C7" s="1601"/>
      <c r="D7" s="337" t="s">
        <v>84</v>
      </c>
      <c r="E7" s="675" t="s">
        <v>693</v>
      </c>
      <c r="F7" s="333">
        <v>0</v>
      </c>
      <c r="G7" s="1621"/>
      <c r="H7" s="344"/>
      <c r="I7" s="1619"/>
      <c r="J7" s="1000"/>
    </row>
    <row r="8" spans="1:10" ht="28.5" customHeight="1" x14ac:dyDescent="0.2">
      <c r="A8" s="1597"/>
      <c r="B8" s="1606"/>
      <c r="C8" s="1552" t="s">
        <v>695</v>
      </c>
      <c r="D8" s="338" t="s">
        <v>82</v>
      </c>
      <c r="E8" s="653" t="s">
        <v>691</v>
      </c>
      <c r="F8" s="332">
        <v>0.125</v>
      </c>
      <c r="G8" s="1620" t="s">
        <v>388</v>
      </c>
      <c r="H8" s="344"/>
      <c r="I8" s="1618">
        <f t="shared" ref="I8" si="1">IF(G8="Si",12.5%,IF(G8="No",0,0))</f>
        <v>0.125</v>
      </c>
      <c r="J8" s="1000"/>
    </row>
    <row r="9" spans="1:10" ht="35.25" customHeight="1" thickBot="1" x14ac:dyDescent="0.25">
      <c r="A9" s="1597"/>
      <c r="B9" s="1606"/>
      <c r="C9" s="1553"/>
      <c r="D9" s="339" t="s">
        <v>84</v>
      </c>
      <c r="E9" s="654" t="s">
        <v>693</v>
      </c>
      <c r="F9" s="333">
        <v>0</v>
      </c>
      <c r="G9" s="1621"/>
      <c r="H9" s="344"/>
      <c r="I9" s="1619"/>
      <c r="J9" s="1000"/>
    </row>
    <row r="10" spans="1:10" ht="27" customHeight="1" x14ac:dyDescent="0.2">
      <c r="A10" s="1597"/>
      <c r="B10" s="1606"/>
      <c r="C10" s="1600" t="s">
        <v>696</v>
      </c>
      <c r="D10" s="335" t="s">
        <v>82</v>
      </c>
      <c r="E10" s="674" t="s">
        <v>691</v>
      </c>
      <c r="F10" s="332">
        <v>0.125</v>
      </c>
      <c r="G10" s="1620" t="s">
        <v>693</v>
      </c>
      <c r="H10" s="344"/>
      <c r="I10" s="1618">
        <f t="shared" ref="I10" si="2">IF(G10="Si",12.5%,IF(G10="No",0,0))</f>
        <v>0</v>
      </c>
      <c r="J10" s="1000"/>
    </row>
    <row r="11" spans="1:10" ht="28.5" customHeight="1" thickBot="1" x14ac:dyDescent="0.25">
      <c r="A11" s="1597"/>
      <c r="B11" s="1606"/>
      <c r="C11" s="1601"/>
      <c r="D11" s="337" t="s">
        <v>84</v>
      </c>
      <c r="E11" s="675" t="s">
        <v>693</v>
      </c>
      <c r="F11" s="333">
        <v>0</v>
      </c>
      <c r="G11" s="1621"/>
      <c r="H11" s="345" t="s">
        <v>692</v>
      </c>
      <c r="I11" s="1619"/>
      <c r="J11" s="1000"/>
    </row>
    <row r="12" spans="1:10" ht="31.5" customHeight="1" x14ac:dyDescent="0.2">
      <c r="A12" s="1597"/>
      <c r="B12" s="1606"/>
      <c r="C12" s="1552" t="s">
        <v>697</v>
      </c>
      <c r="D12" s="338" t="s">
        <v>82</v>
      </c>
      <c r="E12" s="653" t="s">
        <v>691</v>
      </c>
      <c r="F12" s="332">
        <v>0.125</v>
      </c>
      <c r="G12" s="1620" t="s">
        <v>388</v>
      </c>
      <c r="H12" s="344"/>
      <c r="I12" s="1618">
        <f t="shared" ref="I12" si="3">IF(G12="Si",12.5%,IF(G12="No",0,0))</f>
        <v>0.125</v>
      </c>
      <c r="J12" s="1000"/>
    </row>
    <row r="13" spans="1:10" ht="24.75" customHeight="1" thickBot="1" x14ac:dyDescent="0.25">
      <c r="A13" s="1597"/>
      <c r="B13" s="1606"/>
      <c r="C13" s="1553"/>
      <c r="D13" s="339" t="s">
        <v>84</v>
      </c>
      <c r="E13" s="654" t="s">
        <v>693</v>
      </c>
      <c r="F13" s="333">
        <v>0</v>
      </c>
      <c r="G13" s="1621"/>
      <c r="H13" s="344"/>
      <c r="I13" s="1619"/>
      <c r="J13" s="1000"/>
    </row>
    <row r="14" spans="1:10" ht="21.75" customHeight="1" x14ac:dyDescent="0.2">
      <c r="A14" s="1597"/>
      <c r="B14" s="1606"/>
      <c r="C14" s="1600" t="s">
        <v>698</v>
      </c>
      <c r="D14" s="340" t="s">
        <v>82</v>
      </c>
      <c r="E14" s="674" t="s">
        <v>388</v>
      </c>
      <c r="F14" s="332">
        <v>0.125</v>
      </c>
      <c r="G14" s="1620" t="s">
        <v>693</v>
      </c>
      <c r="H14" s="344"/>
      <c r="I14" s="1618">
        <f t="shared" ref="I14" si="4">IF(G14="Si",12.5%,IF(G14="No",0,0))</f>
        <v>0</v>
      </c>
      <c r="J14" s="1000"/>
    </row>
    <row r="15" spans="1:10" ht="18.75" customHeight="1" thickBot="1" x14ac:dyDescent="0.25">
      <c r="A15" s="1597"/>
      <c r="B15" s="1606"/>
      <c r="C15" s="1601"/>
      <c r="D15" s="341" t="s">
        <v>84</v>
      </c>
      <c r="E15" s="675" t="s">
        <v>693</v>
      </c>
      <c r="F15" s="342">
        <v>0</v>
      </c>
      <c r="G15" s="1621"/>
      <c r="H15" s="344"/>
      <c r="I15" s="1619"/>
      <c r="J15" s="1000"/>
    </row>
    <row r="16" spans="1:10" ht="24" customHeight="1" x14ac:dyDescent="0.2">
      <c r="A16" s="1597"/>
      <c r="B16" s="1606"/>
      <c r="C16" s="1552" t="s">
        <v>699</v>
      </c>
      <c r="D16" s="316" t="s">
        <v>82</v>
      </c>
      <c r="E16" s="653" t="s">
        <v>83</v>
      </c>
      <c r="F16" s="332">
        <v>0.125</v>
      </c>
      <c r="G16" s="1620" t="s">
        <v>693</v>
      </c>
      <c r="H16" s="344"/>
      <c r="I16" s="1618">
        <f t="shared" ref="I16" si="5">IF(G16="Si",12.5%,IF(G16="No",0,0))</f>
        <v>0</v>
      </c>
      <c r="J16" s="1000"/>
    </row>
    <row r="17" spans="1:10" ht="13.5" customHeight="1" thickBot="1" x14ac:dyDescent="0.25">
      <c r="A17" s="1597"/>
      <c r="B17" s="1606"/>
      <c r="C17" s="1553"/>
      <c r="D17" s="317" t="s">
        <v>84</v>
      </c>
      <c r="E17" s="654" t="s">
        <v>85</v>
      </c>
      <c r="F17" s="342">
        <v>0</v>
      </c>
      <c r="G17" s="1621"/>
      <c r="H17" s="344"/>
      <c r="I17" s="1619"/>
      <c r="J17" s="1000"/>
    </row>
    <row r="18" spans="1:10" ht="42" customHeight="1" x14ac:dyDescent="0.2">
      <c r="A18" s="1597"/>
      <c r="B18" s="1606"/>
      <c r="C18" s="1600" t="s">
        <v>700</v>
      </c>
      <c r="D18" s="340" t="s">
        <v>82</v>
      </c>
      <c r="E18" s="674" t="s">
        <v>83</v>
      </c>
      <c r="F18" s="332">
        <v>0.125</v>
      </c>
      <c r="G18" s="1620" t="s">
        <v>388</v>
      </c>
      <c r="H18" s="344"/>
      <c r="I18" s="1618">
        <f t="shared" ref="I18" si="6">IF(G18="Si",12.5%,IF(G18="No",0,0))</f>
        <v>0.125</v>
      </c>
      <c r="J18" s="1000"/>
    </row>
    <row r="19" spans="1:10" ht="16.5" customHeight="1" thickBot="1" x14ac:dyDescent="0.25">
      <c r="A19" s="1597"/>
      <c r="B19" s="1606"/>
      <c r="C19" s="1601"/>
      <c r="D19" s="341" t="s">
        <v>84</v>
      </c>
      <c r="E19" s="675" t="s">
        <v>85</v>
      </c>
      <c r="F19" s="342">
        <v>0</v>
      </c>
      <c r="G19" s="1621"/>
      <c r="H19" s="346"/>
      <c r="I19" s="1619"/>
      <c r="J19" s="1000"/>
    </row>
    <row r="20" spans="1:10" ht="16.5" thickBot="1" x14ac:dyDescent="0.25">
      <c r="A20" s="1598"/>
      <c r="B20" s="1607"/>
      <c r="C20" s="1577" t="s">
        <v>2046</v>
      </c>
      <c r="D20" s="1577"/>
      <c r="E20" s="1577"/>
      <c r="F20" s="1577"/>
      <c r="G20" s="1577"/>
      <c r="H20" s="1577"/>
      <c r="I20" s="986">
        <f>SUM(I4:I19)</f>
        <v>0.625</v>
      </c>
      <c r="J20" s="1000"/>
    </row>
    <row r="21" spans="1:10" ht="22.5" customHeight="1" x14ac:dyDescent="0.2">
      <c r="A21" s="1596" t="s">
        <v>701</v>
      </c>
      <c r="B21" s="1605">
        <v>0.25</v>
      </c>
      <c r="C21" s="1552" t="s">
        <v>702</v>
      </c>
      <c r="D21" s="338" t="s">
        <v>82</v>
      </c>
      <c r="E21" s="653" t="s">
        <v>691</v>
      </c>
      <c r="F21" s="347">
        <v>0.25</v>
      </c>
      <c r="G21" s="1265" t="s">
        <v>693</v>
      </c>
      <c r="H21" s="336"/>
      <c r="I21" s="1622">
        <f>IF(G21="Si",25%,IF(G21="No",0,0))</f>
        <v>0</v>
      </c>
      <c r="J21" s="1000"/>
    </row>
    <row r="22" spans="1:10" ht="24" customHeight="1" thickBot="1" x14ac:dyDescent="0.25">
      <c r="A22" s="1597"/>
      <c r="B22" s="1606"/>
      <c r="C22" s="1553"/>
      <c r="D22" s="339" t="s">
        <v>84</v>
      </c>
      <c r="E22" s="654" t="s">
        <v>93</v>
      </c>
      <c r="F22" s="348">
        <v>0</v>
      </c>
      <c r="G22" s="1621"/>
      <c r="H22" s="344"/>
      <c r="I22" s="1623"/>
      <c r="J22" s="1000"/>
    </row>
    <row r="23" spans="1:10" ht="12" customHeight="1" x14ac:dyDescent="0.2">
      <c r="A23" s="1597"/>
      <c r="B23" s="1606"/>
      <c r="C23" s="1602" t="s">
        <v>704</v>
      </c>
      <c r="D23" s="349" t="s">
        <v>86</v>
      </c>
      <c r="E23" s="957" t="s">
        <v>705</v>
      </c>
      <c r="F23" s="350">
        <v>1.66E-2</v>
      </c>
      <c r="G23" s="356" t="s">
        <v>167</v>
      </c>
      <c r="H23" s="344"/>
      <c r="I23" s="987">
        <f>IF(G23="x",1.66%,"0")</f>
        <v>1.66E-2</v>
      </c>
      <c r="J23" s="1000"/>
    </row>
    <row r="24" spans="1:10" x14ac:dyDescent="0.2">
      <c r="A24" s="1597"/>
      <c r="B24" s="1606"/>
      <c r="C24" s="1603"/>
      <c r="D24" s="13" t="s">
        <v>87</v>
      </c>
      <c r="E24" s="958" t="s">
        <v>706</v>
      </c>
      <c r="F24" s="34">
        <v>1.66E-2</v>
      </c>
      <c r="G24" s="358"/>
      <c r="H24" s="344"/>
      <c r="I24" s="988" t="str">
        <f t="shared" ref="I24:I37" si="7">IF(G24="x",1.66%,"0")</f>
        <v>0</v>
      </c>
      <c r="J24" s="1000"/>
    </row>
    <row r="25" spans="1:10" ht="24" x14ac:dyDescent="0.2">
      <c r="A25" s="1597"/>
      <c r="B25" s="1606"/>
      <c r="C25" s="1603"/>
      <c r="D25" s="13" t="s">
        <v>95</v>
      </c>
      <c r="E25" s="958" t="s">
        <v>707</v>
      </c>
      <c r="F25" s="34">
        <v>1.66E-2</v>
      </c>
      <c r="G25" s="358"/>
      <c r="H25" s="344"/>
      <c r="I25" s="988" t="str">
        <f t="shared" si="7"/>
        <v>0</v>
      </c>
      <c r="J25" s="1000"/>
    </row>
    <row r="26" spans="1:10" ht="24" x14ac:dyDescent="0.2">
      <c r="A26" s="1597"/>
      <c r="B26" s="1606"/>
      <c r="C26" s="1603"/>
      <c r="D26" s="13" t="s">
        <v>97</v>
      </c>
      <c r="E26" s="958" t="s">
        <v>708</v>
      </c>
      <c r="F26" s="34">
        <v>1.66E-2</v>
      </c>
      <c r="G26" s="358" t="s">
        <v>167</v>
      </c>
      <c r="H26" s="344"/>
      <c r="I26" s="988">
        <f t="shared" si="7"/>
        <v>1.66E-2</v>
      </c>
      <c r="J26" s="1000"/>
    </row>
    <row r="27" spans="1:10" x14ac:dyDescent="0.2">
      <c r="A27" s="1597"/>
      <c r="B27" s="1606"/>
      <c r="C27" s="1603"/>
      <c r="D27" s="13" t="s">
        <v>99</v>
      </c>
      <c r="E27" s="958" t="s">
        <v>709</v>
      </c>
      <c r="F27" s="34">
        <v>1.66E-2</v>
      </c>
      <c r="G27" s="358"/>
      <c r="H27" s="344"/>
      <c r="I27" s="988" t="str">
        <f t="shared" si="7"/>
        <v>0</v>
      </c>
      <c r="J27" s="1000"/>
    </row>
    <row r="28" spans="1:10" x14ac:dyDescent="0.2">
      <c r="A28" s="1597"/>
      <c r="B28" s="1606"/>
      <c r="C28" s="1603"/>
      <c r="D28" s="13" t="s">
        <v>101</v>
      </c>
      <c r="E28" s="958" t="s">
        <v>710</v>
      </c>
      <c r="F28" s="34">
        <v>1.66E-2</v>
      </c>
      <c r="G28" s="358" t="s">
        <v>167</v>
      </c>
      <c r="H28" s="344"/>
      <c r="I28" s="988">
        <f t="shared" si="7"/>
        <v>1.66E-2</v>
      </c>
      <c r="J28" s="1000"/>
    </row>
    <row r="29" spans="1:10" x14ac:dyDescent="0.2">
      <c r="A29" s="1597"/>
      <c r="B29" s="1606"/>
      <c r="C29" s="1603"/>
      <c r="D29" s="13" t="s">
        <v>103</v>
      </c>
      <c r="E29" s="958" t="s">
        <v>711</v>
      </c>
      <c r="F29" s="34">
        <v>1.66E-2</v>
      </c>
      <c r="G29" s="358" t="s">
        <v>167</v>
      </c>
      <c r="H29" s="344"/>
      <c r="I29" s="988">
        <f t="shared" si="7"/>
        <v>1.66E-2</v>
      </c>
      <c r="J29" s="1000"/>
    </row>
    <row r="30" spans="1:10" x14ac:dyDescent="0.2">
      <c r="A30" s="1597"/>
      <c r="B30" s="1606"/>
      <c r="C30" s="1603"/>
      <c r="D30" s="13" t="s">
        <v>151</v>
      </c>
      <c r="E30" s="958" t="s">
        <v>712</v>
      </c>
      <c r="F30" s="34">
        <v>1.66E-2</v>
      </c>
      <c r="G30" s="358"/>
      <c r="H30" s="345" t="s">
        <v>703</v>
      </c>
      <c r="I30" s="988" t="str">
        <f t="shared" si="7"/>
        <v>0</v>
      </c>
      <c r="J30" s="1000"/>
    </row>
    <row r="31" spans="1:10" x14ac:dyDescent="0.2">
      <c r="A31" s="1597"/>
      <c r="B31" s="1606"/>
      <c r="C31" s="1603"/>
      <c r="D31" s="13" t="s">
        <v>152</v>
      </c>
      <c r="E31" s="958" t="s">
        <v>713</v>
      </c>
      <c r="F31" s="34">
        <v>1.66E-2</v>
      </c>
      <c r="G31" s="358" t="s">
        <v>167</v>
      </c>
      <c r="H31" s="344"/>
      <c r="I31" s="988">
        <f t="shared" si="7"/>
        <v>1.66E-2</v>
      </c>
      <c r="J31" s="1000"/>
    </row>
    <row r="32" spans="1:10" x14ac:dyDescent="0.2">
      <c r="A32" s="1597"/>
      <c r="B32" s="1606"/>
      <c r="C32" s="1603"/>
      <c r="D32" s="13" t="s">
        <v>218</v>
      </c>
      <c r="E32" s="958" t="s">
        <v>714</v>
      </c>
      <c r="F32" s="34">
        <v>1.66E-2</v>
      </c>
      <c r="G32" s="358" t="s">
        <v>167</v>
      </c>
      <c r="H32" s="344"/>
      <c r="I32" s="988">
        <f t="shared" si="7"/>
        <v>1.66E-2</v>
      </c>
      <c r="J32" s="1000"/>
    </row>
    <row r="33" spans="1:10" x14ac:dyDescent="0.2">
      <c r="A33" s="1597"/>
      <c r="B33" s="1606"/>
      <c r="C33" s="1603"/>
      <c r="D33" s="13" t="s">
        <v>220</v>
      </c>
      <c r="E33" s="958" t="s">
        <v>715</v>
      </c>
      <c r="F33" s="34">
        <v>1.66E-2</v>
      </c>
      <c r="G33" s="358" t="s">
        <v>167</v>
      </c>
      <c r="H33" s="344"/>
      <c r="I33" s="988">
        <f t="shared" si="7"/>
        <v>1.66E-2</v>
      </c>
      <c r="J33" s="1000"/>
    </row>
    <row r="34" spans="1:10" x14ac:dyDescent="0.2">
      <c r="A34" s="1597"/>
      <c r="B34" s="1606"/>
      <c r="C34" s="1603"/>
      <c r="D34" s="13" t="s">
        <v>222</v>
      </c>
      <c r="E34" s="958" t="s">
        <v>628</v>
      </c>
      <c r="F34" s="34">
        <v>1.66E-2</v>
      </c>
      <c r="G34" s="358" t="s">
        <v>167</v>
      </c>
      <c r="H34" s="344"/>
      <c r="I34" s="988">
        <f t="shared" si="7"/>
        <v>1.66E-2</v>
      </c>
      <c r="J34" s="1000"/>
    </row>
    <row r="35" spans="1:10" x14ac:dyDescent="0.2">
      <c r="A35" s="1597"/>
      <c r="B35" s="1606"/>
      <c r="C35" s="1603"/>
      <c r="D35" s="13" t="s">
        <v>224</v>
      </c>
      <c r="E35" s="958" t="s">
        <v>490</v>
      </c>
      <c r="F35" s="34">
        <v>1.66E-2</v>
      </c>
      <c r="G35" s="358" t="s">
        <v>167</v>
      </c>
      <c r="H35" s="344"/>
      <c r="I35" s="988">
        <f t="shared" si="7"/>
        <v>1.66E-2</v>
      </c>
      <c r="J35" s="1000"/>
    </row>
    <row r="36" spans="1:10" x14ac:dyDescent="0.2">
      <c r="A36" s="1597"/>
      <c r="B36" s="1606"/>
      <c r="C36" s="1603"/>
      <c r="D36" s="13" t="s">
        <v>226</v>
      </c>
      <c r="E36" s="958" t="s">
        <v>682</v>
      </c>
      <c r="F36" s="34">
        <v>1.66E-2</v>
      </c>
      <c r="G36" s="358" t="s">
        <v>167</v>
      </c>
      <c r="H36" s="344"/>
      <c r="I36" s="988">
        <f t="shared" si="7"/>
        <v>1.66E-2</v>
      </c>
      <c r="J36" s="1000"/>
    </row>
    <row r="37" spans="1:10" x14ac:dyDescent="0.2">
      <c r="A37" s="1597"/>
      <c r="B37" s="1606"/>
      <c r="C37" s="1603"/>
      <c r="D37" s="15" t="s">
        <v>228</v>
      </c>
      <c r="E37" s="958" t="s">
        <v>716</v>
      </c>
      <c r="F37" s="34">
        <v>1.66E-2</v>
      </c>
      <c r="G37" s="358" t="s">
        <v>2785</v>
      </c>
      <c r="H37" s="344"/>
      <c r="I37" s="988">
        <f t="shared" si="7"/>
        <v>1.66E-2</v>
      </c>
      <c r="J37" s="1000"/>
    </row>
    <row r="38" spans="1:10" x14ac:dyDescent="0.2">
      <c r="A38" s="1597"/>
      <c r="B38" s="1606"/>
      <c r="C38" s="1603"/>
      <c r="D38" s="13" t="s">
        <v>230</v>
      </c>
      <c r="E38" s="958" t="s">
        <v>717</v>
      </c>
      <c r="F38" s="25">
        <v>0</v>
      </c>
      <c r="G38" s="358"/>
      <c r="H38" s="344"/>
      <c r="I38" s="989" t="str">
        <f>IF(G38="x",0,"0")</f>
        <v>0</v>
      </c>
      <c r="J38" s="1000"/>
    </row>
    <row r="39" spans="1:10" ht="12.75" thickBot="1" x14ac:dyDescent="0.25">
      <c r="A39" s="1597"/>
      <c r="B39" s="1606"/>
      <c r="C39" s="1604"/>
      <c r="D39" s="351" t="s">
        <v>232</v>
      </c>
      <c r="E39" s="959" t="s">
        <v>718</v>
      </c>
      <c r="F39" s="352">
        <v>0</v>
      </c>
      <c r="G39" s="359"/>
      <c r="H39" s="344"/>
      <c r="I39" s="990" t="str">
        <f>IF(G39="x",0,"0")</f>
        <v>0</v>
      </c>
      <c r="J39" s="1000"/>
    </row>
    <row r="40" spans="1:10" ht="23.25" customHeight="1" x14ac:dyDescent="0.2">
      <c r="A40" s="1597"/>
      <c r="B40" s="1606"/>
      <c r="C40" s="1552" t="s">
        <v>719</v>
      </c>
      <c r="D40" s="316" t="s">
        <v>234</v>
      </c>
      <c r="E40" s="653" t="s">
        <v>720</v>
      </c>
      <c r="F40" s="353">
        <v>0.2</v>
      </c>
      <c r="G40" s="1620" t="s">
        <v>388</v>
      </c>
      <c r="H40" s="344"/>
      <c r="I40" s="1624">
        <f>IF(G40="Si",20%,IF(G40="No",0,0))</f>
        <v>0.2</v>
      </c>
      <c r="J40" s="1000"/>
    </row>
    <row r="41" spans="1:10" ht="23.25" customHeight="1" thickBot="1" x14ac:dyDescent="0.25">
      <c r="A41" s="1597"/>
      <c r="B41" s="1606"/>
      <c r="C41" s="1553"/>
      <c r="D41" s="317" t="s">
        <v>236</v>
      </c>
      <c r="E41" s="654" t="s">
        <v>693</v>
      </c>
      <c r="F41" s="354">
        <v>0</v>
      </c>
      <c r="G41" s="1621"/>
      <c r="H41" s="344"/>
      <c r="I41" s="1623"/>
      <c r="J41" s="1000"/>
    </row>
    <row r="42" spans="1:10" ht="18" customHeight="1" x14ac:dyDescent="0.2">
      <c r="A42" s="1597"/>
      <c r="B42" s="1606"/>
      <c r="C42" s="1600" t="s">
        <v>721</v>
      </c>
      <c r="D42" s="340" t="s">
        <v>238</v>
      </c>
      <c r="E42" s="674" t="s">
        <v>461</v>
      </c>
      <c r="F42" s="353">
        <v>0.1</v>
      </c>
      <c r="G42" s="1620" t="s">
        <v>388</v>
      </c>
      <c r="H42" s="344"/>
      <c r="I42" s="1624">
        <f>IF(G42="Si",10%,IF(G42="No",0,0))</f>
        <v>0.1</v>
      </c>
      <c r="J42" s="1000"/>
    </row>
    <row r="43" spans="1:10" ht="24.75" customHeight="1" thickBot="1" x14ac:dyDescent="0.25">
      <c r="A43" s="1597"/>
      <c r="B43" s="1606"/>
      <c r="C43" s="1601"/>
      <c r="D43" s="341" t="s">
        <v>240</v>
      </c>
      <c r="E43" s="675" t="s">
        <v>85</v>
      </c>
      <c r="F43" s="354">
        <v>0</v>
      </c>
      <c r="G43" s="1621"/>
      <c r="H43" s="344"/>
      <c r="I43" s="1623"/>
      <c r="J43" s="1000"/>
    </row>
    <row r="44" spans="1:10" ht="26.25" customHeight="1" x14ac:dyDescent="0.2">
      <c r="A44" s="1597"/>
      <c r="B44" s="1606"/>
      <c r="C44" s="1602" t="s">
        <v>722</v>
      </c>
      <c r="D44" s="349" t="s">
        <v>167</v>
      </c>
      <c r="E44" s="957" t="s">
        <v>723</v>
      </c>
      <c r="F44" s="347">
        <v>0.1</v>
      </c>
      <c r="G44" s="356" t="s">
        <v>167</v>
      </c>
      <c r="H44" s="344"/>
      <c r="I44" s="991">
        <f>IF(G44="x",10%,"0")</f>
        <v>0.1</v>
      </c>
      <c r="J44" s="1000"/>
    </row>
    <row r="45" spans="1:10" ht="28.5" customHeight="1" x14ac:dyDescent="0.2">
      <c r="A45" s="1597"/>
      <c r="B45" s="1606"/>
      <c r="C45" s="1603"/>
      <c r="D45" s="13" t="s">
        <v>243</v>
      </c>
      <c r="E45" s="958" t="s">
        <v>185</v>
      </c>
      <c r="F45" s="25">
        <v>0.1</v>
      </c>
      <c r="G45" s="198" t="s">
        <v>167</v>
      </c>
      <c r="H45" s="194"/>
      <c r="I45" s="992">
        <f>IF(G45="x",10%,"0")</f>
        <v>0.1</v>
      </c>
      <c r="J45" s="1000"/>
    </row>
    <row r="46" spans="1:10" ht="18.75" customHeight="1" thickBot="1" x14ac:dyDescent="0.25">
      <c r="A46" s="1597"/>
      <c r="B46" s="1606"/>
      <c r="C46" s="1604"/>
      <c r="D46" s="351" t="s">
        <v>245</v>
      </c>
      <c r="E46" s="959" t="s">
        <v>187</v>
      </c>
      <c r="F46" s="348">
        <v>0</v>
      </c>
      <c r="G46" s="279"/>
      <c r="H46" s="334"/>
      <c r="I46" s="956">
        <f>IF(G76="x",0,"0")</f>
        <v>0</v>
      </c>
      <c r="J46" s="1000"/>
    </row>
    <row r="47" spans="1:10" ht="16.5" thickBot="1" x14ac:dyDescent="0.25">
      <c r="A47" s="1598"/>
      <c r="B47" s="1607"/>
      <c r="C47" s="1577" t="s">
        <v>2048</v>
      </c>
      <c r="D47" s="1577"/>
      <c r="E47" s="1577"/>
      <c r="F47" s="1577"/>
      <c r="G47" s="1577"/>
      <c r="H47" s="357"/>
      <c r="I47" s="986">
        <f>SUM(I21:I46)</f>
        <v>0.68259999999999998</v>
      </c>
      <c r="J47" s="1000"/>
    </row>
    <row r="48" spans="1:10" ht="36" customHeight="1" x14ac:dyDescent="0.2">
      <c r="A48" s="1596" t="s">
        <v>724</v>
      </c>
      <c r="B48" s="1605">
        <v>0.25</v>
      </c>
      <c r="C48" s="1552" t="s">
        <v>725</v>
      </c>
      <c r="D48" s="338" t="s">
        <v>82</v>
      </c>
      <c r="E48" s="653" t="s">
        <v>388</v>
      </c>
      <c r="F48" s="350">
        <v>0.125</v>
      </c>
      <c r="G48" s="1265" t="s">
        <v>388</v>
      </c>
      <c r="H48" s="336"/>
      <c r="I48" s="1629">
        <f>IF(G48="Si",12.5%,IF(G48="No",0,0))</f>
        <v>0.125</v>
      </c>
      <c r="J48" s="1000"/>
    </row>
    <row r="49" spans="1:11" ht="18.75" customHeight="1" thickBot="1" x14ac:dyDescent="0.25">
      <c r="A49" s="1597"/>
      <c r="B49" s="1606"/>
      <c r="C49" s="1553"/>
      <c r="D49" s="339" t="s">
        <v>84</v>
      </c>
      <c r="E49" s="654" t="s">
        <v>93</v>
      </c>
      <c r="F49" s="348">
        <v>0</v>
      </c>
      <c r="G49" s="1621"/>
      <c r="H49" s="344"/>
      <c r="I49" s="1627"/>
      <c r="J49" s="1000"/>
    </row>
    <row r="50" spans="1:11" ht="29.25" customHeight="1" x14ac:dyDescent="0.2">
      <c r="A50" s="1597"/>
      <c r="B50" s="1606"/>
      <c r="C50" s="1602" t="s">
        <v>727</v>
      </c>
      <c r="D50" s="349" t="s">
        <v>86</v>
      </c>
      <c r="E50" s="957" t="s">
        <v>728</v>
      </c>
      <c r="F50" s="350">
        <v>2.0799999999999999E-2</v>
      </c>
      <c r="G50" s="356" t="s">
        <v>167</v>
      </c>
      <c r="H50" s="344"/>
      <c r="I50" s="987">
        <f>IF(G50="x",2.08%,"0")</f>
        <v>2.0799999999999999E-2</v>
      </c>
      <c r="J50" s="1000"/>
    </row>
    <row r="51" spans="1:11" ht="32.25" customHeight="1" x14ac:dyDescent="0.2">
      <c r="A51" s="1597"/>
      <c r="B51" s="1606"/>
      <c r="C51" s="1603"/>
      <c r="D51" s="13" t="s">
        <v>87</v>
      </c>
      <c r="E51" s="958" t="s">
        <v>729</v>
      </c>
      <c r="F51" s="34">
        <v>2.0799999999999999E-2</v>
      </c>
      <c r="G51" s="1062"/>
      <c r="H51" s="194"/>
      <c r="I51" s="993" t="str">
        <f t="shared" ref="I51:I55" si="8">IF(G51="x",2.08%,"0")</f>
        <v>0</v>
      </c>
      <c r="J51" s="1000"/>
      <c r="K51" s="35"/>
    </row>
    <row r="52" spans="1:11" ht="29.25" customHeight="1" x14ac:dyDescent="0.2">
      <c r="A52" s="1597"/>
      <c r="B52" s="1606"/>
      <c r="C52" s="1603"/>
      <c r="D52" s="13" t="s">
        <v>95</v>
      </c>
      <c r="E52" s="958" t="s">
        <v>730</v>
      </c>
      <c r="F52" s="34">
        <v>2.0799999999999999E-2</v>
      </c>
      <c r="G52" s="1062" t="s">
        <v>167</v>
      </c>
      <c r="H52" s="194"/>
      <c r="I52" s="993">
        <f t="shared" si="8"/>
        <v>2.0799999999999999E-2</v>
      </c>
      <c r="J52" s="1000"/>
    </row>
    <row r="53" spans="1:11" ht="45.75" customHeight="1" x14ac:dyDescent="0.2">
      <c r="A53" s="1597"/>
      <c r="B53" s="1606"/>
      <c r="C53" s="1603"/>
      <c r="D53" s="13" t="s">
        <v>97</v>
      </c>
      <c r="E53" s="958" t="s">
        <v>731</v>
      </c>
      <c r="F53" s="34">
        <v>2.0799999999999999E-2</v>
      </c>
      <c r="G53" s="1062" t="s">
        <v>2785</v>
      </c>
      <c r="H53" s="194"/>
      <c r="I53" s="993">
        <f t="shared" si="8"/>
        <v>2.0799999999999999E-2</v>
      </c>
      <c r="J53" s="1000"/>
    </row>
    <row r="54" spans="1:11" ht="42.75" customHeight="1" x14ac:dyDescent="0.2">
      <c r="A54" s="1597"/>
      <c r="B54" s="1606"/>
      <c r="C54" s="1603"/>
      <c r="D54" s="13" t="s">
        <v>99</v>
      </c>
      <c r="E54" s="958" t="s">
        <v>732</v>
      </c>
      <c r="F54" s="34">
        <v>2.0799999999999999E-2</v>
      </c>
      <c r="G54" s="1062" t="s">
        <v>167</v>
      </c>
      <c r="H54" s="194"/>
      <c r="I54" s="993">
        <f t="shared" si="8"/>
        <v>2.0799999999999999E-2</v>
      </c>
      <c r="J54" s="1000"/>
    </row>
    <row r="55" spans="1:11" ht="51.75" customHeight="1" thickBot="1" x14ac:dyDescent="0.25">
      <c r="A55" s="1597"/>
      <c r="B55" s="1606"/>
      <c r="C55" s="1603"/>
      <c r="D55" s="361" t="s">
        <v>101</v>
      </c>
      <c r="E55" s="985" t="s">
        <v>733</v>
      </c>
      <c r="F55" s="362">
        <v>2.0799999999999999E-2</v>
      </c>
      <c r="G55" s="363"/>
      <c r="H55" s="344"/>
      <c r="I55" s="994" t="str">
        <f t="shared" si="8"/>
        <v>0</v>
      </c>
      <c r="J55" s="1000"/>
    </row>
    <row r="56" spans="1:11" ht="15.75" customHeight="1" x14ac:dyDescent="0.2">
      <c r="A56" s="1597"/>
      <c r="B56" s="1606"/>
      <c r="C56" s="1552" t="s">
        <v>734</v>
      </c>
      <c r="D56" s="338" t="s">
        <v>103</v>
      </c>
      <c r="E56" s="653" t="s">
        <v>691</v>
      </c>
      <c r="F56" s="350">
        <v>0.125</v>
      </c>
      <c r="G56" s="1620" t="s">
        <v>388</v>
      </c>
      <c r="H56" s="344"/>
      <c r="I56" s="1626">
        <f>IF(G56="Si",12.5%,IF(G56="No",0,0))</f>
        <v>0.125</v>
      </c>
      <c r="J56" s="1000"/>
    </row>
    <row r="57" spans="1:11" ht="18" customHeight="1" thickBot="1" x14ac:dyDescent="0.25">
      <c r="A57" s="1597"/>
      <c r="B57" s="1606"/>
      <c r="C57" s="1553"/>
      <c r="D57" s="339" t="s">
        <v>151</v>
      </c>
      <c r="E57" s="654" t="s">
        <v>85</v>
      </c>
      <c r="F57" s="348">
        <v>0</v>
      </c>
      <c r="G57" s="1621"/>
      <c r="H57" s="344"/>
      <c r="I57" s="1627"/>
      <c r="J57" s="1000"/>
    </row>
    <row r="58" spans="1:11" ht="39.75" customHeight="1" x14ac:dyDescent="0.2">
      <c r="A58" s="1597"/>
      <c r="B58" s="1606"/>
      <c r="C58" s="1602" t="s">
        <v>735</v>
      </c>
      <c r="D58" s="349" t="s">
        <v>152</v>
      </c>
      <c r="E58" s="957" t="s">
        <v>736</v>
      </c>
      <c r="F58" s="350">
        <v>3.1199999999999999E-2</v>
      </c>
      <c r="G58" s="356" t="s">
        <v>167</v>
      </c>
      <c r="H58" s="345" t="s">
        <v>726</v>
      </c>
      <c r="I58" s="987">
        <f>IF(G58="x",3.12%,"0")</f>
        <v>3.1200000000000002E-2</v>
      </c>
      <c r="J58" s="1000"/>
    </row>
    <row r="59" spans="1:11" ht="36" x14ac:dyDescent="0.2">
      <c r="A59" s="1597"/>
      <c r="B59" s="1606"/>
      <c r="C59" s="1603"/>
      <c r="D59" s="13" t="s">
        <v>218</v>
      </c>
      <c r="E59" s="958" t="s">
        <v>737</v>
      </c>
      <c r="F59" s="34">
        <v>3.1199999999999999E-2</v>
      </c>
      <c r="G59" s="358" t="s">
        <v>167</v>
      </c>
      <c r="H59" s="344"/>
      <c r="I59" s="988">
        <f t="shared" ref="I59:I61" si="9">IF(G59="x",3.12%,"0")</f>
        <v>3.1200000000000002E-2</v>
      </c>
      <c r="J59" s="1000"/>
    </row>
    <row r="60" spans="1:11" ht="36" x14ac:dyDescent="0.2">
      <c r="A60" s="1597"/>
      <c r="B60" s="1606"/>
      <c r="C60" s="1603"/>
      <c r="D60" s="13" t="s">
        <v>220</v>
      </c>
      <c r="E60" s="958" t="s">
        <v>738</v>
      </c>
      <c r="F60" s="34">
        <v>3.1199999999999999E-2</v>
      </c>
      <c r="G60" s="358"/>
      <c r="H60" s="344"/>
      <c r="I60" s="988" t="str">
        <f t="shared" si="9"/>
        <v>0</v>
      </c>
      <c r="J60" s="1000"/>
    </row>
    <row r="61" spans="1:11" ht="36" x14ac:dyDescent="0.2">
      <c r="A61" s="1597"/>
      <c r="B61" s="1606"/>
      <c r="C61" s="1603"/>
      <c r="D61" s="13" t="s">
        <v>222</v>
      </c>
      <c r="E61" s="958" t="s">
        <v>739</v>
      </c>
      <c r="F61" s="34">
        <v>3.1199999999999999E-2</v>
      </c>
      <c r="G61" s="358" t="s">
        <v>167</v>
      </c>
      <c r="H61" s="344"/>
      <c r="I61" s="988">
        <f t="shared" si="9"/>
        <v>3.1200000000000002E-2</v>
      </c>
      <c r="J61" s="1000"/>
    </row>
    <row r="62" spans="1:11" ht="12.75" thickBot="1" x14ac:dyDescent="0.25">
      <c r="A62" s="1597"/>
      <c r="B62" s="1606"/>
      <c r="C62" s="1604"/>
      <c r="D62" s="351" t="s">
        <v>224</v>
      </c>
      <c r="E62" s="959" t="s">
        <v>740</v>
      </c>
      <c r="F62" s="348">
        <v>0</v>
      </c>
      <c r="G62" s="359"/>
      <c r="H62" s="344"/>
      <c r="I62" s="990" t="str">
        <f>IF(G62="x",0,"0")</f>
        <v>0</v>
      </c>
      <c r="J62" s="1000"/>
    </row>
    <row r="63" spans="1:11" ht="12" customHeight="1" x14ac:dyDescent="0.2">
      <c r="A63" s="1597"/>
      <c r="B63" s="1606"/>
      <c r="C63" s="1552" t="s">
        <v>741</v>
      </c>
      <c r="D63" s="338" t="s">
        <v>226</v>
      </c>
      <c r="E63" s="653" t="s">
        <v>349</v>
      </c>
      <c r="F63" s="350">
        <v>2.5000000000000001E-2</v>
      </c>
      <c r="G63" s="1620" t="s">
        <v>354</v>
      </c>
      <c r="H63" s="344"/>
      <c r="I63" s="1626">
        <f>IF(G63="Anual",2.5%,IF(G63="Semestral",5%,IF(G63="Trimestral",12.5%,IF(G63="Bimestral",12.5%,IF(G63="Mensual",12.5%,0)))))</f>
        <v>0.125</v>
      </c>
      <c r="J63" s="1000"/>
    </row>
    <row r="64" spans="1:11" x14ac:dyDescent="0.2">
      <c r="A64" s="1597"/>
      <c r="B64" s="1606"/>
      <c r="C64" s="1608"/>
      <c r="D64" s="31" t="s">
        <v>228</v>
      </c>
      <c r="E64" s="679" t="s">
        <v>351</v>
      </c>
      <c r="F64" s="25">
        <v>0.05</v>
      </c>
      <c r="G64" s="1630"/>
      <c r="H64" s="344"/>
      <c r="I64" s="1631"/>
      <c r="J64" s="1000"/>
    </row>
    <row r="65" spans="1:11" x14ac:dyDescent="0.2">
      <c r="A65" s="1597"/>
      <c r="B65" s="1606"/>
      <c r="C65" s="1608"/>
      <c r="D65" s="31" t="s">
        <v>230</v>
      </c>
      <c r="E65" s="679" t="s">
        <v>352</v>
      </c>
      <c r="F65" s="34">
        <v>0.125</v>
      </c>
      <c r="G65" s="1630"/>
      <c r="H65" s="344"/>
      <c r="I65" s="1631"/>
      <c r="J65" s="1000"/>
    </row>
    <row r="66" spans="1:11" x14ac:dyDescent="0.2">
      <c r="A66" s="1597"/>
      <c r="B66" s="1606"/>
      <c r="C66" s="1608"/>
      <c r="D66" s="31" t="s">
        <v>232</v>
      </c>
      <c r="E66" s="679" t="s">
        <v>353</v>
      </c>
      <c r="F66" s="34">
        <v>0.125</v>
      </c>
      <c r="G66" s="1630"/>
      <c r="H66" s="344"/>
      <c r="I66" s="1631"/>
      <c r="J66" s="1000"/>
    </row>
    <row r="67" spans="1:11" x14ac:dyDescent="0.2">
      <c r="A67" s="1597"/>
      <c r="B67" s="1606"/>
      <c r="C67" s="1608"/>
      <c r="D67" s="31" t="s">
        <v>234</v>
      </c>
      <c r="E67" s="679" t="s">
        <v>354</v>
      </c>
      <c r="F67" s="34">
        <v>0.125</v>
      </c>
      <c r="G67" s="1630"/>
      <c r="H67" s="344"/>
      <c r="I67" s="1631"/>
      <c r="J67" s="1000"/>
    </row>
    <row r="68" spans="1:11" ht="12.75" thickBot="1" x14ac:dyDescent="0.25">
      <c r="A68" s="1597"/>
      <c r="B68" s="1606"/>
      <c r="C68" s="1553"/>
      <c r="D68" s="339" t="s">
        <v>236</v>
      </c>
      <c r="E68" s="654" t="s">
        <v>742</v>
      </c>
      <c r="F68" s="348">
        <v>0</v>
      </c>
      <c r="G68" s="1621"/>
      <c r="H68" s="344"/>
      <c r="I68" s="1627"/>
      <c r="J68" s="1000"/>
    </row>
    <row r="69" spans="1:11" ht="15" customHeight="1" x14ac:dyDescent="0.2">
      <c r="A69" s="1597"/>
      <c r="B69" s="1606"/>
      <c r="C69" s="1600" t="s">
        <v>743</v>
      </c>
      <c r="D69" s="340" t="s">
        <v>238</v>
      </c>
      <c r="E69" s="674" t="s">
        <v>388</v>
      </c>
      <c r="F69" s="364">
        <v>0.125</v>
      </c>
      <c r="G69" s="1620" t="s">
        <v>388</v>
      </c>
      <c r="H69" s="344"/>
      <c r="I69" s="1626">
        <f t="shared" ref="I69" si="10">IF(G69="Si",12.5%,IF(G69="No",0,0))</f>
        <v>0.125</v>
      </c>
      <c r="J69" s="1000"/>
    </row>
    <row r="70" spans="1:11" ht="12.75" thickBot="1" x14ac:dyDescent="0.25">
      <c r="A70" s="1597"/>
      <c r="B70" s="1606"/>
      <c r="C70" s="1601"/>
      <c r="D70" s="341" t="s">
        <v>240</v>
      </c>
      <c r="E70" s="675" t="s">
        <v>85</v>
      </c>
      <c r="F70" s="354">
        <v>0</v>
      </c>
      <c r="G70" s="1621"/>
      <c r="H70" s="344"/>
      <c r="I70" s="1627"/>
      <c r="J70" s="1000"/>
    </row>
    <row r="71" spans="1:11" ht="19.5" customHeight="1" x14ac:dyDescent="0.2">
      <c r="A71" s="1597"/>
      <c r="B71" s="1606"/>
      <c r="C71" s="1552" t="s">
        <v>744</v>
      </c>
      <c r="D71" s="316" t="s">
        <v>167</v>
      </c>
      <c r="E71" s="653" t="s">
        <v>388</v>
      </c>
      <c r="F71" s="364">
        <v>0.125</v>
      </c>
      <c r="G71" s="1620" t="s">
        <v>388</v>
      </c>
      <c r="H71" s="344"/>
      <c r="I71" s="1626">
        <f t="shared" ref="I71" si="11">IF(G71="Si",12.5%,IF(G71="No",0,0))</f>
        <v>0.125</v>
      </c>
      <c r="J71" s="1000"/>
    </row>
    <row r="72" spans="1:11" ht="15.75" customHeight="1" thickBot="1" x14ac:dyDescent="0.25">
      <c r="A72" s="1597"/>
      <c r="B72" s="1606"/>
      <c r="C72" s="1553"/>
      <c r="D72" s="317" t="s">
        <v>243</v>
      </c>
      <c r="E72" s="654" t="s">
        <v>85</v>
      </c>
      <c r="F72" s="360">
        <v>0</v>
      </c>
      <c r="G72" s="1621"/>
      <c r="H72" s="344"/>
      <c r="I72" s="1627"/>
      <c r="J72" s="1000"/>
    </row>
    <row r="73" spans="1:11" ht="24" customHeight="1" x14ac:dyDescent="0.2">
      <c r="A73" s="1597"/>
      <c r="B73" s="1606"/>
      <c r="C73" s="1600" t="s">
        <v>2054</v>
      </c>
      <c r="D73" s="335" t="s">
        <v>245</v>
      </c>
      <c r="E73" s="674" t="s">
        <v>745</v>
      </c>
      <c r="F73" s="350">
        <v>0.125</v>
      </c>
      <c r="G73" s="1620" t="s">
        <v>388</v>
      </c>
      <c r="H73" s="344"/>
      <c r="I73" s="1626">
        <f t="shared" ref="I73" si="12">IF(G73="Si",12.5%,IF(G73="No",0,0))</f>
        <v>0.125</v>
      </c>
      <c r="J73" s="1000"/>
    </row>
    <row r="74" spans="1:11" ht="40.5" customHeight="1" thickBot="1" x14ac:dyDescent="0.25">
      <c r="A74" s="1597"/>
      <c r="B74" s="1606"/>
      <c r="C74" s="1601"/>
      <c r="D74" s="337" t="s">
        <v>246</v>
      </c>
      <c r="E74" s="675" t="s">
        <v>693</v>
      </c>
      <c r="F74" s="348">
        <v>0</v>
      </c>
      <c r="G74" s="1625"/>
      <c r="H74" s="334"/>
      <c r="I74" s="1628"/>
      <c r="J74" s="1000"/>
    </row>
    <row r="75" spans="1:11" ht="16.5" thickBot="1" x14ac:dyDescent="0.25">
      <c r="A75" s="1598"/>
      <c r="B75" s="1607"/>
      <c r="C75" s="1577" t="s">
        <v>2049</v>
      </c>
      <c r="D75" s="1577"/>
      <c r="E75" s="1577"/>
      <c r="F75" s="1577"/>
      <c r="G75" s="1577"/>
      <c r="H75" s="1577"/>
      <c r="I75" s="986">
        <f>SUM(I48:I74)</f>
        <v>0.92679999999999996</v>
      </c>
      <c r="J75" s="1000"/>
      <c r="K75" s="35"/>
    </row>
    <row r="76" spans="1:11" ht="119.25" customHeight="1" x14ac:dyDescent="0.2">
      <c r="A76" s="1596" t="s">
        <v>746</v>
      </c>
      <c r="B76" s="1605">
        <v>0.2</v>
      </c>
      <c r="C76" s="1602" t="s">
        <v>747</v>
      </c>
      <c r="D76" s="349" t="s">
        <v>82</v>
      </c>
      <c r="E76" s="957" t="s">
        <v>748</v>
      </c>
      <c r="F76" s="347">
        <v>0.06</v>
      </c>
      <c r="G76" s="1061" t="s">
        <v>2785</v>
      </c>
      <c r="H76" s="336"/>
      <c r="I76" s="955">
        <f>IF(G76="x",6%,"0")</f>
        <v>0.06</v>
      </c>
      <c r="J76" s="1000"/>
    </row>
    <row r="77" spans="1:11" ht="29.25" customHeight="1" x14ac:dyDescent="0.2">
      <c r="A77" s="1597"/>
      <c r="B77" s="1606"/>
      <c r="C77" s="1603"/>
      <c r="D77" s="13" t="s">
        <v>84</v>
      </c>
      <c r="E77" s="958" t="s">
        <v>750</v>
      </c>
      <c r="F77" s="25">
        <v>0.06</v>
      </c>
      <c r="G77" s="1062" t="s">
        <v>167</v>
      </c>
      <c r="H77" s="194"/>
      <c r="I77" s="992">
        <f t="shared" ref="I77:I80" si="13">IF(G77="x",6%,"0")</f>
        <v>0.06</v>
      </c>
      <c r="J77" s="1000"/>
    </row>
    <row r="78" spans="1:11" ht="42.75" customHeight="1" x14ac:dyDescent="0.2">
      <c r="A78" s="1597"/>
      <c r="B78" s="1606"/>
      <c r="C78" s="1603"/>
      <c r="D78" s="13" t="s">
        <v>86</v>
      </c>
      <c r="E78" s="958" t="s">
        <v>751</v>
      </c>
      <c r="F78" s="25">
        <v>0.06</v>
      </c>
      <c r="G78" s="1062" t="s">
        <v>167</v>
      </c>
      <c r="H78" s="194"/>
      <c r="I78" s="992">
        <f t="shared" si="13"/>
        <v>0.06</v>
      </c>
      <c r="J78" s="1000"/>
    </row>
    <row r="79" spans="1:11" ht="45.75" customHeight="1" x14ac:dyDescent="0.2">
      <c r="A79" s="1597"/>
      <c r="B79" s="1606"/>
      <c r="C79" s="1603"/>
      <c r="D79" s="13" t="s">
        <v>87</v>
      </c>
      <c r="E79" s="958" t="s">
        <v>752</v>
      </c>
      <c r="F79" s="25">
        <v>0.06</v>
      </c>
      <c r="G79" s="358" t="s">
        <v>167</v>
      </c>
      <c r="H79" s="344"/>
      <c r="I79" s="989">
        <f t="shared" si="13"/>
        <v>0.06</v>
      </c>
      <c r="J79" s="1000"/>
    </row>
    <row r="80" spans="1:11" ht="41.25" customHeight="1" thickBot="1" x14ac:dyDescent="0.25">
      <c r="A80" s="1597"/>
      <c r="B80" s="1606"/>
      <c r="C80" s="1604"/>
      <c r="D80" s="351" t="s">
        <v>95</v>
      </c>
      <c r="E80" s="959" t="s">
        <v>1923</v>
      </c>
      <c r="F80" s="348">
        <v>0.06</v>
      </c>
      <c r="G80" s="359" t="s">
        <v>167</v>
      </c>
      <c r="H80" s="345" t="s">
        <v>749</v>
      </c>
      <c r="I80" s="990">
        <f t="shared" si="13"/>
        <v>0.06</v>
      </c>
      <c r="J80" s="1000"/>
    </row>
    <row r="81" spans="1:10" ht="41.25" customHeight="1" x14ac:dyDescent="0.2">
      <c r="A81" s="1597"/>
      <c r="B81" s="1606"/>
      <c r="C81" s="1552" t="s">
        <v>753</v>
      </c>
      <c r="D81" s="316" t="s">
        <v>97</v>
      </c>
      <c r="E81" s="653" t="s">
        <v>388</v>
      </c>
      <c r="F81" s="353">
        <v>0.2</v>
      </c>
      <c r="G81" s="1620" t="s">
        <v>388</v>
      </c>
      <c r="H81" s="344"/>
      <c r="I81" s="1626">
        <f>IF(G81="Si",20%,IF(G81="No",0,0))</f>
        <v>0.2</v>
      </c>
      <c r="J81" s="1000"/>
    </row>
    <row r="82" spans="1:10" ht="41.25" customHeight="1" thickBot="1" x14ac:dyDescent="0.25">
      <c r="A82" s="1597"/>
      <c r="B82" s="1606"/>
      <c r="C82" s="1553"/>
      <c r="D82" s="317" t="s">
        <v>99</v>
      </c>
      <c r="E82" s="654" t="s">
        <v>85</v>
      </c>
      <c r="F82" s="360">
        <v>0</v>
      </c>
      <c r="G82" s="1621"/>
      <c r="H82" s="344"/>
      <c r="I82" s="1627"/>
      <c r="J82" s="1000"/>
    </row>
    <row r="83" spans="1:10" ht="38.25" customHeight="1" x14ac:dyDescent="0.2">
      <c r="A83" s="1597"/>
      <c r="B83" s="1606"/>
      <c r="C83" s="1600" t="s">
        <v>754</v>
      </c>
      <c r="D83" s="340" t="s">
        <v>101</v>
      </c>
      <c r="E83" s="674" t="s">
        <v>388</v>
      </c>
      <c r="F83" s="353">
        <v>0.2</v>
      </c>
      <c r="G83" s="1620" t="s">
        <v>388</v>
      </c>
      <c r="H83" s="344"/>
      <c r="I83" s="1626">
        <f>IF(G83="Si",20%,IF(G83="No",0,0))</f>
        <v>0.2</v>
      </c>
      <c r="J83" s="1000"/>
    </row>
    <row r="84" spans="1:10" ht="38.25" customHeight="1" thickBot="1" x14ac:dyDescent="0.25">
      <c r="A84" s="1597"/>
      <c r="B84" s="1606"/>
      <c r="C84" s="1601"/>
      <c r="D84" s="341" t="s">
        <v>103</v>
      </c>
      <c r="E84" s="675" t="s">
        <v>85</v>
      </c>
      <c r="F84" s="354">
        <v>0</v>
      </c>
      <c r="G84" s="1621"/>
      <c r="H84" s="344"/>
      <c r="I84" s="1627"/>
      <c r="J84" s="1000"/>
    </row>
    <row r="85" spans="1:10" ht="28.5" customHeight="1" x14ac:dyDescent="0.2">
      <c r="A85" s="1597"/>
      <c r="B85" s="1606"/>
      <c r="C85" s="1552" t="s">
        <v>2047</v>
      </c>
      <c r="D85" s="338" t="s">
        <v>151</v>
      </c>
      <c r="E85" s="653" t="s">
        <v>691</v>
      </c>
      <c r="F85" s="347">
        <v>0.3</v>
      </c>
      <c r="G85" s="1620" t="s">
        <v>388</v>
      </c>
      <c r="H85" s="344"/>
      <c r="I85" s="1626">
        <f>IF(G85="Si",30%,IF(G85="No",0,0))</f>
        <v>0.3</v>
      </c>
      <c r="J85" s="1000"/>
    </row>
    <row r="86" spans="1:10" ht="32.25" customHeight="1" thickBot="1" x14ac:dyDescent="0.25">
      <c r="A86" s="1597"/>
      <c r="B86" s="1606"/>
      <c r="C86" s="1553"/>
      <c r="D86" s="339" t="s">
        <v>152</v>
      </c>
      <c r="E86" s="654" t="s">
        <v>693</v>
      </c>
      <c r="F86" s="348">
        <v>0</v>
      </c>
      <c r="G86" s="1625"/>
      <c r="H86" s="334"/>
      <c r="I86" s="1628"/>
      <c r="J86" s="1000"/>
    </row>
    <row r="87" spans="1:10" ht="16.5" thickBot="1" x14ac:dyDescent="0.25">
      <c r="A87" s="1598"/>
      <c r="B87" s="1607"/>
      <c r="C87" s="1577" t="s">
        <v>2050</v>
      </c>
      <c r="D87" s="1577"/>
      <c r="E87" s="1577"/>
      <c r="F87" s="1577"/>
      <c r="G87" s="1577"/>
      <c r="H87" s="1577"/>
      <c r="I87" s="986">
        <f>SUM(I76:I86)</f>
        <v>1</v>
      </c>
      <c r="J87" s="1000"/>
    </row>
    <row r="88" spans="1:10" ht="21.75" customHeight="1" x14ac:dyDescent="0.2">
      <c r="A88" s="1596" t="s">
        <v>755</v>
      </c>
      <c r="B88" s="1605">
        <v>0.15</v>
      </c>
      <c r="C88" s="1552" t="s">
        <v>756</v>
      </c>
      <c r="D88" s="316" t="s">
        <v>82</v>
      </c>
      <c r="E88" s="653" t="s">
        <v>83</v>
      </c>
      <c r="F88" s="347">
        <v>0.25</v>
      </c>
      <c r="G88" s="1265" t="s">
        <v>388</v>
      </c>
      <c r="H88" s="336"/>
      <c r="I88" s="1629">
        <f>IF(G88="Si",25%,IF(G88="No",0,0))</f>
        <v>0.25</v>
      </c>
      <c r="J88" s="1000"/>
    </row>
    <row r="89" spans="1:10" ht="27" customHeight="1" thickBot="1" x14ac:dyDescent="0.25">
      <c r="A89" s="1597"/>
      <c r="B89" s="1606"/>
      <c r="C89" s="1553"/>
      <c r="D89" s="317" t="s">
        <v>84</v>
      </c>
      <c r="E89" s="654" t="s">
        <v>85</v>
      </c>
      <c r="F89" s="354">
        <v>0</v>
      </c>
      <c r="G89" s="1621"/>
      <c r="H89" s="344"/>
      <c r="I89" s="1627"/>
      <c r="J89" s="1000"/>
    </row>
    <row r="90" spans="1:10" ht="36" x14ac:dyDescent="0.2">
      <c r="A90" s="1597"/>
      <c r="B90" s="1606"/>
      <c r="C90" s="1602" t="s">
        <v>757</v>
      </c>
      <c r="D90" s="349" t="s">
        <v>86</v>
      </c>
      <c r="E90" s="957" t="s">
        <v>380</v>
      </c>
      <c r="F90" s="347">
        <v>0.1</v>
      </c>
      <c r="G90" s="356"/>
      <c r="H90" s="344"/>
      <c r="I90" s="991" t="str">
        <f>IF(G90="x",10%,"0")</f>
        <v>0</v>
      </c>
      <c r="J90" s="1076"/>
    </row>
    <row r="91" spans="1:10" ht="37.5" customHeight="1" x14ac:dyDescent="0.2">
      <c r="A91" s="1597"/>
      <c r="B91" s="1606"/>
      <c r="C91" s="1603"/>
      <c r="D91" s="13" t="s">
        <v>87</v>
      </c>
      <c r="E91" s="958" t="s">
        <v>758</v>
      </c>
      <c r="F91" s="34">
        <v>7.4999999999999997E-2</v>
      </c>
      <c r="G91" s="358"/>
      <c r="H91" s="345" t="s">
        <v>2051</v>
      </c>
      <c r="I91" s="995" t="str">
        <f>IF(G91="x",7.5%,"0")</f>
        <v>0</v>
      </c>
      <c r="J91" s="1076"/>
    </row>
    <row r="92" spans="1:10" ht="18" customHeight="1" x14ac:dyDescent="0.2">
      <c r="A92" s="1597"/>
      <c r="B92" s="1606"/>
      <c r="C92" s="1603"/>
      <c r="D92" s="13" t="s">
        <v>95</v>
      </c>
      <c r="E92" s="958" t="s">
        <v>383</v>
      </c>
      <c r="F92" s="34">
        <v>7.4999999999999997E-2</v>
      </c>
      <c r="G92" s="358" t="s">
        <v>167</v>
      </c>
      <c r="H92" s="344"/>
      <c r="I92" s="995">
        <f>IF(G92="x",7.5%,"0")</f>
        <v>7.4999999999999997E-2</v>
      </c>
      <c r="J92" s="1000"/>
    </row>
    <row r="93" spans="1:10" ht="18.75" customHeight="1" thickBot="1" x14ac:dyDescent="0.25">
      <c r="A93" s="1597"/>
      <c r="B93" s="1606"/>
      <c r="C93" s="1604"/>
      <c r="D93" s="351" t="s">
        <v>97</v>
      </c>
      <c r="E93" s="959" t="s">
        <v>759</v>
      </c>
      <c r="F93" s="348">
        <v>0</v>
      </c>
      <c r="G93" s="359"/>
      <c r="H93" s="344"/>
      <c r="I93" s="990" t="str">
        <f>IF(G93="x","0","0")</f>
        <v>0</v>
      </c>
      <c r="J93" s="1000"/>
    </row>
    <row r="94" spans="1:10" ht="17.25" customHeight="1" x14ac:dyDescent="0.2">
      <c r="A94" s="1597"/>
      <c r="B94" s="1606"/>
      <c r="C94" s="1552" t="s">
        <v>760</v>
      </c>
      <c r="D94" s="316" t="s">
        <v>99</v>
      </c>
      <c r="E94" s="653" t="s">
        <v>83</v>
      </c>
      <c r="F94" s="347">
        <v>0.25</v>
      </c>
      <c r="G94" s="1620" t="s">
        <v>693</v>
      </c>
      <c r="H94" s="344"/>
      <c r="I94" s="1626">
        <f t="shared" ref="I94" si="14">IF(G94="Si",25%,IF(G94="No",0,0))</f>
        <v>0</v>
      </c>
      <c r="J94" s="1000"/>
    </row>
    <row r="95" spans="1:10" ht="15.75" customHeight="1" thickBot="1" x14ac:dyDescent="0.25">
      <c r="A95" s="1597"/>
      <c r="B95" s="1606"/>
      <c r="C95" s="1553"/>
      <c r="D95" s="317" t="s">
        <v>101</v>
      </c>
      <c r="E95" s="654" t="s">
        <v>85</v>
      </c>
      <c r="F95" s="348">
        <v>0</v>
      </c>
      <c r="G95" s="1621"/>
      <c r="H95" s="344"/>
      <c r="I95" s="1627"/>
      <c r="J95" s="1000"/>
    </row>
    <row r="96" spans="1:10" ht="18" customHeight="1" x14ac:dyDescent="0.2">
      <c r="A96" s="1597"/>
      <c r="B96" s="1606"/>
      <c r="C96" s="1600" t="s">
        <v>2347</v>
      </c>
      <c r="D96" s="340" t="s">
        <v>103</v>
      </c>
      <c r="E96" s="674" t="s">
        <v>388</v>
      </c>
      <c r="F96" s="347">
        <v>0.25</v>
      </c>
      <c r="G96" s="1620" t="s">
        <v>693</v>
      </c>
      <c r="H96" s="344"/>
      <c r="I96" s="1626">
        <f t="shared" ref="I96" si="15">IF(G96="Si",25%,IF(G96="No",0,0))</f>
        <v>0</v>
      </c>
      <c r="J96" s="1000"/>
    </row>
    <row r="97" spans="1:10" ht="23.25" customHeight="1" thickBot="1" x14ac:dyDescent="0.25">
      <c r="A97" s="1597"/>
      <c r="B97" s="1606"/>
      <c r="C97" s="1601"/>
      <c r="D97" s="341" t="s">
        <v>151</v>
      </c>
      <c r="E97" s="675" t="s">
        <v>85</v>
      </c>
      <c r="F97" s="348">
        <v>0</v>
      </c>
      <c r="G97" s="1625"/>
      <c r="H97" s="334"/>
      <c r="I97" s="1628"/>
      <c r="J97" s="1000"/>
    </row>
    <row r="98" spans="1:10" ht="15.75" x14ac:dyDescent="0.2">
      <c r="A98" s="1598"/>
      <c r="B98" s="1607"/>
      <c r="C98" s="1632" t="s">
        <v>2052</v>
      </c>
      <c r="D98" s="1632"/>
      <c r="E98" s="1632"/>
      <c r="F98" s="1632"/>
      <c r="G98" s="1632"/>
      <c r="H98" s="1632"/>
      <c r="I98" s="996">
        <f>I88+I89+I90+I91+I92+I93+I94+I95+I96+I97</f>
        <v>0.32500000000000001</v>
      </c>
      <c r="J98" s="1000"/>
    </row>
    <row r="99" spans="1:10" ht="28.5" customHeight="1" x14ac:dyDescent="0.2">
      <c r="A99" s="1599" t="s">
        <v>2055</v>
      </c>
      <c r="B99" s="1599"/>
      <c r="C99" s="1599"/>
      <c r="D99" s="1599"/>
      <c r="E99" s="1599"/>
      <c r="F99" s="1599"/>
      <c r="G99" s="1599" t="s">
        <v>761</v>
      </c>
      <c r="H99" s="1599"/>
      <c r="I99" s="997">
        <f>IF(((I20*0.15)+(I47*0.25)+(I75*0.25)+(I87*0.2)+(I98*0.15))&gt;1,1,(I20*0.15)+(I47*0.25)+(I75*0.25)+(I87*0.2)+(I98*0.15))</f>
        <v>0.7448499999999999</v>
      </c>
      <c r="J99" s="1000"/>
    </row>
    <row r="100" spans="1:10" ht="15" x14ac:dyDescent="0.25">
      <c r="I100" s="195"/>
    </row>
    <row r="102" spans="1:10" x14ac:dyDescent="0.2">
      <c r="A102" s="1609" t="s">
        <v>1964</v>
      </c>
      <c r="B102" s="1610"/>
      <c r="C102" s="1610"/>
      <c r="D102" s="1611"/>
    </row>
    <row r="103" spans="1:10" x14ac:dyDescent="0.2">
      <c r="A103" s="19"/>
      <c r="B103" s="1614" t="s">
        <v>2010</v>
      </c>
      <c r="C103" s="1615"/>
      <c r="D103" s="1616"/>
    </row>
    <row r="104" spans="1:10" x14ac:dyDescent="0.2">
      <c r="A104" s="20"/>
      <c r="B104" s="1614" t="s">
        <v>2011</v>
      </c>
      <c r="C104" s="1615"/>
      <c r="D104" s="1616"/>
    </row>
    <row r="105" spans="1:10" x14ac:dyDescent="0.2">
      <c r="A105" s="12"/>
      <c r="B105" s="1614" t="s">
        <v>2012</v>
      </c>
      <c r="C105" s="1615"/>
      <c r="D105" s="1616"/>
    </row>
    <row r="106" spans="1:10" x14ac:dyDescent="0.2">
      <c r="A106" s="4"/>
      <c r="B106" s="1614" t="s">
        <v>2044</v>
      </c>
      <c r="C106" s="1615"/>
      <c r="D106" s="1616"/>
    </row>
    <row r="107" spans="1:10" ht="12.75" thickBot="1" x14ac:dyDescent="0.25"/>
    <row r="108" spans="1:10" ht="12.75" thickBot="1" x14ac:dyDescent="0.25">
      <c r="A108" s="1181" t="s">
        <v>2227</v>
      </c>
      <c r="B108" s="1182"/>
      <c r="C108" s="1182"/>
      <c r="D108" s="1183"/>
    </row>
    <row r="109" spans="1:10" ht="12.75" customHeight="1" thickBot="1" x14ac:dyDescent="0.25">
      <c r="A109" s="94" t="s">
        <v>2228</v>
      </c>
      <c r="B109" s="119" t="s">
        <v>2229</v>
      </c>
      <c r="C109" s="95" t="s">
        <v>2230</v>
      </c>
      <c r="D109" s="95" t="s">
        <v>2231</v>
      </c>
      <c r="E109" s="36"/>
    </row>
    <row r="110" spans="1:10" ht="13.5" customHeight="1" thickBot="1" x14ac:dyDescent="0.25">
      <c r="A110" s="96">
        <v>1</v>
      </c>
      <c r="B110" s="97" t="s">
        <v>2232</v>
      </c>
      <c r="C110" s="97" t="s">
        <v>2233</v>
      </c>
      <c r="D110" s="98"/>
      <c r="E110" s="36"/>
    </row>
    <row r="111" spans="1:10" ht="15.75" customHeight="1" thickBot="1" x14ac:dyDescent="0.25">
      <c r="A111" s="96">
        <v>2</v>
      </c>
      <c r="B111" s="97" t="s">
        <v>2234</v>
      </c>
      <c r="C111" s="97" t="s">
        <v>2235</v>
      </c>
      <c r="D111" s="99"/>
      <c r="E111" s="36"/>
    </row>
    <row r="112" spans="1:10" ht="13.5" customHeight="1" thickBot="1" x14ac:dyDescent="0.25">
      <c r="A112" s="96">
        <v>3</v>
      </c>
      <c r="B112" s="97" t="s">
        <v>2236</v>
      </c>
      <c r="C112" s="97" t="s">
        <v>2237</v>
      </c>
      <c r="D112" s="100"/>
    </row>
    <row r="113" spans="1:4" ht="12" customHeight="1" thickBot="1" x14ac:dyDescent="0.25">
      <c r="A113" s="96">
        <v>4</v>
      </c>
      <c r="B113" s="97" t="s">
        <v>2238</v>
      </c>
      <c r="C113" s="97" t="s">
        <v>2239</v>
      </c>
      <c r="D113" s="101"/>
    </row>
    <row r="114" spans="1:4" ht="16.5" customHeight="1" thickBot="1" x14ac:dyDescent="0.25">
      <c r="A114" s="96">
        <v>5</v>
      </c>
      <c r="B114" s="97" t="s">
        <v>2240</v>
      </c>
      <c r="C114" s="97" t="s">
        <v>2241</v>
      </c>
      <c r="D114" s="102"/>
    </row>
    <row r="118" spans="1:4" x14ac:dyDescent="0.2">
      <c r="A118" s="1609" t="s">
        <v>2285</v>
      </c>
      <c r="B118" s="1610"/>
      <c r="C118" s="1610"/>
      <c r="D118" s="1611"/>
    </row>
    <row r="119" spans="1:4" ht="32.25" customHeight="1" x14ac:dyDescent="0.2">
      <c r="A119" s="1393" t="s">
        <v>2459</v>
      </c>
      <c r="B119" s="1394"/>
      <c r="C119" s="1394"/>
      <c r="D119" s="1395"/>
    </row>
    <row r="120" spans="1:4" x14ac:dyDescent="0.2">
      <c r="A120" s="1613" t="s">
        <v>2036</v>
      </c>
      <c r="B120" s="1431"/>
      <c r="C120" s="1431"/>
      <c r="D120" s="1432"/>
    </row>
    <row r="121" spans="1:4" x14ac:dyDescent="0.2">
      <c r="A121" s="1613" t="s">
        <v>2057</v>
      </c>
      <c r="B121" s="1431"/>
      <c r="C121" s="1431"/>
      <c r="D121" s="1432"/>
    </row>
    <row r="122" spans="1:4" ht="40.5" customHeight="1" x14ac:dyDescent="0.2">
      <c r="A122" s="1393" t="s">
        <v>2058</v>
      </c>
      <c r="B122" s="1394"/>
      <c r="C122" s="1394"/>
      <c r="D122" s="1395"/>
    </row>
    <row r="123" spans="1:4" ht="36.75" customHeight="1" x14ac:dyDescent="0.2">
      <c r="A123" s="1612" t="s">
        <v>2059</v>
      </c>
      <c r="B123" s="1428"/>
      <c r="C123" s="1428"/>
      <c r="D123" s="1429"/>
    </row>
  </sheetData>
  <sheetProtection sheet="1" objects="1" scenarios="1"/>
  <mergeCells count="106">
    <mergeCell ref="I94:I95"/>
    <mergeCell ref="G96:G97"/>
    <mergeCell ref="I96:I97"/>
    <mergeCell ref="A108:D108"/>
    <mergeCell ref="I81:I82"/>
    <mergeCell ref="I83:I84"/>
    <mergeCell ref="I85:I86"/>
    <mergeCell ref="G88:G89"/>
    <mergeCell ref="I88:I89"/>
    <mergeCell ref="B76:B87"/>
    <mergeCell ref="C76:C80"/>
    <mergeCell ref="C81:C82"/>
    <mergeCell ref="B88:B98"/>
    <mergeCell ref="C88:C89"/>
    <mergeCell ref="C90:C93"/>
    <mergeCell ref="C94:C95"/>
    <mergeCell ref="C96:C97"/>
    <mergeCell ref="C98:H98"/>
    <mergeCell ref="G81:G82"/>
    <mergeCell ref="G83:G84"/>
    <mergeCell ref="G85:G86"/>
    <mergeCell ref="G94:G95"/>
    <mergeCell ref="B106:D106"/>
    <mergeCell ref="A102:D102"/>
    <mergeCell ref="G69:G70"/>
    <mergeCell ref="G71:G72"/>
    <mergeCell ref="G73:G74"/>
    <mergeCell ref="I69:I70"/>
    <mergeCell ref="I71:I72"/>
    <mergeCell ref="I73:I74"/>
    <mergeCell ref="G48:G49"/>
    <mergeCell ref="I48:I49"/>
    <mergeCell ref="G56:G57"/>
    <mergeCell ref="I56:I57"/>
    <mergeCell ref="G63:G68"/>
    <mergeCell ref="I63:I68"/>
    <mergeCell ref="C44:C46"/>
    <mergeCell ref="B21:B47"/>
    <mergeCell ref="I4:I5"/>
    <mergeCell ref="I6:I7"/>
    <mergeCell ref="I8:I9"/>
    <mergeCell ref="I10:I11"/>
    <mergeCell ref="I12:I13"/>
    <mergeCell ref="I14:I15"/>
    <mergeCell ref="I16:I17"/>
    <mergeCell ref="I18:I19"/>
    <mergeCell ref="G4:G5"/>
    <mergeCell ref="G6:G7"/>
    <mergeCell ref="G8:G9"/>
    <mergeCell ref="G10:G11"/>
    <mergeCell ref="G12:G13"/>
    <mergeCell ref="G21:G22"/>
    <mergeCell ref="I21:I22"/>
    <mergeCell ref="G40:G41"/>
    <mergeCell ref="G42:G43"/>
    <mergeCell ref="I40:I41"/>
    <mergeCell ref="I42:I43"/>
    <mergeCell ref="G14:G15"/>
    <mergeCell ref="G16:G17"/>
    <mergeCell ref="G18:G19"/>
    <mergeCell ref="A1:J1"/>
    <mergeCell ref="A4:A20"/>
    <mergeCell ref="B4:B20"/>
    <mergeCell ref="C4:C5"/>
    <mergeCell ref="C6:C7"/>
    <mergeCell ref="C8:C9"/>
    <mergeCell ref="C10:C11"/>
    <mergeCell ref="C12:C13"/>
    <mergeCell ref="C14:C15"/>
    <mergeCell ref="C16:C17"/>
    <mergeCell ref="C18:C19"/>
    <mergeCell ref="C20:H20"/>
    <mergeCell ref="A2:J2"/>
    <mergeCell ref="A118:D118"/>
    <mergeCell ref="A122:D122"/>
    <mergeCell ref="A123:D123"/>
    <mergeCell ref="A119:D119"/>
    <mergeCell ref="A120:D120"/>
    <mergeCell ref="A121:D121"/>
    <mergeCell ref="B105:D105"/>
    <mergeCell ref="B104:D104"/>
    <mergeCell ref="B103:D103"/>
    <mergeCell ref="A21:A47"/>
    <mergeCell ref="C21:C22"/>
    <mergeCell ref="A99:F99"/>
    <mergeCell ref="C47:G47"/>
    <mergeCell ref="C83:C84"/>
    <mergeCell ref="A48:A75"/>
    <mergeCell ref="G99:H99"/>
    <mergeCell ref="C85:C86"/>
    <mergeCell ref="C87:H87"/>
    <mergeCell ref="A88:A98"/>
    <mergeCell ref="A76:A87"/>
    <mergeCell ref="C23:C39"/>
    <mergeCell ref="C40:C41"/>
    <mergeCell ref="C42:C43"/>
    <mergeCell ref="B48:B75"/>
    <mergeCell ref="C48:C49"/>
    <mergeCell ref="C50:C55"/>
    <mergeCell ref="C56:C57"/>
    <mergeCell ref="C58:C62"/>
    <mergeCell ref="C63:C68"/>
    <mergeCell ref="C69:C70"/>
    <mergeCell ref="C71:C72"/>
    <mergeCell ref="C73:C74"/>
    <mergeCell ref="C75:H75"/>
  </mergeCells>
  <conditionalFormatting sqref="I47 I75 I87 I98:I99 I20">
    <cfRule type="cellIs" dxfId="69" priority="21" operator="greaterThan">
      <formula>0.91</formula>
    </cfRule>
    <cfRule type="cellIs" dxfId="68" priority="22" operator="between">
      <formula>0.75</formula>
      <formula>0.9</formula>
    </cfRule>
    <cfRule type="cellIs" dxfId="67" priority="23" operator="between">
      <formula>0.6</formula>
      <formula>0.749</formula>
    </cfRule>
    <cfRule type="cellIs" dxfId="66" priority="24" operator="between">
      <formula>0.41</formula>
      <formula>0.599</formula>
    </cfRule>
    <cfRule type="cellIs" dxfId="65" priority="25" operator="lessThan">
      <formula>0.4</formula>
    </cfRule>
  </conditionalFormatting>
  <dataValidations count="2">
    <dataValidation type="list" allowBlank="1" showInputMessage="1" showErrorMessage="1" sqref="G56:G57 G94:G97 G88:G89 G81:G86 G69:G74 G4:G19 G21:G22 G40:G43 G48:G49">
      <formula1>$E$4:$E$5</formula1>
    </dataValidation>
    <dataValidation type="list" allowBlank="1" showInputMessage="1" showErrorMessage="1" sqref="G63:G68">
      <formula1>$E$63:$E$68</formula1>
    </dataValidation>
  </dataValidations>
  <hyperlinks>
    <hyperlink ref="A120" r:id="rId1"/>
    <hyperlink ref="A121" r:id="rId2"/>
    <hyperlink ref="A123" r:id="rId3"/>
  </hyperlinks>
  <pageMargins left="0.7" right="0.7" top="0.75" bottom="0.75" header="0.3" footer="0.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Cálculo IEDI -IGM-IGA-IGFC</vt:lpstr>
      <vt:lpstr>Cálculo IGM-GPCR</vt:lpstr>
      <vt:lpstr>Cálculo IGM-GACV</vt:lpstr>
      <vt:lpstr>Cálculo IGM-GPADS</vt:lpstr>
      <vt:lpstr>Cálculo IGA-TSC-PA</vt:lpstr>
      <vt:lpstr>Cálculo IGA-TSC-TYAI</vt:lpstr>
      <vt:lpstr>Cálculo IGA-TSC-PC</vt:lpstr>
      <vt:lpstr>Cálculo IGA-TSC-RC</vt:lpstr>
      <vt:lpstr>Cálculo IGA-TSC-SC</vt:lpstr>
      <vt:lpstr>Cálculo IGA-EA-SGC</vt:lpstr>
      <vt:lpstr>Cálculo IGA-EA-GD</vt:lpstr>
      <vt:lpstr>Cálculo IGA-EA-RT</vt:lpstr>
      <vt:lpstr>Cálculo IGA-GTH-BCTHSIGEP</vt:lpstr>
      <vt:lpstr>Cálculo IGA-GEL-GEL</vt:lpstr>
      <vt:lpstr>Cálculo IGFC-EGP</vt:lpstr>
      <vt:lpstr>Cálculo IGFC-GI</vt:lpstr>
      <vt:lpstr>Cálculo IGFC-GC</vt:lpstr>
      <vt:lpstr>Eficiencia-GPCR</vt:lpstr>
      <vt:lpstr>Eficiencia - GACV </vt:lpstr>
      <vt:lpstr>Eficiencia - GPADS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lucho</dc:creator>
  <cp:lastModifiedBy>Manuel</cp:lastModifiedBy>
  <cp:lastPrinted>2017-08-31T15:24:47Z</cp:lastPrinted>
  <dcterms:created xsi:type="dcterms:W3CDTF">2017-02-16T20:40:04Z</dcterms:created>
  <dcterms:modified xsi:type="dcterms:W3CDTF">2017-11-17T15:54:56Z</dcterms:modified>
</cp:coreProperties>
</file>